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comments4.xml" ContentType="application/vnd.openxmlformats-officedocument.spreadsheetml.comments+xml"/>
  <Override PartName="/xl/worksheets/sheet3.xml" ContentType="application/vnd.openxmlformats-officedocument.spreadsheetml.worksheet+xml"/>
  <Override PartName="/xl/worksheets/sheet89.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comments1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xl/comments11.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codeName="Tento_sešit"/>
  <bookViews>
    <workbookView xWindow="-15" yWindow="-15" windowWidth="20730" windowHeight="6060"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25725"/>
</workbook>
</file>

<file path=xl/calcChain.xml><?xml version="1.0" encoding="utf-8"?>
<calcChain xmlns="http://schemas.openxmlformats.org/spreadsheetml/2006/main">
  <c r="C267" i="123"/>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9" i="158"/>
  <c r="D9"/>
  <c r="C10"/>
  <c r="D10"/>
  <c r="C11"/>
  <c r="D11"/>
  <c r="C12"/>
  <c r="D12"/>
  <c r="D8"/>
  <c r="C8"/>
  <c r="C9" i="157"/>
  <c r="D9"/>
  <c r="C10"/>
  <c r="D10"/>
  <c r="C11"/>
  <c r="D11"/>
  <c r="C12"/>
  <c r="D12"/>
  <c r="D8"/>
  <c r="C8"/>
  <c r="C9" i="156"/>
  <c r="D9"/>
  <c r="C10"/>
  <c r="D10"/>
  <c r="C11"/>
  <c r="D11"/>
  <c r="C12"/>
  <c r="D12"/>
  <c r="D8"/>
  <c r="C8"/>
  <c r="C9" i="155"/>
  <c r="D9"/>
  <c r="C10"/>
  <c r="D10"/>
  <c r="C11"/>
  <c r="D11"/>
  <c r="C12"/>
  <c r="D12"/>
  <c r="D8"/>
  <c r="C8"/>
  <c r="C9" i="154"/>
  <c r="D9"/>
  <c r="C10"/>
  <c r="D10"/>
  <c r="C11"/>
  <c r="D11"/>
  <c r="C12"/>
  <c r="D12"/>
  <c r="D8"/>
  <c r="C8"/>
  <c r="C9" i="153"/>
  <c r="D9"/>
  <c r="C10"/>
  <c r="D10"/>
  <c r="C11"/>
  <c r="D11"/>
  <c r="C12"/>
  <c r="D12"/>
  <c r="D8"/>
  <c r="C8"/>
  <c r="C9" i="152"/>
  <c r="D9"/>
  <c r="C10"/>
  <c r="D10"/>
  <c r="C11"/>
  <c r="D11"/>
  <c r="C12"/>
  <c r="D12"/>
  <c r="D8"/>
  <c r="C8"/>
  <c r="C9" i="151"/>
  <c r="D9"/>
  <c r="C10"/>
  <c r="D10"/>
  <c r="C11"/>
  <c r="D11"/>
  <c r="C12"/>
  <c r="D12"/>
  <c r="D8"/>
  <c r="C8"/>
  <c r="C9" i="150"/>
  <c r="D9"/>
  <c r="C10"/>
  <c r="D10"/>
  <c r="C11"/>
  <c r="D11"/>
  <c r="C12"/>
  <c r="D12"/>
  <c r="D8"/>
  <c r="C8"/>
  <c r="C9" i="149"/>
  <c r="D9"/>
  <c r="C10"/>
  <c r="D10"/>
  <c r="C11"/>
  <c r="D11"/>
  <c r="C12"/>
  <c r="D12"/>
  <c r="D8"/>
  <c r="C8"/>
  <c r="C9" i="148"/>
  <c r="D9"/>
  <c r="C10"/>
  <c r="D10"/>
  <c r="C11"/>
  <c r="D11"/>
  <c r="C12"/>
  <c r="D12"/>
  <c r="D8"/>
  <c r="C8"/>
  <c r="C9" i="147"/>
  <c r="D9"/>
  <c r="C10"/>
  <c r="D10"/>
  <c r="C11"/>
  <c r="D11"/>
  <c r="C12"/>
  <c r="D12"/>
  <c r="D8"/>
  <c r="C8"/>
  <c r="C9" i="146"/>
  <c r="D9"/>
  <c r="C10"/>
  <c r="D10"/>
  <c r="C11"/>
  <c r="D11"/>
  <c r="C12"/>
  <c r="D12"/>
  <c r="D8"/>
  <c r="C8"/>
  <c r="C9" i="145"/>
  <c r="D9"/>
  <c r="C10"/>
  <c r="D10"/>
  <c r="C11"/>
  <c r="D11"/>
  <c r="C12"/>
  <c r="D12"/>
  <c r="D8"/>
  <c r="C8"/>
  <c r="C9" i="144"/>
  <c r="D9"/>
  <c r="C10"/>
  <c r="D10"/>
  <c r="C11"/>
  <c r="D11"/>
  <c r="C12"/>
  <c r="D12"/>
  <c r="D8"/>
  <c r="C8"/>
  <c r="C9" i="143"/>
  <c r="D9"/>
  <c r="C10"/>
  <c r="D10"/>
  <c r="C11"/>
  <c r="D11"/>
  <c r="C12"/>
  <c r="D12"/>
  <c r="D8"/>
  <c r="C8"/>
  <c r="C9" i="142"/>
  <c r="D9"/>
  <c r="C10"/>
  <c r="D10"/>
  <c r="C11"/>
  <c r="D11"/>
  <c r="C12"/>
  <c r="D12"/>
  <c r="D8"/>
  <c r="C8"/>
  <c r="C9" i="141"/>
  <c r="D9"/>
  <c r="C10"/>
  <c r="D10"/>
  <c r="C11"/>
  <c r="D11"/>
  <c r="C12"/>
  <c r="D12"/>
  <c r="D8"/>
  <c r="C8"/>
  <c r="C9" i="140"/>
  <c r="D9"/>
  <c r="C10"/>
  <c r="D10"/>
  <c r="C11"/>
  <c r="D11"/>
  <c r="C12"/>
  <c r="D12"/>
  <c r="D8"/>
  <c r="C8"/>
  <c r="C9" i="139"/>
  <c r="D9"/>
  <c r="C10"/>
  <c r="D10"/>
  <c r="C11"/>
  <c r="D11"/>
  <c r="C12"/>
  <c r="D12"/>
  <c r="D8"/>
  <c r="C8"/>
  <c r="C9" i="138"/>
  <c r="D9"/>
  <c r="C10"/>
  <c r="D10"/>
  <c r="C11"/>
  <c r="D11"/>
  <c r="C12"/>
  <c r="D12"/>
  <c r="D8"/>
  <c r="C8"/>
  <c r="C9" i="137"/>
  <c r="D9"/>
  <c r="C10"/>
  <c r="D10"/>
  <c r="C11"/>
  <c r="D11"/>
  <c r="C12"/>
  <c r="D12"/>
  <c r="D8"/>
  <c r="C8"/>
  <c r="C9" i="136"/>
  <c r="D9"/>
  <c r="C10"/>
  <c r="D10"/>
  <c r="C11"/>
  <c r="D11"/>
  <c r="C12"/>
  <c r="D12"/>
  <c r="D8"/>
  <c r="C8"/>
  <c r="C9" i="135"/>
  <c r="D9"/>
  <c r="C10"/>
  <c r="D10"/>
  <c r="C11"/>
  <c r="D11"/>
  <c r="C12"/>
  <c r="D12"/>
  <c r="D8"/>
  <c r="C8"/>
  <c r="C9" i="134"/>
  <c r="D9"/>
  <c r="C10"/>
  <c r="D10"/>
  <c r="C11"/>
  <c r="D11"/>
  <c r="C12"/>
  <c r="D12"/>
  <c r="D8"/>
  <c r="C8"/>
  <c r="C12" i="133"/>
  <c r="D12"/>
  <c r="C9"/>
  <c r="D9"/>
  <c r="C10"/>
  <c r="D10"/>
  <c r="C11"/>
  <c r="D11"/>
  <c r="D8"/>
  <c r="C8"/>
  <c r="C9" i="132"/>
  <c r="D9"/>
  <c r="C10"/>
  <c r="D10"/>
  <c r="C11"/>
  <c r="D11"/>
  <c r="C12"/>
  <c r="D12"/>
  <c r="D8"/>
  <c r="C8"/>
  <c r="C9" i="131"/>
  <c r="D9"/>
  <c r="C10"/>
  <c r="D10"/>
  <c r="C11"/>
  <c r="D11"/>
  <c r="C12"/>
  <c r="D12"/>
  <c r="D8"/>
  <c r="C8"/>
  <c r="C9" i="130"/>
  <c r="D9"/>
  <c r="C10"/>
  <c r="D10"/>
  <c r="C11"/>
  <c r="D11"/>
  <c r="C12"/>
  <c r="D12"/>
  <c r="D8"/>
  <c r="C8"/>
  <c r="C9" i="129"/>
  <c r="D9"/>
  <c r="C10"/>
  <c r="D10"/>
  <c r="C11"/>
  <c r="D11"/>
  <c r="C12"/>
  <c r="D12"/>
  <c r="D8"/>
  <c r="C8"/>
  <c r="C9" i="128"/>
  <c r="D9"/>
  <c r="C10"/>
  <c r="D10"/>
  <c r="C11"/>
  <c r="D11"/>
  <c r="C12"/>
  <c r="D12"/>
  <c r="D8"/>
  <c r="C8"/>
  <c r="C9" i="127"/>
  <c r="D9"/>
  <c r="C10"/>
  <c r="D10"/>
  <c r="C11"/>
  <c r="D11"/>
  <c r="C12"/>
  <c r="D12"/>
  <c r="D8"/>
  <c r="C8"/>
  <c r="AF132" i="159"/>
  <c r="AB132"/>
  <c r="AF131"/>
  <c r="AB131"/>
  <c r="C258"/>
  <c r="C254"/>
  <c r="C250"/>
  <c r="C246"/>
  <c r="C242"/>
  <c r="C238"/>
  <c r="C234"/>
  <c r="C230"/>
  <c r="C226"/>
  <c r="C222"/>
  <c r="C218"/>
  <c r="C214"/>
  <c r="C210"/>
  <c r="C206"/>
  <c r="C202"/>
  <c r="C198"/>
  <c r="C194"/>
  <c r="C190"/>
  <c r="C186"/>
  <c r="C182"/>
  <c r="C178"/>
  <c r="C174"/>
  <c r="C170"/>
  <c r="C166"/>
  <c r="C162"/>
  <c r="C158"/>
  <c r="C154"/>
  <c r="C150"/>
  <c r="C146"/>
  <c r="C142"/>
  <c r="C138"/>
  <c r="C134"/>
  <c r="C130"/>
  <c r="C126"/>
  <c r="C122"/>
  <c r="C118"/>
  <c r="C114"/>
  <c r="C110"/>
  <c r="C106"/>
  <c r="C102"/>
  <c r="C98"/>
  <c r="C94"/>
  <c r="C90"/>
  <c r="C86"/>
  <c r="C82"/>
  <c r="C78"/>
  <c r="C74"/>
  <c r="C70"/>
  <c r="C66"/>
  <c r="C62"/>
  <c r="C58"/>
  <c r="C54"/>
  <c r="C50"/>
  <c r="C46"/>
  <c r="C42"/>
  <c r="C38"/>
  <c r="C34"/>
  <c r="C30"/>
  <c r="C26"/>
  <c r="C22"/>
  <c r="C18"/>
  <c r="C14"/>
  <c r="C10"/>
  <c r="C6"/>
  <c r="C131" i="123"/>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258" i="50"/>
  <c r="C257"/>
  <c r="C256"/>
  <c r="C255"/>
  <c r="C254"/>
  <c r="C253"/>
  <c r="C252"/>
  <c r="C251"/>
  <c r="C250"/>
  <c r="C249"/>
  <c r="C248"/>
  <c r="C247"/>
  <c r="C246"/>
  <c r="C245"/>
  <c r="C244"/>
  <c r="C243"/>
  <c r="C242"/>
  <c r="C241"/>
  <c r="C240"/>
  <c r="C239"/>
  <c r="C238"/>
  <c r="C237"/>
  <c r="C236"/>
  <c r="C235"/>
  <c r="C234"/>
  <c r="C233"/>
  <c r="C232"/>
  <c r="C231"/>
  <c r="C230"/>
  <c r="C229"/>
  <c r="C228"/>
  <c r="C227"/>
  <c r="C226"/>
  <c r="C225"/>
  <c r="C224"/>
  <c r="C223"/>
  <c r="C222"/>
  <c r="C221"/>
  <c r="C220"/>
  <c r="C219"/>
  <c r="C218"/>
  <c r="C217"/>
  <c r="C216"/>
  <c r="C215"/>
  <c r="C214"/>
  <c r="C213"/>
  <c r="C212"/>
  <c r="C211"/>
  <c r="C210"/>
  <c r="C209"/>
  <c r="C208"/>
  <c r="C207"/>
  <c r="C206"/>
  <c r="C205"/>
  <c r="C204"/>
  <c r="C203"/>
  <c r="C202"/>
  <c r="C201"/>
  <c r="C200"/>
  <c r="C199"/>
  <c r="C198"/>
  <c r="C197"/>
  <c r="C196"/>
  <c r="C195"/>
  <c r="C194"/>
  <c r="C193"/>
  <c r="C192"/>
  <c r="C191"/>
  <c r="C190"/>
  <c r="C189"/>
  <c r="C188"/>
  <c r="C187"/>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F1" i="87"/>
  <c r="F1" i="88"/>
  <c r="F1" i="89"/>
  <c r="F1" i="1"/>
  <c r="F1" i="86"/>
  <c r="F1" i="90"/>
  <c r="F1" i="91"/>
  <c r="F1" i="92"/>
  <c r="F1" i="93"/>
  <c r="F1" i="94"/>
  <c r="F1" i="95"/>
  <c r="F1" i="96"/>
  <c r="F1" i="97"/>
  <c r="F1" i="98"/>
  <c r="F1" i="99"/>
  <c r="F1" i="100"/>
  <c r="F1" i="101"/>
  <c r="F1" i="102"/>
  <c r="F1" i="103"/>
  <c r="F1" i="104"/>
  <c r="F1" i="105"/>
  <c r="F1" i="106"/>
  <c r="F1" i="107"/>
  <c r="F1" i="108"/>
  <c r="F1" i="10"/>
  <c r="F1" i="9"/>
  <c r="F1" i="8"/>
  <c r="F1" i="7"/>
  <c r="F1" i="6"/>
  <c r="F1" i="5"/>
  <c r="F1" i="4"/>
  <c r="A517" i="61"/>
  <c r="B517"/>
  <c r="C517"/>
  <c r="D517"/>
  <c r="E517"/>
  <c r="G517"/>
  <c r="H517"/>
  <c r="I517"/>
  <c r="B518"/>
  <c r="C518"/>
  <c r="D518"/>
  <c r="E518"/>
  <c r="B519"/>
  <c r="C519"/>
  <c r="D519"/>
  <c r="E519"/>
  <c r="B520"/>
  <c r="C520"/>
  <c r="D520"/>
  <c r="E520"/>
  <c r="A521"/>
  <c r="B521"/>
  <c r="C521"/>
  <c r="D521"/>
  <c r="E521"/>
  <c r="G521"/>
  <c r="H521"/>
  <c r="I521"/>
  <c r="B522"/>
  <c r="C522"/>
  <c r="D522"/>
  <c r="E522"/>
  <c r="B523"/>
  <c r="C523"/>
  <c r="D523"/>
  <c r="E523"/>
  <c r="B524"/>
  <c r="C524"/>
  <c r="D524"/>
  <c r="E524"/>
  <c r="A525"/>
  <c r="B525"/>
  <c r="C525"/>
  <c r="D525"/>
  <c r="E525"/>
  <c r="G525"/>
  <c r="H525"/>
  <c r="I525"/>
  <c r="B526"/>
  <c r="C526"/>
  <c r="D526"/>
  <c r="E526"/>
  <c r="B527"/>
  <c r="C527"/>
  <c r="D527"/>
  <c r="E527"/>
  <c r="B528"/>
  <c r="C528"/>
  <c r="D528"/>
  <c r="E528"/>
  <c r="A529"/>
  <c r="B529"/>
  <c r="C529"/>
  <c r="D529"/>
  <c r="E529"/>
  <c r="G529"/>
  <c r="H529"/>
  <c r="I529"/>
  <c r="B530"/>
  <c r="C530"/>
  <c r="D530"/>
  <c r="E530"/>
  <c r="B531"/>
  <c r="C531"/>
  <c r="D531"/>
  <c r="E531"/>
  <c r="B532"/>
  <c r="C532"/>
  <c r="D532"/>
  <c r="E532"/>
  <c r="A533"/>
  <c r="B533"/>
  <c r="C533"/>
  <c r="D533"/>
  <c r="E533"/>
  <c r="G533"/>
  <c r="H533"/>
  <c r="I533"/>
  <c r="B534"/>
  <c r="C534"/>
  <c r="D534"/>
  <c r="E534"/>
  <c r="B535"/>
  <c r="C535"/>
  <c r="D535"/>
  <c r="E535"/>
  <c r="B536"/>
  <c r="C536"/>
  <c r="D536"/>
  <c r="E536"/>
  <c r="A537"/>
  <c r="B537"/>
  <c r="C537"/>
  <c r="D537"/>
  <c r="E537"/>
  <c r="G537"/>
  <c r="H537"/>
  <c r="I537"/>
  <c r="B538"/>
  <c r="C538"/>
  <c r="D538"/>
  <c r="E538"/>
  <c r="B539"/>
  <c r="C539"/>
  <c r="D539"/>
  <c r="E539"/>
  <c r="B540"/>
  <c r="C540"/>
  <c r="D540"/>
  <c r="E540"/>
  <c r="A541"/>
  <c r="B541"/>
  <c r="C541"/>
  <c r="D541"/>
  <c r="E541"/>
  <c r="G541"/>
  <c r="H541"/>
  <c r="I541"/>
  <c r="B542"/>
  <c r="C542"/>
  <c r="D542"/>
  <c r="E542"/>
  <c r="B543"/>
  <c r="C543"/>
  <c r="D543"/>
  <c r="E543"/>
  <c r="B544"/>
  <c r="C544"/>
  <c r="D544"/>
  <c r="E544"/>
  <c r="A545"/>
  <c r="B545"/>
  <c r="C545"/>
  <c r="D545"/>
  <c r="E545"/>
  <c r="G545"/>
  <c r="H545"/>
  <c r="I545"/>
  <c r="B546"/>
  <c r="C546"/>
  <c r="D546"/>
  <c r="E546"/>
  <c r="B547"/>
  <c r="C547"/>
  <c r="D547"/>
  <c r="E547"/>
  <c r="B548"/>
  <c r="C548"/>
  <c r="D548"/>
  <c r="E548"/>
  <c r="A549"/>
  <c r="B549"/>
  <c r="C549"/>
  <c r="D549"/>
  <c r="E549"/>
  <c r="G549"/>
  <c r="H549"/>
  <c r="I549"/>
  <c r="B550"/>
  <c r="C550"/>
  <c r="D550"/>
  <c r="E550"/>
  <c r="B551"/>
  <c r="C551"/>
  <c r="D551"/>
  <c r="E551"/>
  <c r="B552"/>
  <c r="C552"/>
  <c r="D552"/>
  <c r="E552"/>
  <c r="A553"/>
  <c r="B553"/>
  <c r="C553"/>
  <c r="D553"/>
  <c r="E553"/>
  <c r="G553"/>
  <c r="H553"/>
  <c r="I553"/>
  <c r="B554"/>
  <c r="C554"/>
  <c r="D554"/>
  <c r="E554"/>
  <c r="B555"/>
  <c r="C555"/>
  <c r="D555"/>
  <c r="E555"/>
  <c r="B556"/>
  <c r="C556"/>
  <c r="D556"/>
  <c r="E556"/>
  <c r="A557"/>
  <c r="B557"/>
  <c r="C557"/>
  <c r="D557"/>
  <c r="E557"/>
  <c r="G557"/>
  <c r="H557"/>
  <c r="I557"/>
  <c r="B558"/>
  <c r="C558"/>
  <c r="D558"/>
  <c r="E558"/>
  <c r="B559"/>
  <c r="C559"/>
  <c r="D559"/>
  <c r="E559"/>
  <c r="B560"/>
  <c r="C560"/>
  <c r="D560"/>
  <c r="E560"/>
  <c r="A561"/>
  <c r="B561"/>
  <c r="C561"/>
  <c r="D561"/>
  <c r="E561"/>
  <c r="G561"/>
  <c r="H561"/>
  <c r="I561"/>
  <c r="B562"/>
  <c r="C562"/>
  <c r="D562"/>
  <c r="E562"/>
  <c r="B563"/>
  <c r="C563"/>
  <c r="D563"/>
  <c r="E563"/>
  <c r="B564"/>
  <c r="C564"/>
  <c r="D564"/>
  <c r="E564"/>
  <c r="A565"/>
  <c r="B565"/>
  <c r="C565"/>
  <c r="D565"/>
  <c r="E565"/>
  <c r="G565"/>
  <c r="H565"/>
  <c r="I565"/>
  <c r="B566"/>
  <c r="C566"/>
  <c r="D566"/>
  <c r="E566"/>
  <c r="B567"/>
  <c r="C567"/>
  <c r="D567"/>
  <c r="E567"/>
  <c r="B568"/>
  <c r="C568"/>
  <c r="D568"/>
  <c r="E568"/>
  <c r="A569"/>
  <c r="B569"/>
  <c r="C569"/>
  <c r="D569"/>
  <c r="E569"/>
  <c r="G569"/>
  <c r="H569"/>
  <c r="I569"/>
  <c r="B570"/>
  <c r="C570"/>
  <c r="D570"/>
  <c r="E570"/>
  <c r="B571"/>
  <c r="C571"/>
  <c r="D571"/>
  <c r="E571"/>
  <c r="B572"/>
  <c r="C572"/>
  <c r="D572"/>
  <c r="E572"/>
  <c r="A573"/>
  <c r="B573"/>
  <c r="C573"/>
  <c r="D573"/>
  <c r="E573"/>
  <c r="G573"/>
  <c r="H573"/>
  <c r="I573"/>
  <c r="B574"/>
  <c r="C574"/>
  <c r="D574"/>
  <c r="E574"/>
  <c r="B575"/>
  <c r="C575"/>
  <c r="D575"/>
  <c r="E575"/>
  <c r="B576"/>
  <c r="C576"/>
  <c r="D576"/>
  <c r="E576"/>
  <c r="A577"/>
  <c r="B577"/>
  <c r="C577"/>
  <c r="D577"/>
  <c r="E577"/>
  <c r="G577"/>
  <c r="H577"/>
  <c r="I577"/>
  <c r="B578"/>
  <c r="C578"/>
  <c r="D578"/>
  <c r="E578"/>
  <c r="B579"/>
  <c r="C579"/>
  <c r="D579"/>
  <c r="E579"/>
  <c r="B580"/>
  <c r="C580"/>
  <c r="D580"/>
  <c r="E580"/>
  <c r="A581"/>
  <c r="B581"/>
  <c r="C581"/>
  <c r="D581"/>
  <c r="E581"/>
  <c r="G581"/>
  <c r="H581"/>
  <c r="I581"/>
  <c r="B582"/>
  <c r="C582"/>
  <c r="D582"/>
  <c r="E582"/>
  <c r="B583"/>
  <c r="C583"/>
  <c r="D583"/>
  <c r="E583"/>
  <c r="B584"/>
  <c r="C584"/>
  <c r="D584"/>
  <c r="E584"/>
  <c r="A585"/>
  <c r="B585"/>
  <c r="C585"/>
  <c r="D585"/>
  <c r="E585"/>
  <c r="G585"/>
  <c r="H585"/>
  <c r="I585"/>
  <c r="B586"/>
  <c r="C586"/>
  <c r="D586"/>
  <c r="E586"/>
  <c r="B587"/>
  <c r="C587"/>
  <c r="D587"/>
  <c r="E587"/>
  <c r="B588"/>
  <c r="C588"/>
  <c r="D588"/>
  <c r="E588"/>
  <c r="A589"/>
  <c r="B589"/>
  <c r="C589"/>
  <c r="D589"/>
  <c r="E589"/>
  <c r="G589"/>
  <c r="H589"/>
  <c r="I589"/>
  <c r="B590"/>
  <c r="C590"/>
  <c r="D590"/>
  <c r="E590"/>
  <c r="B591"/>
  <c r="C591"/>
  <c r="D591"/>
  <c r="E591"/>
  <c r="B592"/>
  <c r="C592"/>
  <c r="D592"/>
  <c r="E592"/>
  <c r="A593"/>
  <c r="B593"/>
  <c r="C593"/>
  <c r="D593"/>
  <c r="E593"/>
  <c r="G593"/>
  <c r="H593"/>
  <c r="I593"/>
  <c r="B594"/>
  <c r="C594"/>
  <c r="D594"/>
  <c r="E594"/>
  <c r="B595"/>
  <c r="C595"/>
  <c r="D595"/>
  <c r="E595"/>
  <c r="B596"/>
  <c r="C596"/>
  <c r="D596"/>
  <c r="E596"/>
  <c r="A597"/>
  <c r="B597"/>
  <c r="C597"/>
  <c r="D597"/>
  <c r="E597"/>
  <c r="G597"/>
  <c r="H597"/>
  <c r="I597"/>
  <c r="B598"/>
  <c r="C598"/>
  <c r="D598"/>
  <c r="E598"/>
  <c r="B599"/>
  <c r="C599"/>
  <c r="D599"/>
  <c r="E599"/>
  <c r="B600"/>
  <c r="C600"/>
  <c r="D600"/>
  <c r="E600"/>
  <c r="A601"/>
  <c r="B601"/>
  <c r="C601"/>
  <c r="D601"/>
  <c r="E601"/>
  <c r="G601"/>
  <c r="H601"/>
  <c r="I601"/>
  <c r="B602"/>
  <c r="C602"/>
  <c r="D602"/>
  <c r="E602"/>
  <c r="B603"/>
  <c r="C603"/>
  <c r="D603"/>
  <c r="E603"/>
  <c r="B604"/>
  <c r="C604"/>
  <c r="D604"/>
  <c r="E604"/>
  <c r="A605"/>
  <c r="B605"/>
  <c r="C605"/>
  <c r="D605"/>
  <c r="E605"/>
  <c r="G605"/>
  <c r="H605"/>
  <c r="I605"/>
  <c r="B606"/>
  <c r="C606"/>
  <c r="D606"/>
  <c r="E606"/>
  <c r="B607"/>
  <c r="C607"/>
  <c r="D607"/>
  <c r="E607"/>
  <c r="B608"/>
  <c r="C608"/>
  <c r="D608"/>
  <c r="E608"/>
  <c r="A609"/>
  <c r="B609"/>
  <c r="C609"/>
  <c r="D609"/>
  <c r="E609"/>
  <c r="G609"/>
  <c r="H609"/>
  <c r="I609"/>
  <c r="B610"/>
  <c r="C610"/>
  <c r="D610"/>
  <c r="E610"/>
  <c r="B611"/>
  <c r="C611"/>
  <c r="D611"/>
  <c r="E611"/>
  <c r="B612"/>
  <c r="C612"/>
  <c r="D612"/>
  <c r="E612"/>
  <c r="A613"/>
  <c r="B613"/>
  <c r="C613"/>
  <c r="D613"/>
  <c r="E613"/>
  <c r="G613"/>
  <c r="H613"/>
  <c r="I613"/>
  <c r="B614"/>
  <c r="C614"/>
  <c r="D614"/>
  <c r="E614"/>
  <c r="B615"/>
  <c r="C615"/>
  <c r="D615"/>
  <c r="E615"/>
  <c r="B616"/>
  <c r="C616"/>
  <c r="D616"/>
  <c r="E616"/>
  <c r="A617"/>
  <c r="B617"/>
  <c r="C617"/>
  <c r="D617"/>
  <c r="E617"/>
  <c r="G617"/>
  <c r="H617"/>
  <c r="I617"/>
  <c r="B618"/>
  <c r="C618"/>
  <c r="D618"/>
  <c r="E618"/>
  <c r="B619"/>
  <c r="C619"/>
  <c r="D619"/>
  <c r="E619"/>
  <c r="B620"/>
  <c r="C620"/>
  <c r="D620"/>
  <c r="E620"/>
  <c r="A621"/>
  <c r="B621"/>
  <c r="C621"/>
  <c r="D621"/>
  <c r="E621"/>
  <c r="G621"/>
  <c r="H621"/>
  <c r="I621"/>
  <c r="B622"/>
  <c r="C622"/>
  <c r="D622"/>
  <c r="E622"/>
  <c r="B623"/>
  <c r="C623"/>
  <c r="D623"/>
  <c r="E623"/>
  <c r="B624"/>
  <c r="C624"/>
  <c r="D624"/>
  <c r="E624"/>
  <c r="A625"/>
  <c r="B625"/>
  <c r="C625"/>
  <c r="D625"/>
  <c r="E625"/>
  <c r="G625"/>
  <c r="H625"/>
  <c r="I625"/>
  <c r="B626"/>
  <c r="C626"/>
  <c r="D626"/>
  <c r="E626"/>
  <c r="B627"/>
  <c r="C627"/>
  <c r="D627"/>
  <c r="E627"/>
  <c r="B628"/>
  <c r="C628"/>
  <c r="D628"/>
  <c r="E628"/>
  <c r="A629"/>
  <c r="B629"/>
  <c r="C629"/>
  <c r="D629"/>
  <c r="E629"/>
  <c r="G629"/>
  <c r="H629"/>
  <c r="I629"/>
  <c r="B630"/>
  <c r="C630"/>
  <c r="D630"/>
  <c r="E630"/>
  <c r="B631"/>
  <c r="C631"/>
  <c r="D631"/>
  <c r="E631"/>
  <c r="B632"/>
  <c r="C632"/>
  <c r="D632"/>
  <c r="E632"/>
  <c r="A633"/>
  <c r="B633"/>
  <c r="C633"/>
  <c r="D633"/>
  <c r="E633"/>
  <c r="G633"/>
  <c r="H633"/>
  <c r="I633"/>
  <c r="B634"/>
  <c r="C634"/>
  <c r="D634"/>
  <c r="E634"/>
  <c r="B635"/>
  <c r="C635"/>
  <c r="D635"/>
  <c r="E635"/>
  <c r="B636"/>
  <c r="C636"/>
  <c r="D636"/>
  <c r="E636"/>
  <c r="A637"/>
  <c r="B637"/>
  <c r="C637"/>
  <c r="D637"/>
  <c r="E637"/>
  <c r="G637"/>
  <c r="H637"/>
  <c r="I637"/>
  <c r="B638"/>
  <c r="C638"/>
  <c r="D638"/>
  <c r="E638"/>
  <c r="B639"/>
  <c r="C639"/>
  <c r="D639"/>
  <c r="E639"/>
  <c r="B640"/>
  <c r="C640"/>
  <c r="D640"/>
  <c r="E640"/>
  <c r="A641"/>
  <c r="B641"/>
  <c r="C641"/>
  <c r="D641"/>
  <c r="E641"/>
  <c r="G641"/>
  <c r="H641"/>
  <c r="I641"/>
  <c r="B642"/>
  <c r="C642"/>
  <c r="D642"/>
  <c r="E642"/>
  <c r="B643"/>
  <c r="C643"/>
  <c r="D643"/>
  <c r="E643"/>
  <c r="B644"/>
  <c r="C644"/>
  <c r="D644"/>
  <c r="E644"/>
  <c r="A645"/>
  <c r="B645"/>
  <c r="C645"/>
  <c r="D645"/>
  <c r="E645"/>
  <c r="G645"/>
  <c r="H645"/>
  <c r="I645"/>
  <c r="B646"/>
  <c r="C646"/>
  <c r="D646"/>
  <c r="E646"/>
  <c r="B647"/>
  <c r="C647"/>
  <c r="D647"/>
  <c r="E647"/>
  <c r="B648"/>
  <c r="C648"/>
  <c r="D648"/>
  <c r="E648"/>
  <c r="A649"/>
  <c r="B649"/>
  <c r="C649"/>
  <c r="D649"/>
  <c r="E649"/>
  <c r="G649"/>
  <c r="H649"/>
  <c r="I649"/>
  <c r="B650"/>
  <c r="C650"/>
  <c r="D650"/>
  <c r="E650"/>
  <c r="B651"/>
  <c r="C651"/>
  <c r="D651"/>
  <c r="E651"/>
  <c r="B652"/>
  <c r="C652"/>
  <c r="D652"/>
  <c r="E652"/>
  <c r="A653"/>
  <c r="B653"/>
  <c r="C653"/>
  <c r="D653"/>
  <c r="E653"/>
  <c r="G653"/>
  <c r="H653"/>
  <c r="I653"/>
  <c r="B654"/>
  <c r="C654"/>
  <c r="D654"/>
  <c r="E654"/>
  <c r="B655"/>
  <c r="C655"/>
  <c r="D655"/>
  <c r="E655"/>
  <c r="B656"/>
  <c r="C656"/>
  <c r="D656"/>
  <c r="E656"/>
  <c r="A657"/>
  <c r="B657"/>
  <c r="C657"/>
  <c r="D657"/>
  <c r="E657"/>
  <c r="G657"/>
  <c r="H657"/>
  <c r="I657"/>
  <c r="B658"/>
  <c r="C658"/>
  <c r="D658"/>
  <c r="E658"/>
  <c r="B659"/>
  <c r="C659"/>
  <c r="D659"/>
  <c r="E659"/>
  <c r="B660"/>
  <c r="C660"/>
  <c r="D660"/>
  <c r="E660"/>
  <c r="A661"/>
  <c r="B661"/>
  <c r="C661"/>
  <c r="D661"/>
  <c r="E661"/>
  <c r="G661"/>
  <c r="H661"/>
  <c r="I661"/>
  <c r="B662"/>
  <c r="C662"/>
  <c r="D662"/>
  <c r="E662"/>
  <c r="B663"/>
  <c r="C663"/>
  <c r="D663"/>
  <c r="E663"/>
  <c r="B664"/>
  <c r="C664"/>
  <c r="D664"/>
  <c r="E664"/>
  <c r="A665"/>
  <c r="B665"/>
  <c r="C665"/>
  <c r="D665"/>
  <c r="E665"/>
  <c r="G665"/>
  <c r="H665"/>
  <c r="I665"/>
  <c r="B666"/>
  <c r="C666"/>
  <c r="D666"/>
  <c r="E666"/>
  <c r="B667"/>
  <c r="C667"/>
  <c r="D667"/>
  <c r="E667"/>
  <c r="B668"/>
  <c r="C668"/>
  <c r="D668"/>
  <c r="E668"/>
  <c r="A669"/>
  <c r="B669"/>
  <c r="C669"/>
  <c r="D669"/>
  <c r="E669"/>
  <c r="G669"/>
  <c r="H669"/>
  <c r="I669"/>
  <c r="B670"/>
  <c r="C670"/>
  <c r="D670"/>
  <c r="E670"/>
  <c r="B671"/>
  <c r="C671"/>
  <c r="D671"/>
  <c r="E671"/>
  <c r="B672"/>
  <c r="C672"/>
  <c r="D672"/>
  <c r="E672"/>
  <c r="A673"/>
  <c r="B673"/>
  <c r="C673"/>
  <c r="D673"/>
  <c r="E673"/>
  <c r="G673"/>
  <c r="H673"/>
  <c r="I673"/>
  <c r="B674"/>
  <c r="C674"/>
  <c r="D674"/>
  <c r="E674"/>
  <c r="B675"/>
  <c r="C675"/>
  <c r="D675"/>
  <c r="E675"/>
  <c r="B676"/>
  <c r="C676"/>
  <c r="D676"/>
  <c r="E676"/>
  <c r="A677"/>
  <c r="B677"/>
  <c r="C677"/>
  <c r="D677"/>
  <c r="E677"/>
  <c r="G677"/>
  <c r="H677"/>
  <c r="I677"/>
  <c r="B678"/>
  <c r="C678"/>
  <c r="D678"/>
  <c r="E678"/>
  <c r="B679"/>
  <c r="C679"/>
  <c r="D679"/>
  <c r="E679"/>
  <c r="B680"/>
  <c r="C680"/>
  <c r="D680"/>
  <c r="E680"/>
  <c r="A681"/>
  <c r="B681"/>
  <c r="C681"/>
  <c r="D681"/>
  <c r="E681"/>
  <c r="G681"/>
  <c r="H681"/>
  <c r="I681"/>
  <c r="B682"/>
  <c r="C682"/>
  <c r="D682"/>
  <c r="E682"/>
  <c r="B683"/>
  <c r="C683"/>
  <c r="D683"/>
  <c r="E683"/>
  <c r="B684"/>
  <c r="C684"/>
  <c r="D684"/>
  <c r="E684"/>
  <c r="A685"/>
  <c r="B685"/>
  <c r="C685"/>
  <c r="D685"/>
  <c r="E685"/>
  <c r="G685"/>
  <c r="H685"/>
  <c r="I685"/>
  <c r="B686"/>
  <c r="C686"/>
  <c r="D686"/>
  <c r="E686"/>
  <c r="B687"/>
  <c r="C687"/>
  <c r="D687"/>
  <c r="E687"/>
  <c r="B688"/>
  <c r="C688"/>
  <c r="D688"/>
  <c r="E688"/>
  <c r="A689"/>
  <c r="B689"/>
  <c r="C689"/>
  <c r="D689"/>
  <c r="E689"/>
  <c r="G689"/>
  <c r="H689"/>
  <c r="I689"/>
  <c r="B690"/>
  <c r="C690"/>
  <c r="D690"/>
  <c r="E690"/>
  <c r="B691"/>
  <c r="C691"/>
  <c r="D691"/>
  <c r="E691"/>
  <c r="B692"/>
  <c r="C692"/>
  <c r="D692"/>
  <c r="E692"/>
  <c r="A693"/>
  <c r="B693"/>
  <c r="C693"/>
  <c r="D693"/>
  <c r="E693"/>
  <c r="G693"/>
  <c r="H693"/>
  <c r="I693"/>
  <c r="B694"/>
  <c r="C694"/>
  <c r="D694"/>
  <c r="E694"/>
  <c r="B695"/>
  <c r="C695"/>
  <c r="D695"/>
  <c r="E695"/>
  <c r="B696"/>
  <c r="C696"/>
  <c r="D696"/>
  <c r="E696"/>
  <c r="A697"/>
  <c r="B697"/>
  <c r="C697"/>
  <c r="D697"/>
  <c r="E697"/>
  <c r="G697"/>
  <c r="H697"/>
  <c r="I697"/>
  <c r="B698"/>
  <c r="C698"/>
  <c r="D698"/>
  <c r="E698"/>
  <c r="B699"/>
  <c r="C699"/>
  <c r="D699"/>
  <c r="E699"/>
  <c r="B700"/>
  <c r="C700"/>
  <c r="D700"/>
  <c r="E700"/>
  <c r="A701"/>
  <c r="B701"/>
  <c r="C701"/>
  <c r="D701"/>
  <c r="E701"/>
  <c r="G701"/>
  <c r="H701"/>
  <c r="I701"/>
  <c r="B702"/>
  <c r="C702"/>
  <c r="D702"/>
  <c r="E702"/>
  <c r="B703"/>
  <c r="C703"/>
  <c r="D703"/>
  <c r="E703"/>
  <c r="B704"/>
  <c r="C704"/>
  <c r="D704"/>
  <c r="E704"/>
  <c r="A705"/>
  <c r="B705"/>
  <c r="C705"/>
  <c r="D705"/>
  <c r="E705"/>
  <c r="G705"/>
  <c r="H705"/>
  <c r="I705"/>
  <c r="B706"/>
  <c r="C706"/>
  <c r="D706"/>
  <c r="E706"/>
  <c r="B707"/>
  <c r="C707"/>
  <c r="D707"/>
  <c r="E707"/>
  <c r="B708"/>
  <c r="C708"/>
  <c r="D708"/>
  <c r="E708"/>
  <c r="A709"/>
  <c r="B709"/>
  <c r="C709"/>
  <c r="D709"/>
  <c r="E709"/>
  <c r="G709"/>
  <c r="H709"/>
  <c r="I709"/>
  <c r="B710"/>
  <c r="C710"/>
  <c r="D710"/>
  <c r="E710"/>
  <c r="B711"/>
  <c r="C711"/>
  <c r="D711"/>
  <c r="E711"/>
  <c r="B712"/>
  <c r="C712"/>
  <c r="D712"/>
  <c r="E712"/>
  <c r="A713"/>
  <c r="B713"/>
  <c r="C713"/>
  <c r="D713"/>
  <c r="E713"/>
  <c r="G713"/>
  <c r="H713"/>
  <c r="I713"/>
  <c r="B714"/>
  <c r="C714"/>
  <c r="D714"/>
  <c r="E714"/>
  <c r="B715"/>
  <c r="C715"/>
  <c r="D715"/>
  <c r="E715"/>
  <c r="B716"/>
  <c r="C716"/>
  <c r="D716"/>
  <c r="E716"/>
  <c r="A717"/>
  <c r="B717"/>
  <c r="C717"/>
  <c r="D717"/>
  <c r="E717"/>
  <c r="G717"/>
  <c r="H717"/>
  <c r="I717"/>
  <c r="B718"/>
  <c r="C718"/>
  <c r="D718"/>
  <c r="E718"/>
  <c r="B719"/>
  <c r="C719"/>
  <c r="D719"/>
  <c r="E719"/>
  <c r="B720"/>
  <c r="C720"/>
  <c r="D720"/>
  <c r="E720"/>
  <c r="A721"/>
  <c r="B721"/>
  <c r="C721"/>
  <c r="D721"/>
  <c r="E721"/>
  <c r="G721"/>
  <c r="H721"/>
  <c r="I721"/>
  <c r="B722"/>
  <c r="C722"/>
  <c r="D722"/>
  <c r="E722"/>
  <c r="B723"/>
  <c r="C723"/>
  <c r="D723"/>
  <c r="E723"/>
  <c r="B724"/>
  <c r="C724"/>
  <c r="D724"/>
  <c r="E724"/>
  <c r="A725"/>
  <c r="B725"/>
  <c r="C725"/>
  <c r="D725"/>
  <c r="E725"/>
  <c r="G725"/>
  <c r="H725"/>
  <c r="I725"/>
  <c r="B726"/>
  <c r="C726"/>
  <c r="D726"/>
  <c r="E726"/>
  <c r="B727"/>
  <c r="C727"/>
  <c r="D727"/>
  <c r="E727"/>
  <c r="B728"/>
  <c r="C728"/>
  <c r="D728"/>
  <c r="E728"/>
  <c r="A729"/>
  <c r="B729"/>
  <c r="C729"/>
  <c r="D729"/>
  <c r="E729"/>
  <c r="G729"/>
  <c r="H729"/>
  <c r="I729"/>
  <c r="B730"/>
  <c r="C730"/>
  <c r="D730"/>
  <c r="E730"/>
  <c r="B731"/>
  <c r="C731"/>
  <c r="D731"/>
  <c r="E731"/>
  <c r="B732"/>
  <c r="C732"/>
  <c r="D732"/>
  <c r="E732"/>
  <c r="A733"/>
  <c r="B733"/>
  <c r="C733"/>
  <c r="D733"/>
  <c r="E733"/>
  <c r="G733"/>
  <c r="H733"/>
  <c r="I733"/>
  <c r="B734"/>
  <c r="C734"/>
  <c r="D734"/>
  <c r="E734"/>
  <c r="B735"/>
  <c r="C735"/>
  <c r="D735"/>
  <c r="E735"/>
  <c r="B736"/>
  <c r="C736"/>
  <c r="D736"/>
  <c r="E736"/>
  <c r="A737"/>
  <c r="B737"/>
  <c r="C737"/>
  <c r="D737"/>
  <c r="E737"/>
  <c r="G737"/>
  <c r="H737"/>
  <c r="I737"/>
  <c r="B738"/>
  <c r="C738"/>
  <c r="D738"/>
  <c r="E738"/>
  <c r="B739"/>
  <c r="C739"/>
  <c r="D739"/>
  <c r="E739"/>
  <c r="B740"/>
  <c r="C740"/>
  <c r="D740"/>
  <c r="E740"/>
  <c r="A741"/>
  <c r="B741"/>
  <c r="C741"/>
  <c r="D741"/>
  <c r="E741"/>
  <c r="G741"/>
  <c r="H741"/>
  <c r="I741"/>
  <c r="B742"/>
  <c r="C742"/>
  <c r="D742"/>
  <c r="E742"/>
  <c r="B743"/>
  <c r="C743"/>
  <c r="D743"/>
  <c r="E743"/>
  <c r="B744"/>
  <c r="C744"/>
  <c r="D744"/>
  <c r="E744"/>
  <c r="A745"/>
  <c r="B745"/>
  <c r="C745"/>
  <c r="D745"/>
  <c r="E745"/>
  <c r="G745"/>
  <c r="H745"/>
  <c r="I745"/>
  <c r="B746"/>
  <c r="C746"/>
  <c r="D746"/>
  <c r="E746"/>
  <c r="B747"/>
  <c r="C747"/>
  <c r="D747"/>
  <c r="E747"/>
  <c r="B748"/>
  <c r="C748"/>
  <c r="D748"/>
  <c r="E748"/>
  <c r="A749"/>
  <c r="B749"/>
  <c r="C749"/>
  <c r="D749"/>
  <c r="E749"/>
  <c r="G749"/>
  <c r="H749"/>
  <c r="I749"/>
  <c r="B750"/>
  <c r="C750"/>
  <c r="D750"/>
  <c r="E750"/>
  <c r="B751"/>
  <c r="C751"/>
  <c r="D751"/>
  <c r="E751"/>
  <c r="B752"/>
  <c r="C752"/>
  <c r="D752"/>
  <c r="E752"/>
  <c r="A753"/>
  <c r="B753"/>
  <c r="C753"/>
  <c r="D753"/>
  <c r="E753"/>
  <c r="G753"/>
  <c r="H753"/>
  <c r="I753"/>
  <c r="B754"/>
  <c r="C754"/>
  <c r="D754"/>
  <c r="E754"/>
  <c r="B755"/>
  <c r="C755"/>
  <c r="D755"/>
  <c r="E755"/>
  <c r="B756"/>
  <c r="C756"/>
  <c r="D756"/>
  <c r="E756"/>
  <c r="A757"/>
  <c r="B757"/>
  <c r="C757"/>
  <c r="D757"/>
  <c r="E757"/>
  <c r="G757"/>
  <c r="H757"/>
  <c r="I757"/>
  <c r="B758"/>
  <c r="C758"/>
  <c r="D758"/>
  <c r="E758"/>
  <c r="B759"/>
  <c r="C759"/>
  <c r="D759"/>
  <c r="E759"/>
  <c r="B760"/>
  <c r="C760"/>
  <c r="D760"/>
  <c r="E760"/>
  <c r="A761"/>
  <c r="B761"/>
  <c r="C761"/>
  <c r="D761"/>
  <c r="E761"/>
  <c r="G761"/>
  <c r="H761"/>
  <c r="I761"/>
  <c r="B762"/>
  <c r="C762"/>
  <c r="D762"/>
  <c r="E762"/>
  <c r="B763"/>
  <c r="C763"/>
  <c r="D763"/>
  <c r="E763"/>
  <c r="B764"/>
  <c r="C764"/>
  <c r="D764"/>
  <c r="E764"/>
  <c r="A765"/>
  <c r="B765"/>
  <c r="C765"/>
  <c r="D765"/>
  <c r="E765"/>
  <c r="G765"/>
  <c r="H765"/>
  <c r="I765"/>
  <c r="B766"/>
  <c r="C766"/>
  <c r="D766"/>
  <c r="E766"/>
  <c r="B767"/>
  <c r="C767"/>
  <c r="D767"/>
  <c r="E767"/>
  <c r="B768"/>
  <c r="C768"/>
  <c r="D768"/>
  <c r="E768"/>
  <c r="A769"/>
  <c r="B769"/>
  <c r="C769"/>
  <c r="D769"/>
  <c r="E769"/>
  <c r="G769"/>
  <c r="H769"/>
  <c r="I769"/>
  <c r="B770"/>
  <c r="C770"/>
  <c r="D770"/>
  <c r="E770"/>
  <c r="B771"/>
  <c r="C771"/>
  <c r="D771"/>
  <c r="E771"/>
  <c r="B772"/>
  <c r="C772"/>
  <c r="D772"/>
  <c r="E772"/>
  <c r="A773"/>
  <c r="B773"/>
  <c r="C773"/>
  <c r="D773"/>
  <c r="E773"/>
  <c r="G773"/>
  <c r="H773"/>
  <c r="I773"/>
  <c r="B774"/>
  <c r="C774"/>
  <c r="D774"/>
  <c r="E774"/>
  <c r="B775"/>
  <c r="C775"/>
  <c r="D775"/>
  <c r="E775"/>
  <c r="B776"/>
  <c r="C776"/>
  <c r="D776"/>
  <c r="E776"/>
  <c r="A777"/>
  <c r="B777"/>
  <c r="C777"/>
  <c r="D777"/>
  <c r="E777"/>
  <c r="G777"/>
  <c r="H777"/>
  <c r="I777"/>
  <c r="B778"/>
  <c r="C778"/>
  <c r="D778"/>
  <c r="E778"/>
  <c r="B779"/>
  <c r="C779"/>
  <c r="D779"/>
  <c r="E779"/>
  <c r="B780"/>
  <c r="C780"/>
  <c r="D780"/>
  <c r="E780"/>
  <c r="A781"/>
  <c r="B781"/>
  <c r="C781"/>
  <c r="D781"/>
  <c r="E781"/>
  <c r="G781"/>
  <c r="H781"/>
  <c r="I781"/>
  <c r="B782"/>
  <c r="C782"/>
  <c r="D782"/>
  <c r="E782"/>
  <c r="B783"/>
  <c r="C783"/>
  <c r="D783"/>
  <c r="E783"/>
  <c r="B784"/>
  <c r="C784"/>
  <c r="D784"/>
  <c r="E784"/>
  <c r="A785"/>
  <c r="B785"/>
  <c r="C785"/>
  <c r="D785"/>
  <c r="E785"/>
  <c r="G785"/>
  <c r="H785"/>
  <c r="I785"/>
  <c r="B786"/>
  <c r="C786"/>
  <c r="D786"/>
  <c r="E786"/>
  <c r="B787"/>
  <c r="C787"/>
  <c r="D787"/>
  <c r="E787"/>
  <c r="B788"/>
  <c r="C788"/>
  <c r="D788"/>
  <c r="E788"/>
  <c r="A789"/>
  <c r="B789"/>
  <c r="C789"/>
  <c r="D789"/>
  <c r="E789"/>
  <c r="G789"/>
  <c r="H789"/>
  <c r="I789"/>
  <c r="B790"/>
  <c r="C790"/>
  <c r="D790"/>
  <c r="E790"/>
  <c r="B791"/>
  <c r="C791"/>
  <c r="D791"/>
  <c r="E791"/>
  <c r="B792"/>
  <c r="C792"/>
  <c r="D792"/>
  <c r="E792"/>
  <c r="A793"/>
  <c r="B793"/>
  <c r="C793"/>
  <c r="D793"/>
  <c r="E793"/>
  <c r="G793"/>
  <c r="H793"/>
  <c r="I793"/>
  <c r="B794"/>
  <c r="C794"/>
  <c r="D794"/>
  <c r="E794"/>
  <c r="B795"/>
  <c r="C795"/>
  <c r="D795"/>
  <c r="E795"/>
  <c r="B796"/>
  <c r="C796"/>
  <c r="D796"/>
  <c r="E796"/>
  <c r="A797"/>
  <c r="B797"/>
  <c r="C797"/>
  <c r="D797"/>
  <c r="E797"/>
  <c r="G797"/>
  <c r="H797"/>
  <c r="I797"/>
  <c r="B798"/>
  <c r="C798"/>
  <c r="D798"/>
  <c r="E798"/>
  <c r="B799"/>
  <c r="C799"/>
  <c r="D799"/>
  <c r="E799"/>
  <c r="B800"/>
  <c r="C800"/>
  <c r="D800"/>
  <c r="E800"/>
  <c r="A801"/>
  <c r="B801"/>
  <c r="C801"/>
  <c r="D801"/>
  <c r="E801"/>
  <c r="G801"/>
  <c r="H801"/>
  <c r="I801"/>
  <c r="B802"/>
  <c r="C802"/>
  <c r="D802"/>
  <c r="E802"/>
  <c r="B803"/>
  <c r="C803"/>
  <c r="D803"/>
  <c r="E803"/>
  <c r="B804"/>
  <c r="C804"/>
  <c r="D804"/>
  <c r="E804"/>
  <c r="A805"/>
  <c r="B805"/>
  <c r="C805"/>
  <c r="D805"/>
  <c r="E805"/>
  <c r="G805"/>
  <c r="H805"/>
  <c r="I805"/>
  <c r="B806"/>
  <c r="C806"/>
  <c r="D806"/>
  <c r="E806"/>
  <c r="B807"/>
  <c r="C807"/>
  <c r="D807"/>
  <c r="E807"/>
  <c r="B808"/>
  <c r="C808"/>
  <c r="D808"/>
  <c r="E808"/>
  <c r="A809"/>
  <c r="B809"/>
  <c r="C809"/>
  <c r="D809"/>
  <c r="E809"/>
  <c r="G809"/>
  <c r="H809"/>
  <c r="I809"/>
  <c r="B810"/>
  <c r="C810"/>
  <c r="D810"/>
  <c r="E810"/>
  <c r="B811"/>
  <c r="C811"/>
  <c r="D811"/>
  <c r="E811"/>
  <c r="B812"/>
  <c r="C812"/>
  <c r="D812"/>
  <c r="E812"/>
  <c r="A813"/>
  <c r="B813"/>
  <c r="C813"/>
  <c r="D813"/>
  <c r="E813"/>
  <c r="G813"/>
  <c r="H813"/>
  <c r="I813"/>
  <c r="B814"/>
  <c r="C814"/>
  <c r="D814"/>
  <c r="E814"/>
  <c r="B815"/>
  <c r="C815"/>
  <c r="D815"/>
  <c r="E815"/>
  <c r="B816"/>
  <c r="C816"/>
  <c r="D816"/>
  <c r="E816"/>
  <c r="A817"/>
  <c r="B817"/>
  <c r="C817"/>
  <c r="D817"/>
  <c r="E817"/>
  <c r="G817"/>
  <c r="H817"/>
  <c r="I817"/>
  <c r="B818"/>
  <c r="C818"/>
  <c r="D818"/>
  <c r="E818"/>
  <c r="B819"/>
  <c r="C819"/>
  <c r="D819"/>
  <c r="E819"/>
  <c r="B820"/>
  <c r="C820"/>
  <c r="D820"/>
  <c r="E820"/>
  <c r="A821"/>
  <c r="B821"/>
  <c r="C821"/>
  <c r="D821"/>
  <c r="E821"/>
  <c r="G821"/>
  <c r="H821"/>
  <c r="I821"/>
  <c r="B822"/>
  <c r="C822"/>
  <c r="D822"/>
  <c r="E822"/>
  <c r="B823"/>
  <c r="C823"/>
  <c r="D823"/>
  <c r="E823"/>
  <c r="B824"/>
  <c r="C824"/>
  <c r="D824"/>
  <c r="E824"/>
  <c r="A825"/>
  <c r="B825"/>
  <c r="C825"/>
  <c r="D825"/>
  <c r="E825"/>
  <c r="G825"/>
  <c r="H825"/>
  <c r="I825"/>
  <c r="B826"/>
  <c r="C826"/>
  <c r="D826"/>
  <c r="E826"/>
  <c r="B827"/>
  <c r="C827"/>
  <c r="D827"/>
  <c r="E827"/>
  <c r="B828"/>
  <c r="C828"/>
  <c r="D828"/>
  <c r="E828"/>
  <c r="A829"/>
  <c r="B829"/>
  <c r="C829"/>
  <c r="D829"/>
  <c r="E829"/>
  <c r="G829"/>
  <c r="H829"/>
  <c r="I829"/>
  <c r="B830"/>
  <c r="C830"/>
  <c r="D830"/>
  <c r="E830"/>
  <c r="B831"/>
  <c r="C831"/>
  <c r="D831"/>
  <c r="E831"/>
  <c r="B832"/>
  <c r="C832"/>
  <c r="D832"/>
  <c r="E832"/>
  <c r="A833"/>
  <c r="B833"/>
  <c r="C833"/>
  <c r="D833"/>
  <c r="E833"/>
  <c r="G833"/>
  <c r="H833"/>
  <c r="I833"/>
  <c r="B834"/>
  <c r="C834"/>
  <c r="D834"/>
  <c r="E834"/>
  <c r="B835"/>
  <c r="C835"/>
  <c r="D835"/>
  <c r="E835"/>
  <c r="B836"/>
  <c r="C836"/>
  <c r="D836"/>
  <c r="E836"/>
  <c r="A837"/>
  <c r="B837"/>
  <c r="C837"/>
  <c r="D837"/>
  <c r="E837"/>
  <c r="G837"/>
  <c r="H837"/>
  <c r="I837"/>
  <c r="B838"/>
  <c r="C838"/>
  <c r="D838"/>
  <c r="E838"/>
  <c r="B839"/>
  <c r="C839"/>
  <c r="D839"/>
  <c r="E839"/>
  <c r="B840"/>
  <c r="C840"/>
  <c r="D840"/>
  <c r="E840"/>
  <c r="A841"/>
  <c r="B841"/>
  <c r="C841"/>
  <c r="D841"/>
  <c r="E841"/>
  <c r="G841"/>
  <c r="H841"/>
  <c r="I841"/>
  <c r="B842"/>
  <c r="C842"/>
  <c r="D842"/>
  <c r="E842"/>
  <c r="B843"/>
  <c r="C843"/>
  <c r="D843"/>
  <c r="E843"/>
  <c r="B844"/>
  <c r="C844"/>
  <c r="D844"/>
  <c r="E844"/>
  <c r="A845"/>
  <c r="B845"/>
  <c r="C845"/>
  <c r="D845"/>
  <c r="E845"/>
  <c r="G845"/>
  <c r="H845"/>
  <c r="I845"/>
  <c r="B846"/>
  <c r="C846"/>
  <c r="D846"/>
  <c r="E846"/>
  <c r="B847"/>
  <c r="C847"/>
  <c r="D847"/>
  <c r="E847"/>
  <c r="B848"/>
  <c r="C848"/>
  <c r="D848"/>
  <c r="E848"/>
  <c r="A849"/>
  <c r="B849"/>
  <c r="C849"/>
  <c r="D849"/>
  <c r="E849"/>
  <c r="G849"/>
  <c r="H849"/>
  <c r="I849"/>
  <c r="B850"/>
  <c r="C850"/>
  <c r="D850"/>
  <c r="E850"/>
  <c r="B851"/>
  <c r="C851"/>
  <c r="D851"/>
  <c r="E851"/>
  <c r="B852"/>
  <c r="C852"/>
  <c r="D852"/>
  <c r="E852"/>
  <c r="A853"/>
  <c r="B853"/>
  <c r="C853"/>
  <c r="D853"/>
  <c r="E853"/>
  <c r="G853"/>
  <c r="H853"/>
  <c r="I853"/>
  <c r="B854"/>
  <c r="C854"/>
  <c r="D854"/>
  <c r="E854"/>
  <c r="B855"/>
  <c r="C855"/>
  <c r="D855"/>
  <c r="E855"/>
  <c r="B856"/>
  <c r="C856"/>
  <c r="D856"/>
  <c r="E856"/>
  <c r="A857"/>
  <c r="B857"/>
  <c r="C857"/>
  <c r="D857"/>
  <c r="E857"/>
  <c r="G857"/>
  <c r="H857"/>
  <c r="I857"/>
  <c r="B858"/>
  <c r="C858"/>
  <c r="D858"/>
  <c r="E858"/>
  <c r="B859"/>
  <c r="C859"/>
  <c r="D859"/>
  <c r="E859"/>
  <c r="B860"/>
  <c r="C860"/>
  <c r="D860"/>
  <c r="E860"/>
  <c r="A861"/>
  <c r="B861"/>
  <c r="C861"/>
  <c r="D861"/>
  <c r="E861"/>
  <c r="G861"/>
  <c r="H861"/>
  <c r="I861"/>
  <c r="B862"/>
  <c r="C862"/>
  <c r="D862"/>
  <c r="E862"/>
  <c r="B863"/>
  <c r="C863"/>
  <c r="D863"/>
  <c r="E863"/>
  <c r="B864"/>
  <c r="C864"/>
  <c r="D864"/>
  <c r="E864"/>
  <c r="A865"/>
  <c r="B865"/>
  <c r="C865"/>
  <c r="D865"/>
  <c r="E865"/>
  <c r="G865"/>
  <c r="H865"/>
  <c r="I865"/>
  <c r="B866"/>
  <c r="C866"/>
  <c r="D866"/>
  <c r="E866"/>
  <c r="B867"/>
  <c r="C867"/>
  <c r="D867"/>
  <c r="E867"/>
  <c r="B868"/>
  <c r="C868"/>
  <c r="D868"/>
  <c r="E868"/>
  <c r="A869"/>
  <c r="B869"/>
  <c r="C869"/>
  <c r="D869"/>
  <c r="E869"/>
  <c r="G869"/>
  <c r="H869"/>
  <c r="I869"/>
  <c r="B870"/>
  <c r="C870"/>
  <c r="D870"/>
  <c r="E870"/>
  <c r="B871"/>
  <c r="C871"/>
  <c r="D871"/>
  <c r="E871"/>
  <c r="B872"/>
  <c r="C872"/>
  <c r="D872"/>
  <c r="E872"/>
  <c r="A873"/>
  <c r="B873"/>
  <c r="C873"/>
  <c r="D873"/>
  <c r="E873"/>
  <c r="G873"/>
  <c r="H873"/>
  <c r="I873"/>
  <c r="B874"/>
  <c r="C874"/>
  <c r="D874"/>
  <c r="E874"/>
  <c r="B875"/>
  <c r="C875"/>
  <c r="D875"/>
  <c r="E875"/>
  <c r="B876"/>
  <c r="C876"/>
  <c r="D876"/>
  <c r="E876"/>
  <c r="A877"/>
  <c r="B877"/>
  <c r="C877"/>
  <c r="D877"/>
  <c r="E877"/>
  <c r="G877"/>
  <c r="H877"/>
  <c r="I877"/>
  <c r="B878"/>
  <c r="C878"/>
  <c r="D878"/>
  <c r="E878"/>
  <c r="B879"/>
  <c r="C879"/>
  <c r="D879"/>
  <c r="E879"/>
  <c r="B880"/>
  <c r="C880"/>
  <c r="D880"/>
  <c r="E880"/>
  <c r="A881"/>
  <c r="B881"/>
  <c r="C881"/>
  <c r="D881"/>
  <c r="E881"/>
  <c r="G881"/>
  <c r="H881"/>
  <c r="I881"/>
  <c r="B882"/>
  <c r="C882"/>
  <c r="D882"/>
  <c r="E882"/>
  <c r="B883"/>
  <c r="C883"/>
  <c r="D883"/>
  <c r="E883"/>
  <c r="B884"/>
  <c r="C884"/>
  <c r="D884"/>
  <c r="E884"/>
  <c r="A885"/>
  <c r="B885"/>
  <c r="C885"/>
  <c r="D885"/>
  <c r="E885"/>
  <c r="G885"/>
  <c r="H885"/>
  <c r="I885"/>
  <c r="B886"/>
  <c r="C886"/>
  <c r="D886"/>
  <c r="E886"/>
  <c r="B887"/>
  <c r="C887"/>
  <c r="D887"/>
  <c r="E887"/>
  <c r="B888"/>
  <c r="C888"/>
  <c r="D888"/>
  <c r="E888"/>
  <c r="A889"/>
  <c r="B889"/>
  <c r="C889"/>
  <c r="D889"/>
  <c r="E889"/>
  <c r="G889"/>
  <c r="H889"/>
  <c r="I889"/>
  <c r="B890"/>
  <c r="C890"/>
  <c r="D890"/>
  <c r="E890"/>
  <c r="B891"/>
  <c r="C891"/>
  <c r="D891"/>
  <c r="E891"/>
  <c r="B892"/>
  <c r="C892"/>
  <c r="D892"/>
  <c r="E892"/>
  <c r="A893"/>
  <c r="B893"/>
  <c r="C893"/>
  <c r="D893"/>
  <c r="E893"/>
  <c r="G893"/>
  <c r="H893"/>
  <c r="I893"/>
  <c r="B894"/>
  <c r="C894"/>
  <c r="D894"/>
  <c r="E894"/>
  <c r="B895"/>
  <c r="C895"/>
  <c r="D895"/>
  <c r="E895"/>
  <c r="B896"/>
  <c r="C896"/>
  <c r="D896"/>
  <c r="E896"/>
  <c r="A897"/>
  <c r="B897"/>
  <c r="C897"/>
  <c r="D897"/>
  <c r="E897"/>
  <c r="G897"/>
  <c r="H897"/>
  <c r="I897"/>
  <c r="B898"/>
  <c r="C898"/>
  <c r="D898"/>
  <c r="E898"/>
  <c r="B899"/>
  <c r="C899"/>
  <c r="D899"/>
  <c r="E899"/>
  <c r="B900"/>
  <c r="C900"/>
  <c r="D900"/>
  <c r="E900"/>
  <c r="A901"/>
  <c r="B901"/>
  <c r="C901"/>
  <c r="D901"/>
  <c r="E901"/>
  <c r="G901"/>
  <c r="H901"/>
  <c r="I901"/>
  <c r="B902"/>
  <c r="C902"/>
  <c r="D902"/>
  <c r="E902"/>
  <c r="B903"/>
  <c r="C903"/>
  <c r="D903"/>
  <c r="E903"/>
  <c r="B904"/>
  <c r="C904"/>
  <c r="D904"/>
  <c r="E904"/>
  <c r="A905"/>
  <c r="B905"/>
  <c r="C905"/>
  <c r="D905"/>
  <c r="E905"/>
  <c r="G905"/>
  <c r="H905"/>
  <c r="I905"/>
  <c r="B906"/>
  <c r="C906"/>
  <c r="D906"/>
  <c r="E906"/>
  <c r="B907"/>
  <c r="C907"/>
  <c r="D907"/>
  <c r="E907"/>
  <c r="B908"/>
  <c r="C908"/>
  <c r="D908"/>
  <c r="E908"/>
  <c r="A909"/>
  <c r="B909"/>
  <c r="C909"/>
  <c r="D909"/>
  <c r="E909"/>
  <c r="G909"/>
  <c r="H909"/>
  <c r="I909"/>
  <c r="B910"/>
  <c r="C910"/>
  <c r="D910"/>
  <c r="E910"/>
  <c r="B911"/>
  <c r="C911"/>
  <c r="D911"/>
  <c r="E911"/>
  <c r="B912"/>
  <c r="C912"/>
  <c r="D912"/>
  <c r="E912"/>
  <c r="A913"/>
  <c r="B913"/>
  <c r="C913"/>
  <c r="D913"/>
  <c r="E913"/>
  <c r="G913"/>
  <c r="H913"/>
  <c r="I913"/>
  <c r="B914"/>
  <c r="C914"/>
  <c r="D914"/>
  <c r="E914"/>
  <c r="B915"/>
  <c r="C915"/>
  <c r="D915"/>
  <c r="E915"/>
  <c r="B916"/>
  <c r="C916"/>
  <c r="D916"/>
  <c r="E916"/>
  <c r="A917"/>
  <c r="B917"/>
  <c r="C917"/>
  <c r="D917"/>
  <c r="E917"/>
  <c r="G917"/>
  <c r="H917"/>
  <c r="I917"/>
  <c r="B918"/>
  <c r="C918"/>
  <c r="D918"/>
  <c r="E918"/>
  <c r="B919"/>
  <c r="C919"/>
  <c r="D919"/>
  <c r="E919"/>
  <c r="B920"/>
  <c r="C920"/>
  <c r="D920"/>
  <c r="E920"/>
  <c r="A921"/>
  <c r="B921"/>
  <c r="C921"/>
  <c r="D921"/>
  <c r="E921"/>
  <c r="G921"/>
  <c r="H921"/>
  <c r="I921"/>
  <c r="B922"/>
  <c r="C922"/>
  <c r="D922"/>
  <c r="E922"/>
  <c r="B923"/>
  <c r="C923"/>
  <c r="D923"/>
  <c r="E923"/>
  <c r="B924"/>
  <c r="C924"/>
  <c r="D924"/>
  <c r="E924"/>
  <c r="A925"/>
  <c r="B925"/>
  <c r="C925"/>
  <c r="D925"/>
  <c r="E925"/>
  <c r="G925"/>
  <c r="H925"/>
  <c r="I925"/>
  <c r="B926"/>
  <c r="C926"/>
  <c r="D926"/>
  <c r="E926"/>
  <c r="B927"/>
  <c r="C927"/>
  <c r="D927"/>
  <c r="E927"/>
  <c r="B928"/>
  <c r="C928"/>
  <c r="D928"/>
  <c r="E928"/>
  <c r="A929"/>
  <c r="B929"/>
  <c r="C929"/>
  <c r="D929"/>
  <c r="E929"/>
  <c r="G929"/>
  <c r="H929"/>
  <c r="I929"/>
  <c r="B930"/>
  <c r="C930"/>
  <c r="D930"/>
  <c r="E930"/>
  <c r="B931"/>
  <c r="C931"/>
  <c r="D931"/>
  <c r="E931"/>
  <c r="B932"/>
  <c r="C932"/>
  <c r="D932"/>
  <c r="E932"/>
  <c r="A933"/>
  <c r="B933"/>
  <c r="C933"/>
  <c r="D933"/>
  <c r="E933"/>
  <c r="G933"/>
  <c r="H933"/>
  <c r="I933"/>
  <c r="B934"/>
  <c r="C934"/>
  <c r="D934"/>
  <c r="E934"/>
  <c r="B935"/>
  <c r="C935"/>
  <c r="D935"/>
  <c r="E935"/>
  <c r="B936"/>
  <c r="C936"/>
  <c r="D936"/>
  <c r="E936"/>
  <c r="A937"/>
  <c r="B937"/>
  <c r="C937"/>
  <c r="D937"/>
  <c r="E937"/>
  <c r="G937"/>
  <c r="H937"/>
  <c r="I937"/>
  <c r="B938"/>
  <c r="C938"/>
  <c r="D938"/>
  <c r="E938"/>
  <c r="B939"/>
  <c r="C939"/>
  <c r="D939"/>
  <c r="E939"/>
  <c r="B940"/>
  <c r="C940"/>
  <c r="D940"/>
  <c r="E940"/>
  <c r="A941"/>
  <c r="B941"/>
  <c r="C941"/>
  <c r="D941"/>
  <c r="E941"/>
  <c r="G941"/>
  <c r="H941"/>
  <c r="I941"/>
  <c r="B942"/>
  <c r="C942"/>
  <c r="D942"/>
  <c r="E942"/>
  <c r="B943"/>
  <c r="C943"/>
  <c r="D943"/>
  <c r="E943"/>
  <c r="B944"/>
  <c r="C944"/>
  <c r="D944"/>
  <c r="E944"/>
  <c r="A945"/>
  <c r="B945"/>
  <c r="C945"/>
  <c r="D945"/>
  <c r="E945"/>
  <c r="G945"/>
  <c r="H945"/>
  <c r="I945"/>
  <c r="B946"/>
  <c r="C946"/>
  <c r="D946"/>
  <c r="E946"/>
  <c r="B947"/>
  <c r="C947"/>
  <c r="D947"/>
  <c r="E947"/>
  <c r="B948"/>
  <c r="C948"/>
  <c r="D948"/>
  <c r="E948"/>
  <c r="A949"/>
  <c r="B949"/>
  <c r="C949"/>
  <c r="D949"/>
  <c r="E949"/>
  <c r="G949"/>
  <c r="H949"/>
  <c r="I949"/>
  <c r="B950"/>
  <c r="C950"/>
  <c r="D950"/>
  <c r="E950"/>
  <c r="B951"/>
  <c r="C951"/>
  <c r="D951"/>
  <c r="E951"/>
  <c r="B952"/>
  <c r="C952"/>
  <c r="D952"/>
  <c r="E952"/>
  <c r="A953"/>
  <c r="B953"/>
  <c r="C953"/>
  <c r="D953"/>
  <c r="E953"/>
  <c r="G953"/>
  <c r="H953"/>
  <c r="I953"/>
  <c r="B954"/>
  <c r="C954"/>
  <c r="D954"/>
  <c r="E954"/>
  <c r="B955"/>
  <c r="C955"/>
  <c r="D955"/>
  <c r="E955"/>
  <c r="B956"/>
  <c r="C956"/>
  <c r="D956"/>
  <c r="E956"/>
  <c r="A957"/>
  <c r="B957"/>
  <c r="C957"/>
  <c r="D957"/>
  <c r="E957"/>
  <c r="G957"/>
  <c r="H957"/>
  <c r="I957"/>
  <c r="B958"/>
  <c r="C958"/>
  <c r="D958"/>
  <c r="E958"/>
  <c r="B959"/>
  <c r="C959"/>
  <c r="D959"/>
  <c r="E959"/>
  <c r="B960"/>
  <c r="C960"/>
  <c r="D960"/>
  <c r="E960"/>
  <c r="A961"/>
  <c r="B961"/>
  <c r="C961"/>
  <c r="D961"/>
  <c r="E961"/>
  <c r="G961"/>
  <c r="H961"/>
  <c r="I961"/>
  <c r="B962"/>
  <c r="C962"/>
  <c r="D962"/>
  <c r="E962"/>
  <c r="B963"/>
  <c r="C963"/>
  <c r="D963"/>
  <c r="E963"/>
  <c r="B964"/>
  <c r="C964"/>
  <c r="D964"/>
  <c r="E964"/>
  <c r="A965"/>
  <c r="B965"/>
  <c r="C965"/>
  <c r="D965"/>
  <c r="E965"/>
  <c r="G965"/>
  <c r="H965"/>
  <c r="I965"/>
  <c r="B966"/>
  <c r="C966"/>
  <c r="D966"/>
  <c r="E966"/>
  <c r="B967"/>
  <c r="C967"/>
  <c r="D967"/>
  <c r="E967"/>
  <c r="B968"/>
  <c r="C968"/>
  <c r="D968"/>
  <c r="E968"/>
  <c r="A969"/>
  <c r="B969"/>
  <c r="C969"/>
  <c r="D969"/>
  <c r="E969"/>
  <c r="G969"/>
  <c r="H969"/>
  <c r="I969"/>
  <c r="B970"/>
  <c r="C970"/>
  <c r="D970"/>
  <c r="E970"/>
  <c r="B971"/>
  <c r="C971"/>
  <c r="D971"/>
  <c r="E971"/>
  <c r="B972"/>
  <c r="C972"/>
  <c r="D972"/>
  <c r="E972"/>
  <c r="A973"/>
  <c r="B973"/>
  <c r="C973"/>
  <c r="D973"/>
  <c r="E973"/>
  <c r="G973"/>
  <c r="H973"/>
  <c r="I973"/>
  <c r="B974"/>
  <c r="C974"/>
  <c r="D974"/>
  <c r="E974"/>
  <c r="B975"/>
  <c r="C975"/>
  <c r="D975"/>
  <c r="E975"/>
  <c r="B976"/>
  <c r="C976"/>
  <c r="D976"/>
  <c r="E976"/>
  <c r="A977"/>
  <c r="B977"/>
  <c r="C977"/>
  <c r="D977"/>
  <c r="E977"/>
  <c r="G977"/>
  <c r="H977"/>
  <c r="I977"/>
  <c r="B978"/>
  <c r="C978"/>
  <c r="D978"/>
  <c r="E978"/>
  <c r="B979"/>
  <c r="C979"/>
  <c r="D979"/>
  <c r="E979"/>
  <c r="B980"/>
  <c r="C980"/>
  <c r="D980"/>
  <c r="E980"/>
  <c r="A981"/>
  <c r="B981"/>
  <c r="C981"/>
  <c r="D981"/>
  <c r="E981"/>
  <c r="G981"/>
  <c r="H981"/>
  <c r="I981"/>
  <c r="B982"/>
  <c r="C982"/>
  <c r="D982"/>
  <c r="E982"/>
  <c r="B983"/>
  <c r="C983"/>
  <c r="D983"/>
  <c r="E983"/>
  <c r="B984"/>
  <c r="C984"/>
  <c r="D984"/>
  <c r="E984"/>
  <c r="A985"/>
  <c r="B985"/>
  <c r="C985"/>
  <c r="D985"/>
  <c r="E985"/>
  <c r="G985"/>
  <c r="H985"/>
  <c r="I985"/>
  <c r="B986"/>
  <c r="C986"/>
  <c r="D986"/>
  <c r="E986"/>
  <c r="B987"/>
  <c r="C987"/>
  <c r="D987"/>
  <c r="E987"/>
  <c r="B988"/>
  <c r="C988"/>
  <c r="D988"/>
  <c r="E988"/>
  <c r="A989"/>
  <c r="B989"/>
  <c r="C989"/>
  <c r="D989"/>
  <c r="E989"/>
  <c r="G989"/>
  <c r="H989"/>
  <c r="I989"/>
  <c r="B990"/>
  <c r="C990"/>
  <c r="D990"/>
  <c r="E990"/>
  <c r="B991"/>
  <c r="C991"/>
  <c r="D991"/>
  <c r="E991"/>
  <c r="B992"/>
  <c r="C992"/>
  <c r="D992"/>
  <c r="E992"/>
  <c r="A993"/>
  <c r="B993"/>
  <c r="C993"/>
  <c r="D993"/>
  <c r="E993"/>
  <c r="G993"/>
  <c r="H993"/>
  <c r="I993"/>
  <c r="B994"/>
  <c r="C994"/>
  <c r="D994"/>
  <c r="E994"/>
  <c r="B995"/>
  <c r="C995"/>
  <c r="D995"/>
  <c r="E995"/>
  <c r="B996"/>
  <c r="C996"/>
  <c r="D996"/>
  <c r="E996"/>
  <c r="A997"/>
  <c r="B997"/>
  <c r="C997"/>
  <c r="D997"/>
  <c r="E997"/>
  <c r="G997"/>
  <c r="H997"/>
  <c r="I997"/>
  <c r="B998"/>
  <c r="C998"/>
  <c r="D998"/>
  <c r="E998"/>
  <c r="B999"/>
  <c r="C999"/>
  <c r="D999"/>
  <c r="E999"/>
  <c r="B1000"/>
  <c r="C1000"/>
  <c r="D1000"/>
  <c r="E1000"/>
  <c r="A1001"/>
  <c r="B1001"/>
  <c r="C1001"/>
  <c r="D1001"/>
  <c r="E1001"/>
  <c r="G1001"/>
  <c r="H1001"/>
  <c r="I1001"/>
  <c r="B1002"/>
  <c r="C1002"/>
  <c r="D1002"/>
  <c r="E1002"/>
  <c r="B1003"/>
  <c r="C1003"/>
  <c r="D1003"/>
  <c r="E1003"/>
  <c r="B1004"/>
  <c r="C1004"/>
  <c r="D1004"/>
  <c r="E1004"/>
  <c r="A1005"/>
  <c r="B1005"/>
  <c r="C1005"/>
  <c r="D1005"/>
  <c r="E1005"/>
  <c r="G1005"/>
  <c r="H1005"/>
  <c r="I1005"/>
  <c r="B1006"/>
  <c r="C1006"/>
  <c r="D1006"/>
  <c r="E1006"/>
  <c r="B1007"/>
  <c r="C1007"/>
  <c r="D1007"/>
  <c r="E1007"/>
  <c r="B1008"/>
  <c r="C1008"/>
  <c r="D1008"/>
  <c r="E1008"/>
  <c r="A1009"/>
  <c r="B1009"/>
  <c r="C1009"/>
  <c r="D1009"/>
  <c r="E1009"/>
  <c r="G1009"/>
  <c r="H1009"/>
  <c r="I1009"/>
  <c r="B1010"/>
  <c r="C1010"/>
  <c r="D1010"/>
  <c r="E1010"/>
  <c r="B1011"/>
  <c r="C1011"/>
  <c r="D1011"/>
  <c r="E1011"/>
  <c r="B1012"/>
  <c r="C1012"/>
  <c r="D1012"/>
  <c r="E1012"/>
  <c r="A1013"/>
  <c r="B1013"/>
  <c r="C1013"/>
  <c r="D1013"/>
  <c r="E1013"/>
  <c r="G1013"/>
  <c r="H1013"/>
  <c r="I1013"/>
  <c r="B1014"/>
  <c r="C1014"/>
  <c r="D1014"/>
  <c r="E1014"/>
  <c r="B1015"/>
  <c r="C1015"/>
  <c r="D1015"/>
  <c r="E1015"/>
  <c r="B1016"/>
  <c r="C1016"/>
  <c r="D1016"/>
  <c r="E1016"/>
  <c r="A1017"/>
  <c r="B1017"/>
  <c r="C1017"/>
  <c r="D1017"/>
  <c r="E1017"/>
  <c r="G1017"/>
  <c r="H1017"/>
  <c r="I1017"/>
  <c r="B1018"/>
  <c r="C1018"/>
  <c r="D1018"/>
  <c r="E1018"/>
  <c r="B1019"/>
  <c r="C1019"/>
  <c r="D1019"/>
  <c r="E1019"/>
  <c r="B1020"/>
  <c r="C1020"/>
  <c r="D1020"/>
  <c r="E1020"/>
  <c r="A1021"/>
  <c r="B1021"/>
  <c r="C1021"/>
  <c r="D1021"/>
  <c r="E1021"/>
  <c r="G1021"/>
  <c r="H1021"/>
  <c r="I1021"/>
  <c r="B1022"/>
  <c r="C1022"/>
  <c r="D1022"/>
  <c r="E1022"/>
  <c r="B1023"/>
  <c r="C1023"/>
  <c r="D1023"/>
  <c r="E1023"/>
  <c r="B1024"/>
  <c r="C1024"/>
  <c r="D1024"/>
  <c r="E1024"/>
  <c r="A1025"/>
  <c r="B1025"/>
  <c r="C1025"/>
  <c r="D1025"/>
  <c r="E1025"/>
  <c r="G1025"/>
  <c r="H1025"/>
  <c r="I1025"/>
  <c r="B1026"/>
  <c r="C1026"/>
  <c r="D1026"/>
  <c r="E1026"/>
  <c r="B1027"/>
  <c r="C1027"/>
  <c r="D1027"/>
  <c r="E1027"/>
  <c r="B1028"/>
  <c r="C1028"/>
  <c r="D1028"/>
  <c r="E1028"/>
  <c r="F1" i="85"/>
  <c r="F1" i="127"/>
  <c r="F1" i="128"/>
  <c r="F1" i="129"/>
  <c r="F1" i="130"/>
  <c r="F1" i="131"/>
  <c r="F1" i="132"/>
  <c r="F1" i="133"/>
  <c r="F1" i="134"/>
  <c r="F1" i="135"/>
  <c r="F1" i="136"/>
  <c r="F1" i="137"/>
  <c r="F1" i="138"/>
  <c r="F1" i="139"/>
  <c r="F1" i="140"/>
  <c r="F1" i="141"/>
  <c r="F1" i="142"/>
  <c r="F1" i="143"/>
  <c r="F1" i="144"/>
  <c r="F1" i="145"/>
  <c r="F1" i="146"/>
  <c r="F1" i="147"/>
  <c r="F1" i="148"/>
  <c r="F1" i="149"/>
  <c r="F1" i="150"/>
  <c r="F1" i="151"/>
  <c r="F1" i="152"/>
  <c r="F1" i="153"/>
  <c r="F1" i="154"/>
  <c r="F1" i="155"/>
  <c r="F1" i="156"/>
  <c r="F1" i="157"/>
  <c r="F1" i="158"/>
  <c r="F122" i="117"/>
  <c r="G122"/>
  <c r="H122"/>
  <c r="I122"/>
  <c r="F123"/>
  <c r="G123"/>
  <c r="H123"/>
  <c r="I123"/>
  <c r="F124"/>
  <c r="G124"/>
  <c r="H124"/>
  <c r="I124"/>
  <c r="F125"/>
  <c r="G125"/>
  <c r="H125"/>
  <c r="I125"/>
  <c r="F126"/>
  <c r="G126"/>
  <c r="H126"/>
  <c r="I126"/>
  <c r="F127"/>
  <c r="G127"/>
  <c r="H127"/>
  <c r="I127"/>
  <c r="F128"/>
  <c r="G128"/>
  <c r="H128"/>
  <c r="I128"/>
  <c r="F129"/>
  <c r="G129"/>
  <c r="H129"/>
  <c r="I129"/>
  <c r="F130"/>
  <c r="G130"/>
  <c r="H130"/>
  <c r="I130"/>
  <c r="F131"/>
  <c r="G131"/>
  <c r="H131"/>
  <c r="I131"/>
  <c r="F132"/>
  <c r="G132"/>
  <c r="H132"/>
  <c r="I132"/>
  <c r="F133"/>
  <c r="G133"/>
  <c r="H133"/>
  <c r="I133"/>
  <c r="F134"/>
  <c r="G134"/>
  <c r="H134"/>
  <c r="I134"/>
  <c r="F135"/>
  <c r="G135"/>
  <c r="H135"/>
  <c r="I135"/>
  <c r="F136"/>
  <c r="G136"/>
  <c r="H136"/>
  <c r="I136"/>
  <c r="F137"/>
  <c r="G137"/>
  <c r="H137"/>
  <c r="I137"/>
  <c r="F138"/>
  <c r="G138"/>
  <c r="H138"/>
  <c r="I138"/>
  <c r="F139"/>
  <c r="G139"/>
  <c r="H139"/>
  <c r="I139"/>
  <c r="F140"/>
  <c r="G140"/>
  <c r="H140"/>
  <c r="I140"/>
  <c r="F141"/>
  <c r="G141"/>
  <c r="H141"/>
  <c r="I141"/>
  <c r="F142"/>
  <c r="G142"/>
  <c r="H142"/>
  <c r="I142"/>
  <c r="F143"/>
  <c r="G143"/>
  <c r="H143"/>
  <c r="I143"/>
  <c r="F144"/>
  <c r="G144"/>
  <c r="H144"/>
  <c r="I144"/>
  <c r="F145"/>
  <c r="G145"/>
  <c r="H145"/>
  <c r="I145"/>
  <c r="F146"/>
  <c r="G146"/>
  <c r="H146"/>
  <c r="I146"/>
  <c r="F147"/>
  <c r="G147"/>
  <c r="H147"/>
  <c r="I147"/>
  <c r="F148"/>
  <c r="G148"/>
  <c r="H148"/>
  <c r="I148"/>
  <c r="F149"/>
  <c r="G149"/>
  <c r="H149"/>
  <c r="I149"/>
  <c r="F150"/>
  <c r="G150"/>
  <c r="H150"/>
  <c r="I150"/>
  <c r="F151"/>
  <c r="G151"/>
  <c r="H151"/>
  <c r="I151"/>
  <c r="F152"/>
  <c r="G152"/>
  <c r="H152"/>
  <c r="I152"/>
  <c r="F153"/>
  <c r="G153"/>
  <c r="H153"/>
  <c r="I153"/>
  <c r="F154"/>
  <c r="G154"/>
  <c r="I154"/>
  <c r="F155"/>
  <c r="G155"/>
  <c r="H155"/>
  <c r="I155"/>
  <c r="F156"/>
  <c r="G156"/>
  <c r="I156"/>
  <c r="F157"/>
  <c r="G157"/>
  <c r="H157"/>
  <c r="I157"/>
  <c r="F158"/>
  <c r="G158"/>
  <c r="I158"/>
  <c r="F159"/>
  <c r="G159"/>
  <c r="H159"/>
  <c r="I159"/>
  <c r="F160"/>
  <c r="G160"/>
  <c r="I160"/>
  <c r="F161"/>
  <c r="G161"/>
  <c r="H161"/>
  <c r="I161"/>
  <c r="F162"/>
  <c r="G162"/>
  <c r="I162"/>
  <c r="F163"/>
  <c r="G163"/>
  <c r="H163"/>
  <c r="I163"/>
  <c r="F164"/>
  <c r="G164"/>
  <c r="I164"/>
  <c r="F165"/>
  <c r="G165"/>
  <c r="H165"/>
  <c r="I165"/>
  <c r="F166"/>
  <c r="G166"/>
  <c r="I166"/>
  <c r="F167"/>
  <c r="G167"/>
  <c r="H167"/>
  <c r="I167"/>
  <c r="F168"/>
  <c r="G168"/>
  <c r="I168"/>
  <c r="F169"/>
  <c r="G169"/>
  <c r="H169"/>
  <c r="I169"/>
  <c r="F170"/>
  <c r="G170"/>
  <c r="I170"/>
  <c r="F171"/>
  <c r="G171"/>
  <c r="H171"/>
  <c r="I171"/>
  <c r="F172"/>
  <c r="G172"/>
  <c r="I172"/>
  <c r="F173"/>
  <c r="G173"/>
  <c r="H173"/>
  <c r="I173"/>
  <c r="F174"/>
  <c r="G174"/>
  <c r="I174"/>
  <c r="F175"/>
  <c r="G175"/>
  <c r="H175"/>
  <c r="I175"/>
  <c r="F176"/>
  <c r="G176"/>
  <c r="I176"/>
  <c r="F177"/>
  <c r="G177"/>
  <c r="H177"/>
  <c r="I177"/>
  <c r="F178"/>
  <c r="G178"/>
  <c r="I178"/>
  <c r="F179"/>
  <c r="G179"/>
  <c r="H179"/>
  <c r="I179"/>
  <c r="F180"/>
  <c r="G180"/>
  <c r="I180"/>
  <c r="F181"/>
  <c r="G181"/>
  <c r="H181"/>
  <c r="I181"/>
  <c r="F182"/>
  <c r="G182"/>
  <c r="I182"/>
  <c r="F183"/>
  <c r="G183"/>
  <c r="H183"/>
  <c r="I183"/>
  <c r="F184"/>
  <c r="G184"/>
  <c r="I184"/>
  <c r="F185"/>
  <c r="G185"/>
  <c r="H185"/>
  <c r="I185"/>
  <c r="F186"/>
  <c r="G186"/>
  <c r="I186"/>
  <c r="F187"/>
  <c r="G187"/>
  <c r="H187"/>
  <c r="I187"/>
  <c r="F188"/>
  <c r="G188"/>
  <c r="I188"/>
  <c r="F189"/>
  <c r="G189"/>
  <c r="H189"/>
  <c r="I189"/>
  <c r="F190"/>
  <c r="G190"/>
  <c r="I190"/>
  <c r="F191"/>
  <c r="G191"/>
  <c r="H191"/>
  <c r="I191"/>
  <c r="F192"/>
  <c r="G192"/>
  <c r="I192"/>
  <c r="F193"/>
  <c r="G193"/>
  <c r="H193"/>
  <c r="I193"/>
  <c r="F194"/>
  <c r="G194"/>
  <c r="I194"/>
  <c r="F195"/>
  <c r="G195"/>
  <c r="H195"/>
  <c r="I195"/>
  <c r="F196"/>
  <c r="G196"/>
  <c r="I196"/>
  <c r="F197"/>
  <c r="G197"/>
  <c r="H197"/>
  <c r="I197"/>
  <c r="F198"/>
  <c r="G198"/>
  <c r="I198"/>
  <c r="F199"/>
  <c r="G199"/>
  <c r="H199"/>
  <c r="I199"/>
  <c r="F200"/>
  <c r="G200"/>
  <c r="I200"/>
  <c r="F201"/>
  <c r="G201"/>
  <c r="H201"/>
  <c r="I201"/>
  <c r="F202"/>
  <c r="G202"/>
  <c r="I202"/>
  <c r="F203"/>
  <c r="G203"/>
  <c r="H203"/>
  <c r="I203"/>
  <c r="F204"/>
  <c r="G204"/>
  <c r="I204"/>
  <c r="F205"/>
  <c r="G205"/>
  <c r="H205"/>
  <c r="I205"/>
  <c r="F206"/>
  <c r="G206"/>
  <c r="I206"/>
  <c r="F207"/>
  <c r="G207"/>
  <c r="H207"/>
  <c r="I207"/>
  <c r="F208"/>
  <c r="G208"/>
  <c r="H208"/>
  <c r="I208"/>
  <c r="F209"/>
  <c r="G209"/>
  <c r="H209"/>
  <c r="I209"/>
  <c r="F210"/>
  <c r="G210"/>
  <c r="H210"/>
  <c r="I210"/>
  <c r="F211"/>
  <c r="G211"/>
  <c r="H211"/>
  <c r="I211"/>
  <c r="F212"/>
  <c r="G212"/>
  <c r="H212"/>
  <c r="I212"/>
  <c r="F213"/>
  <c r="G213"/>
  <c r="H213"/>
  <c r="I213"/>
  <c r="F214"/>
  <c r="G214"/>
  <c r="H214"/>
  <c r="I214"/>
  <c r="F215"/>
  <c r="G215"/>
  <c r="H215"/>
  <c r="I215"/>
  <c r="F216"/>
  <c r="G216"/>
  <c r="H216"/>
  <c r="I216"/>
  <c r="F217"/>
  <c r="G217"/>
  <c r="H217"/>
  <c r="I217"/>
  <c r="F218"/>
  <c r="G218"/>
  <c r="H218"/>
  <c r="I218"/>
  <c r="F219"/>
  <c r="G219"/>
  <c r="H219"/>
  <c r="I219"/>
  <c r="F220"/>
  <c r="G220"/>
  <c r="H220"/>
  <c r="I220"/>
  <c r="F221"/>
  <c r="G221"/>
  <c r="H221"/>
  <c r="I221"/>
  <c r="F222"/>
  <c r="G222"/>
  <c r="H222"/>
  <c r="I222"/>
  <c r="F223"/>
  <c r="G223"/>
  <c r="H223"/>
  <c r="I223"/>
  <c r="F224"/>
  <c r="G224"/>
  <c r="H224"/>
  <c r="I224"/>
  <c r="F225"/>
  <c r="G225"/>
  <c r="H225"/>
  <c r="I225"/>
  <c r="F226"/>
  <c r="G226"/>
  <c r="H226"/>
  <c r="I226"/>
  <c r="F227"/>
  <c r="G227"/>
  <c r="H227"/>
  <c r="I227"/>
  <c r="F228"/>
  <c r="G228"/>
  <c r="H228"/>
  <c r="I228"/>
  <c r="F229"/>
  <c r="G229"/>
  <c r="H229"/>
  <c r="I229"/>
  <c r="F230"/>
  <c r="G230"/>
  <c r="H230"/>
  <c r="I230"/>
  <c r="F231"/>
  <c r="G231"/>
  <c r="H231"/>
  <c r="I231"/>
  <c r="F232"/>
  <c r="G232"/>
  <c r="H232"/>
  <c r="I232"/>
  <c r="F233"/>
  <c r="G233"/>
  <c r="H233"/>
  <c r="I233"/>
  <c r="F234"/>
  <c r="G234"/>
  <c r="H234"/>
  <c r="I234"/>
  <c r="F235"/>
  <c r="G235"/>
  <c r="H235"/>
  <c r="I235"/>
  <c r="F236"/>
  <c r="G236"/>
  <c r="H236"/>
  <c r="I236"/>
  <c r="F237"/>
  <c r="G237"/>
  <c r="H237"/>
  <c r="I237"/>
  <c r="F238"/>
  <c r="G238"/>
  <c r="H238"/>
  <c r="I238"/>
  <c r="F239"/>
  <c r="G239"/>
  <c r="H239"/>
  <c r="I239"/>
  <c r="F240"/>
  <c r="G240"/>
  <c r="H240"/>
  <c r="I240"/>
  <c r="F241"/>
  <c r="G241"/>
  <c r="H241"/>
  <c r="I241"/>
  <c r="F242"/>
  <c r="G242"/>
  <c r="H242"/>
  <c r="I242"/>
  <c r="F243"/>
  <c r="G243"/>
  <c r="H243"/>
  <c r="I243"/>
  <c r="F244"/>
  <c r="G244"/>
  <c r="H244"/>
  <c r="I244"/>
  <c r="F245"/>
  <c r="G245"/>
  <c r="H245"/>
  <c r="I245"/>
  <c r="F246"/>
  <c r="G246"/>
  <c r="H246"/>
  <c r="I246"/>
  <c r="F247"/>
  <c r="G247"/>
  <c r="H247"/>
  <c r="I247"/>
  <c r="F248"/>
  <c r="G248"/>
  <c r="H248"/>
  <c r="I248"/>
  <c r="F249"/>
  <c r="G249"/>
  <c r="H249"/>
  <c r="I249"/>
  <c r="I131" i="115"/>
  <c r="I132"/>
  <c r="I133"/>
  <c r="I134"/>
  <c r="I135"/>
  <c r="I136"/>
  <c r="I137"/>
  <c r="I138"/>
  <c r="I139"/>
  <c r="I140"/>
  <c r="I141"/>
  <c r="I142"/>
  <c r="I143"/>
  <c r="I144"/>
  <c r="I145"/>
  <c r="I146"/>
  <c r="H266" i="47"/>
  <c r="BF266"/>
  <c r="H265"/>
  <c r="BF265"/>
  <c r="H264"/>
  <c r="BF264"/>
  <c r="H263"/>
  <c r="BF263"/>
  <c r="H262"/>
  <c r="BF262"/>
  <c r="H261"/>
  <c r="BF261"/>
  <c r="H260"/>
  <c r="BF260"/>
  <c r="H259"/>
  <c r="BF259"/>
  <c r="H258"/>
  <c r="BF258"/>
  <c r="H257"/>
  <c r="BF257"/>
  <c r="H256"/>
  <c r="BF256"/>
  <c r="H255"/>
  <c r="BF255"/>
  <c r="H254"/>
  <c r="BF254"/>
  <c r="H253"/>
  <c r="BF253"/>
  <c r="H252"/>
  <c r="BF252"/>
  <c r="H251"/>
  <c r="BF251"/>
  <c r="H250"/>
  <c r="BF250"/>
  <c r="H249"/>
  <c r="BF249"/>
  <c r="H248"/>
  <c r="BF248"/>
  <c r="H247"/>
  <c r="BF247"/>
  <c r="H246"/>
  <c r="BF246"/>
  <c r="H245"/>
  <c r="BF245"/>
  <c r="H244"/>
  <c r="BF244"/>
  <c r="H243"/>
  <c r="BF243"/>
  <c r="H242"/>
  <c r="BF242"/>
  <c r="H241"/>
  <c r="BF241"/>
  <c r="H240"/>
  <c r="BF240"/>
  <c r="H239"/>
  <c r="BF239"/>
  <c r="H238"/>
  <c r="BF238"/>
  <c r="H237"/>
  <c r="BF237"/>
  <c r="H236"/>
  <c r="BF236"/>
  <c r="H235"/>
  <c r="BF235"/>
  <c r="H234"/>
  <c r="BF234"/>
  <c r="H233"/>
  <c r="BF233"/>
  <c r="H232"/>
  <c r="BF232"/>
  <c r="H231"/>
  <c r="BF231"/>
  <c r="H230"/>
  <c r="BF230"/>
  <c r="H229"/>
  <c r="BF229"/>
  <c r="H228"/>
  <c r="BF228"/>
  <c r="H227"/>
  <c r="BF227"/>
  <c r="H226"/>
  <c r="BF226"/>
  <c r="H225"/>
  <c r="BF225"/>
  <c r="H224"/>
  <c r="BF224"/>
  <c r="H223"/>
  <c r="BF223"/>
  <c r="H222"/>
  <c r="BF222"/>
  <c r="H221"/>
  <c r="BF221"/>
  <c r="H220"/>
  <c r="BF220"/>
  <c r="H219"/>
  <c r="BF219"/>
  <c r="H218"/>
  <c r="BF218"/>
  <c r="H217"/>
  <c r="BF217"/>
  <c r="H216"/>
  <c r="BF216"/>
  <c r="H215"/>
  <c r="BF215"/>
  <c r="H214"/>
  <c r="BF214"/>
  <c r="H213"/>
  <c r="BF213"/>
  <c r="H212"/>
  <c r="BF212"/>
  <c r="H211"/>
  <c r="BF211"/>
  <c r="H210"/>
  <c r="BF210"/>
  <c r="H209"/>
  <c r="BF209"/>
  <c r="H208"/>
  <c r="H207"/>
  <c r="H206"/>
  <c r="H205"/>
  <c r="H204"/>
  <c r="H203"/>
  <c r="H202"/>
  <c r="H201"/>
  <c r="H200"/>
  <c r="H199"/>
  <c r="H198"/>
  <c r="H197"/>
  <c r="H196"/>
  <c r="H195"/>
  <c r="H194"/>
  <c r="H193"/>
  <c r="H192"/>
  <c r="BF192"/>
  <c r="H191"/>
  <c r="BF191"/>
  <c r="H190"/>
  <c r="BF190"/>
  <c r="H189"/>
  <c r="BF189"/>
  <c r="H188"/>
  <c r="BF188"/>
  <c r="H187"/>
  <c r="BF187"/>
  <c r="H186"/>
  <c r="BF186"/>
  <c r="H185"/>
  <c r="BF185"/>
  <c r="H184"/>
  <c r="BF184"/>
  <c r="H183"/>
  <c r="BF183"/>
  <c r="H182"/>
  <c r="BF182"/>
  <c r="H181"/>
  <c r="BF181"/>
  <c r="H180"/>
  <c r="BF180"/>
  <c r="H179"/>
  <c r="BF179"/>
  <c r="H178"/>
  <c r="BF178"/>
  <c r="H177"/>
  <c r="BF177"/>
  <c r="H176"/>
  <c r="BF176"/>
  <c r="H175"/>
  <c r="BF175"/>
  <c r="H174"/>
  <c r="BF174"/>
  <c r="H173"/>
  <c r="BF173"/>
  <c r="H172"/>
  <c r="BF172"/>
  <c r="H171"/>
  <c r="BF171"/>
  <c r="H170"/>
  <c r="BF170"/>
  <c r="H169"/>
  <c r="BF169"/>
  <c r="H168"/>
  <c r="BF168"/>
  <c r="H167"/>
  <c r="BF167"/>
  <c r="H166"/>
  <c r="BF166"/>
  <c r="H165"/>
  <c r="BF165"/>
  <c r="H164"/>
  <c r="BF164"/>
  <c r="H163"/>
  <c r="BF163"/>
  <c r="H162"/>
  <c r="BF162"/>
  <c r="H161"/>
  <c r="BF161"/>
  <c r="H160"/>
  <c r="BF160"/>
  <c r="H159"/>
  <c r="BF159"/>
  <c r="H158"/>
  <c r="BF158"/>
  <c r="H157"/>
  <c r="BF157"/>
  <c r="H156"/>
  <c r="BF156"/>
  <c r="H155"/>
  <c r="BF155"/>
  <c r="H154"/>
  <c r="BF154"/>
  <c r="H153"/>
  <c r="BF153"/>
  <c r="H152"/>
  <c r="BF152"/>
  <c r="H151"/>
  <c r="BF151"/>
  <c r="H150"/>
  <c r="BF150"/>
  <c r="H149"/>
  <c r="BF149"/>
  <c r="D328" i="15"/>
  <c r="K328" s="1"/>
  <c r="D304"/>
  <c r="J386"/>
  <c r="J380"/>
  <c r="J374"/>
  <c r="J368"/>
  <c r="J362"/>
  <c r="J356"/>
  <c r="J350"/>
  <c r="J344"/>
  <c r="J338"/>
  <c r="J332"/>
  <c r="J326"/>
  <c r="J320"/>
  <c r="J314"/>
  <c r="J308"/>
  <c r="K304"/>
  <c r="J302"/>
  <c r="J296"/>
  <c r="J290"/>
  <c r="J284"/>
  <c r="J278"/>
  <c r="J272"/>
  <c r="J266"/>
  <c r="J260"/>
  <c r="J254"/>
  <c r="J248"/>
  <c r="J242"/>
  <c r="J236"/>
  <c r="J230"/>
  <c r="J224"/>
  <c r="J218"/>
  <c r="J212"/>
  <c r="J206"/>
  <c r="J200"/>
  <c r="C17" i="158"/>
  <c r="C16"/>
  <c r="C15"/>
  <c r="C14"/>
  <c r="B16"/>
  <c r="D257" i="50"/>
  <c r="B17" i="158"/>
  <c r="D258" i="50"/>
  <c r="B14" i="158"/>
  <c r="D255" i="50"/>
  <c r="E10" i="158"/>
  <c r="D388" i="15"/>
  <c r="K388" s="1"/>
  <c r="C17" i="157"/>
  <c r="C16"/>
  <c r="C15"/>
  <c r="C14"/>
  <c r="B16"/>
  <c r="D253" i="50" s="1"/>
  <c r="B17" i="157"/>
  <c r="D254" i="50" s="1"/>
  <c r="B14" i="157"/>
  <c r="D251" i="50" s="1"/>
  <c r="E10" i="157"/>
  <c r="D382" i="15" s="1"/>
  <c r="K382" s="1"/>
  <c r="C17" i="156"/>
  <c r="C16"/>
  <c r="C15"/>
  <c r="C14"/>
  <c r="B16"/>
  <c r="D249" i="50"/>
  <c r="B17" i="156"/>
  <c r="D250" i="50"/>
  <c r="B14" i="156"/>
  <c r="D247" i="50"/>
  <c r="E10" i="156"/>
  <c r="D376" i="15"/>
  <c r="K376" s="1"/>
  <c r="C17" i="155"/>
  <c r="C16"/>
  <c r="C15"/>
  <c r="C14"/>
  <c r="B16"/>
  <c r="D245" i="50" s="1"/>
  <c r="B17" i="155"/>
  <c r="D246" i="50"/>
  <c r="B14" i="155"/>
  <c r="D243" i="50"/>
  <c r="E10" i="155"/>
  <c r="B12"/>
  <c r="B372" i="15" s="1"/>
  <c r="C17" i="154"/>
  <c r="C16"/>
  <c r="C15"/>
  <c r="C14"/>
  <c r="B16"/>
  <c r="D241" i="50" s="1"/>
  <c r="B17" i="154"/>
  <c r="D242" i="50" s="1"/>
  <c r="B14" i="154"/>
  <c r="D239" i="50" s="1"/>
  <c r="E10" i="154"/>
  <c r="D364" i="15" s="1"/>
  <c r="K364" s="1"/>
  <c r="C17" i="153"/>
  <c r="C16"/>
  <c r="C15"/>
  <c r="C14"/>
  <c r="B16"/>
  <c r="D237" i="50"/>
  <c r="B17" i="153"/>
  <c r="D238" i="50"/>
  <c r="B14" i="153"/>
  <c r="D235" i="50"/>
  <c r="E10" i="153"/>
  <c r="D358" i="15"/>
  <c r="K358" s="1"/>
  <c r="C17" i="152"/>
  <c r="C16"/>
  <c r="C15"/>
  <c r="C14"/>
  <c r="B16"/>
  <c r="D233" i="50" s="1"/>
  <c r="B17" i="152"/>
  <c r="D234" i="50" s="1"/>
  <c r="B14" i="152"/>
  <c r="D231" i="50" s="1"/>
  <c r="E10" i="152"/>
  <c r="D352" i="15" s="1"/>
  <c r="K352" s="1"/>
  <c r="C17" i="151"/>
  <c r="C16"/>
  <c r="B16"/>
  <c r="D229" i="50"/>
  <c r="C15" i="151"/>
  <c r="B15"/>
  <c r="D228" i="50" s="1"/>
  <c r="C14" i="151"/>
  <c r="B14"/>
  <c r="D227" i="50"/>
  <c r="B17" i="151"/>
  <c r="D230" i="50"/>
  <c r="C17" i="150"/>
  <c r="C16"/>
  <c r="C15"/>
  <c r="C14"/>
  <c r="B16"/>
  <c r="D225" i="50"/>
  <c r="B17" i="150"/>
  <c r="D226" i="50"/>
  <c r="B14" i="150"/>
  <c r="D223" i="50"/>
  <c r="E10" i="150"/>
  <c r="D340" i="15"/>
  <c r="K340" s="1"/>
  <c r="B12" i="150"/>
  <c r="B342" i="15" s="1"/>
  <c r="C17" i="149"/>
  <c r="C16"/>
  <c r="C15"/>
  <c r="C14"/>
  <c r="B16"/>
  <c r="D221" i="50" s="1"/>
  <c r="B17" i="149"/>
  <c r="D222" i="50" s="1"/>
  <c r="B14" i="149"/>
  <c r="D219" i="50" s="1"/>
  <c r="E10" i="149"/>
  <c r="D334" i="15" s="1"/>
  <c r="K334" s="1"/>
  <c r="C17" i="148"/>
  <c r="C16"/>
  <c r="C15"/>
  <c r="C14"/>
  <c r="B16"/>
  <c r="D217" i="50"/>
  <c r="B17" i="148"/>
  <c r="D218" i="50"/>
  <c r="B14" i="148"/>
  <c r="D215" i="50"/>
  <c r="E10" i="148"/>
  <c r="B12"/>
  <c r="B330" i="15" s="1"/>
  <c r="C17" i="147"/>
  <c r="C16"/>
  <c r="C15"/>
  <c r="C14"/>
  <c r="B16"/>
  <c r="D213" i="50" s="1"/>
  <c r="B17" i="147"/>
  <c r="D214" i="50" s="1"/>
  <c r="B14" i="147"/>
  <c r="D211" i="50" s="1"/>
  <c r="E10" i="147"/>
  <c r="D322" i="15" s="1"/>
  <c r="K322" s="1"/>
  <c r="C17" i="146"/>
  <c r="C16"/>
  <c r="C15"/>
  <c r="C14"/>
  <c r="B16"/>
  <c r="D209" i="50"/>
  <c r="B17" i="146"/>
  <c r="D210" i="50"/>
  <c r="B14" i="146"/>
  <c r="D207" i="50"/>
  <c r="E10" i="146"/>
  <c r="D316" i="15"/>
  <c r="K316" s="1"/>
  <c r="C17" i="145"/>
  <c r="C16"/>
  <c r="C15"/>
  <c r="C14"/>
  <c r="B16"/>
  <c r="D205" i="50" s="1"/>
  <c r="B17" i="145"/>
  <c r="D206" i="50" s="1"/>
  <c r="B14" i="145"/>
  <c r="D203" i="50" s="1"/>
  <c r="E10" i="145"/>
  <c r="D310" i="15" s="1"/>
  <c r="K310" s="1"/>
  <c r="C17" i="144"/>
  <c r="C16"/>
  <c r="C15"/>
  <c r="C14"/>
  <c r="B16"/>
  <c r="D201" i="50"/>
  <c r="B17" i="144"/>
  <c r="D202" i="50"/>
  <c r="B14" i="144"/>
  <c r="D199" i="50"/>
  <c r="E10" i="144"/>
  <c r="B12"/>
  <c r="B306" i="15" s="1"/>
  <c r="C17" i="143"/>
  <c r="C16"/>
  <c r="C15"/>
  <c r="C14"/>
  <c r="B16"/>
  <c r="D197" i="50" s="1"/>
  <c r="B17" i="143"/>
  <c r="D198" i="50"/>
  <c r="B14" i="143"/>
  <c r="D195" i="50"/>
  <c r="C17" i="142"/>
  <c r="C16"/>
  <c r="C15"/>
  <c r="C14"/>
  <c r="B17"/>
  <c r="D194" i="50" s="1"/>
  <c r="B14" i="142"/>
  <c r="D191" i="50" s="1"/>
  <c r="E10" i="142"/>
  <c r="D292" i="15" s="1"/>
  <c r="K292" s="1"/>
  <c r="C17" i="141"/>
  <c r="C16"/>
  <c r="C15"/>
  <c r="C14"/>
  <c r="B16"/>
  <c r="D189" i="50"/>
  <c r="B17" i="141"/>
  <c r="D190" i="50"/>
  <c r="B14" i="141"/>
  <c r="D187" i="50"/>
  <c r="E10" i="141"/>
  <c r="D286" i="15"/>
  <c r="K286" s="1"/>
  <c r="C17" i="140"/>
  <c r="C16"/>
  <c r="C15"/>
  <c r="C14"/>
  <c r="B16"/>
  <c r="D185" i="50" s="1"/>
  <c r="B17" i="140"/>
  <c r="D186" i="50" s="1"/>
  <c r="B14" i="140"/>
  <c r="D183" i="50" s="1"/>
  <c r="E10" i="140"/>
  <c r="D280" i="15" s="1"/>
  <c r="K280" s="1"/>
  <c r="C17" i="139"/>
  <c r="C16"/>
  <c r="C15"/>
  <c r="C14"/>
  <c r="B16"/>
  <c r="D181" i="50"/>
  <c r="B17" i="139"/>
  <c r="D182" i="50"/>
  <c r="B14" i="139"/>
  <c r="D179" i="50"/>
  <c r="E10" i="139"/>
  <c r="D274" i="15"/>
  <c r="K274" s="1"/>
  <c r="C17" i="138"/>
  <c r="C16"/>
  <c r="C15"/>
  <c r="C14"/>
  <c r="B16"/>
  <c r="D177" i="50" s="1"/>
  <c r="B17" i="138"/>
  <c r="D178" i="50" s="1"/>
  <c r="B14" i="138"/>
  <c r="D175" i="50" s="1"/>
  <c r="E10" i="138"/>
  <c r="D268" i="15" s="1"/>
  <c r="K268" s="1"/>
  <c r="C17" i="137"/>
  <c r="C16"/>
  <c r="C15"/>
  <c r="C14"/>
  <c r="C17" i="136"/>
  <c r="C16"/>
  <c r="C15"/>
  <c r="C14"/>
  <c r="C17" i="135"/>
  <c r="C16"/>
  <c r="C15"/>
  <c r="C14"/>
  <c r="C17" i="134"/>
  <c r="C16"/>
  <c r="C15"/>
  <c r="C14"/>
  <c r="C17" i="133"/>
  <c r="C16"/>
  <c r="C15"/>
  <c r="C14"/>
  <c r="C17" i="132"/>
  <c r="C16"/>
  <c r="C15"/>
  <c r="C14"/>
  <c r="C17" i="131"/>
  <c r="C16"/>
  <c r="C15"/>
  <c r="C14"/>
  <c r="C17" i="130"/>
  <c r="C16"/>
  <c r="C15"/>
  <c r="C14"/>
  <c r="C17" i="129"/>
  <c r="C16"/>
  <c r="C15"/>
  <c r="C14"/>
  <c r="C17" i="128"/>
  <c r="C16"/>
  <c r="C15"/>
  <c r="C14"/>
  <c r="C17" i="127"/>
  <c r="C16"/>
  <c r="C15"/>
  <c r="C14"/>
  <c r="K2" i="47"/>
  <c r="K6"/>
  <c r="D6" i="112"/>
  <c r="D8"/>
  <c r="D9"/>
  <c r="D10"/>
  <c r="D12"/>
  <c r="D13"/>
  <c r="D14"/>
  <c r="D15"/>
  <c r="D16"/>
  <c r="D17"/>
  <c r="D18"/>
  <c r="D20"/>
  <c r="D21"/>
  <c r="D22"/>
  <c r="D23"/>
  <c r="D24"/>
  <c r="D25"/>
  <c r="D26"/>
  <c r="D27"/>
  <c r="D28"/>
  <c r="D29"/>
  <c r="D30"/>
  <c r="D31"/>
  <c r="D32"/>
  <c r="D33"/>
  <c r="D34"/>
  <c r="D36"/>
  <c r="D37"/>
  <c r="D38"/>
  <c r="D39"/>
  <c r="D40"/>
  <c r="D41"/>
  <c r="D42"/>
  <c r="D43"/>
  <c r="D44"/>
  <c r="D45"/>
  <c r="D46"/>
  <c r="D47"/>
  <c r="D48"/>
  <c r="D49"/>
  <c r="D50"/>
  <c r="D51"/>
  <c r="D52"/>
  <c r="D53"/>
  <c r="D54"/>
  <c r="D55"/>
  <c r="D56"/>
  <c r="D57"/>
  <c r="D58"/>
  <c r="D59"/>
  <c r="D60"/>
  <c r="D61"/>
  <c r="D62"/>
  <c r="D63"/>
  <c r="D64"/>
  <c r="D65"/>
  <c r="D66"/>
  <c r="L6" i="55"/>
  <c r="L7"/>
  <c r="L12"/>
  <c r="L13"/>
  <c r="P10" i="56"/>
  <c r="P11"/>
  <c r="P18"/>
  <c r="P19"/>
  <c r="P26"/>
  <c r="P27"/>
  <c r="P34"/>
  <c r="P35"/>
  <c r="J8" i="15"/>
  <c r="J14"/>
  <c r="J20"/>
  <c r="J26"/>
  <c r="J32"/>
  <c r="J38"/>
  <c r="J44"/>
  <c r="J50"/>
  <c r="J56"/>
  <c r="J62"/>
  <c r="J68"/>
  <c r="J74"/>
  <c r="J80"/>
  <c r="J86"/>
  <c r="J92"/>
  <c r="J98"/>
  <c r="J104"/>
  <c r="J110"/>
  <c r="J116"/>
  <c r="J122"/>
  <c r="J128"/>
  <c r="J134"/>
  <c r="J140"/>
  <c r="J146"/>
  <c r="J152"/>
  <c r="J158"/>
  <c r="J164"/>
  <c r="J170"/>
  <c r="J176"/>
  <c r="J182"/>
  <c r="J188"/>
  <c r="J194"/>
  <c r="E8" i="123"/>
  <c r="E12" s="1"/>
  <c r="C11"/>
  <c r="E11"/>
  <c r="AC130" i="159" s="1"/>
  <c r="C12" i="123"/>
  <c r="C13"/>
  <c r="C14"/>
  <c r="C15"/>
  <c r="C16"/>
  <c r="C17"/>
  <c r="C18"/>
  <c r="C19"/>
  <c r="C20"/>
  <c r="C21"/>
  <c r="C22"/>
  <c r="C23"/>
  <c r="C24"/>
  <c r="C25"/>
  <c r="C26"/>
  <c r="C27"/>
  <c r="C28"/>
  <c r="C29"/>
  <c r="C30"/>
  <c r="C31"/>
  <c r="C32"/>
  <c r="C33"/>
  <c r="C34"/>
  <c r="C35"/>
  <c r="C36"/>
  <c r="C37"/>
  <c r="C38"/>
  <c r="C39"/>
  <c r="C40"/>
  <c r="C41"/>
  <c r="C42"/>
  <c r="C34" i="110"/>
  <c r="C6" i="109"/>
  <c r="C10"/>
  <c r="F10" s="1"/>
  <c r="C14"/>
  <c r="C18"/>
  <c r="C22"/>
  <c r="C26"/>
  <c r="F26"/>
  <c r="C30"/>
  <c r="C34"/>
  <c r="F34" s="1"/>
  <c r="C38"/>
  <c r="C42"/>
  <c r="F42"/>
  <c r="C46"/>
  <c r="C50"/>
  <c r="C54"/>
  <c r="F58"/>
  <c r="C58"/>
  <c r="C62"/>
  <c r="F66" s="1"/>
  <c r="C66"/>
  <c r="C6" i="120"/>
  <c r="C10"/>
  <c r="F10" s="1"/>
  <c r="C14"/>
  <c r="C18"/>
  <c r="C22"/>
  <c r="C26"/>
  <c r="F26"/>
  <c r="C30"/>
  <c r="C34"/>
  <c r="F34" s="1"/>
  <c r="C38"/>
  <c r="C42"/>
  <c r="F42"/>
  <c r="C46"/>
  <c r="C50"/>
  <c r="C54"/>
  <c r="C58"/>
  <c r="F58" s="1"/>
  <c r="C62"/>
  <c r="C66"/>
  <c r="F66"/>
  <c r="AB66"/>
  <c r="AB67"/>
  <c r="C70"/>
  <c r="C74"/>
  <c r="F74" s="1"/>
  <c r="C78"/>
  <c r="C82"/>
  <c r="C86"/>
  <c r="C90"/>
  <c r="F90"/>
  <c r="C94"/>
  <c r="C98"/>
  <c r="F98" s="1"/>
  <c r="C102"/>
  <c r="C106"/>
  <c r="F106"/>
  <c r="AB106"/>
  <c r="AB107"/>
  <c r="C110"/>
  <c r="C114"/>
  <c r="C118"/>
  <c r="C122"/>
  <c r="F122" s="1"/>
  <c r="C126"/>
  <c r="C130"/>
  <c r="F130"/>
  <c r="N1" i="75"/>
  <c r="O1"/>
  <c r="F5" i="117"/>
  <c r="G5"/>
  <c r="H5"/>
  <c r="I5"/>
  <c r="F6"/>
  <c r="G6"/>
  <c r="H6"/>
  <c r="I6"/>
  <c r="F7"/>
  <c r="G7"/>
  <c r="H7"/>
  <c r="I7"/>
  <c r="F8"/>
  <c r="G8"/>
  <c r="H8"/>
  <c r="I8"/>
  <c r="F9"/>
  <c r="G9"/>
  <c r="H9"/>
  <c r="I9"/>
  <c r="F10"/>
  <c r="G10"/>
  <c r="H10"/>
  <c r="I10"/>
  <c r="F11"/>
  <c r="G11"/>
  <c r="H11"/>
  <c r="I11"/>
  <c r="F12"/>
  <c r="G12"/>
  <c r="H12"/>
  <c r="I12"/>
  <c r="F13"/>
  <c r="G13"/>
  <c r="H13"/>
  <c r="I13"/>
  <c r="F14"/>
  <c r="G14"/>
  <c r="H14"/>
  <c r="I14"/>
  <c r="F15"/>
  <c r="G15"/>
  <c r="H15"/>
  <c r="I15"/>
  <c r="F16"/>
  <c r="G16"/>
  <c r="H16"/>
  <c r="I16"/>
  <c r="F17"/>
  <c r="G17"/>
  <c r="H17"/>
  <c r="I17"/>
  <c r="F18"/>
  <c r="G18"/>
  <c r="H18"/>
  <c r="I18"/>
  <c r="F19"/>
  <c r="G19"/>
  <c r="I19"/>
  <c r="F20"/>
  <c r="G20"/>
  <c r="H20"/>
  <c r="I20"/>
  <c r="F21"/>
  <c r="G21"/>
  <c r="I21"/>
  <c r="F22"/>
  <c r="G22"/>
  <c r="H22"/>
  <c r="I22"/>
  <c r="F23"/>
  <c r="G23"/>
  <c r="I23"/>
  <c r="F24"/>
  <c r="G24"/>
  <c r="H24"/>
  <c r="I24"/>
  <c r="F25"/>
  <c r="G25"/>
  <c r="I25"/>
  <c r="F26"/>
  <c r="G26"/>
  <c r="H26"/>
  <c r="I26"/>
  <c r="F27"/>
  <c r="G27"/>
  <c r="I27"/>
  <c r="F28"/>
  <c r="G28"/>
  <c r="H28"/>
  <c r="I28"/>
  <c r="F29"/>
  <c r="G29"/>
  <c r="I29"/>
  <c r="F30"/>
  <c r="G30"/>
  <c r="H30"/>
  <c r="I30"/>
  <c r="F31"/>
  <c r="G31"/>
  <c r="I31"/>
  <c r="F32"/>
  <c r="G32"/>
  <c r="H32"/>
  <c r="I32"/>
  <c r="F33"/>
  <c r="G33"/>
  <c r="I33"/>
  <c r="F34"/>
  <c r="G34"/>
  <c r="H34"/>
  <c r="I34"/>
  <c r="F35"/>
  <c r="G35"/>
  <c r="I35"/>
  <c r="F36"/>
  <c r="G36"/>
  <c r="H36"/>
  <c r="I36"/>
  <c r="F37"/>
  <c r="G37"/>
  <c r="I37"/>
  <c r="F38"/>
  <c r="G38"/>
  <c r="H38"/>
  <c r="I38"/>
  <c r="F39"/>
  <c r="G39"/>
  <c r="I39"/>
  <c r="F40"/>
  <c r="G40"/>
  <c r="H40"/>
  <c r="I40"/>
  <c r="F41"/>
  <c r="G41"/>
  <c r="I41"/>
  <c r="F42"/>
  <c r="G42"/>
  <c r="H42"/>
  <c r="I42"/>
  <c r="F43"/>
  <c r="G43"/>
  <c r="I43"/>
  <c r="F44"/>
  <c r="G44"/>
  <c r="H44"/>
  <c r="I44"/>
  <c r="F45"/>
  <c r="G45"/>
  <c r="I45"/>
  <c r="F46"/>
  <c r="G46"/>
  <c r="H46"/>
  <c r="I46"/>
  <c r="F47"/>
  <c r="G47"/>
  <c r="I47"/>
  <c r="F48"/>
  <c r="G48"/>
  <c r="H48"/>
  <c r="I48"/>
  <c r="F49"/>
  <c r="G49"/>
  <c r="I49"/>
  <c r="F50"/>
  <c r="G50"/>
  <c r="H50"/>
  <c r="I50"/>
  <c r="F51"/>
  <c r="G51"/>
  <c r="I51"/>
  <c r="F52"/>
  <c r="G52"/>
  <c r="H52"/>
  <c r="I52"/>
  <c r="F53"/>
  <c r="G53"/>
  <c r="I53"/>
  <c r="F54"/>
  <c r="G54"/>
  <c r="H54"/>
  <c r="I54"/>
  <c r="F55"/>
  <c r="G55"/>
  <c r="I55"/>
  <c r="F56"/>
  <c r="G56"/>
  <c r="H56"/>
  <c r="I56"/>
  <c r="F57"/>
  <c r="G57"/>
  <c r="I57"/>
  <c r="F58"/>
  <c r="G58"/>
  <c r="H58"/>
  <c r="I58"/>
  <c r="F59"/>
  <c r="G59"/>
  <c r="I59"/>
  <c r="F60"/>
  <c r="G60"/>
  <c r="H60"/>
  <c r="I60"/>
  <c r="F61"/>
  <c r="G61"/>
  <c r="I61"/>
  <c r="F62"/>
  <c r="G62"/>
  <c r="H62"/>
  <c r="I62"/>
  <c r="F63"/>
  <c r="G63"/>
  <c r="I63"/>
  <c r="F64"/>
  <c r="G64"/>
  <c r="H64"/>
  <c r="I64"/>
  <c r="F65"/>
  <c r="G65"/>
  <c r="I65"/>
  <c r="F66"/>
  <c r="G66"/>
  <c r="H66"/>
  <c r="I66"/>
  <c r="F67"/>
  <c r="G67"/>
  <c r="I67"/>
  <c r="F68"/>
  <c r="G68"/>
  <c r="H68"/>
  <c r="I68"/>
  <c r="F69"/>
  <c r="G69"/>
  <c r="I69"/>
  <c r="F70"/>
  <c r="G70"/>
  <c r="H70"/>
  <c r="I70"/>
  <c r="F71"/>
  <c r="G71"/>
  <c r="I71"/>
  <c r="F72"/>
  <c r="G72"/>
  <c r="H72"/>
  <c r="I72"/>
  <c r="F73"/>
  <c r="G73"/>
  <c r="I73"/>
  <c r="F74"/>
  <c r="G74"/>
  <c r="H74"/>
  <c r="I74"/>
  <c r="F75"/>
  <c r="G75"/>
  <c r="I75"/>
  <c r="F76"/>
  <c r="G76"/>
  <c r="H76"/>
  <c r="I76"/>
  <c r="F77"/>
  <c r="G77"/>
  <c r="I77"/>
  <c r="F78"/>
  <c r="G78"/>
  <c r="H78"/>
  <c r="I78"/>
  <c r="F79"/>
  <c r="G79"/>
  <c r="I79"/>
  <c r="F80"/>
  <c r="G80"/>
  <c r="H80"/>
  <c r="I80"/>
  <c r="F81"/>
  <c r="G81"/>
  <c r="I81"/>
  <c r="F82"/>
  <c r="G82"/>
  <c r="H82"/>
  <c r="I82"/>
  <c r="F83"/>
  <c r="G83"/>
  <c r="I83"/>
  <c r="F84"/>
  <c r="G84"/>
  <c r="H84"/>
  <c r="I84"/>
  <c r="F85"/>
  <c r="G85"/>
  <c r="I85"/>
  <c r="F86"/>
  <c r="G86"/>
  <c r="H86"/>
  <c r="I86"/>
  <c r="F87"/>
  <c r="G87"/>
  <c r="I87"/>
  <c r="F88"/>
  <c r="G88"/>
  <c r="H88"/>
  <c r="I88"/>
  <c r="F89"/>
  <c r="G89"/>
  <c r="I89"/>
  <c r="F90"/>
  <c r="G90"/>
  <c r="H90"/>
  <c r="I90"/>
  <c r="F91"/>
  <c r="G91"/>
  <c r="I91"/>
  <c r="F92"/>
  <c r="G92"/>
  <c r="H92"/>
  <c r="I92"/>
  <c r="F93"/>
  <c r="G93"/>
  <c r="I93"/>
  <c r="F94"/>
  <c r="G94"/>
  <c r="H94"/>
  <c r="I94"/>
  <c r="F95"/>
  <c r="G95"/>
  <c r="I95"/>
  <c r="F96"/>
  <c r="G96"/>
  <c r="H96"/>
  <c r="I96"/>
  <c r="F97"/>
  <c r="G97"/>
  <c r="I97"/>
  <c r="F98"/>
  <c r="G98"/>
  <c r="H98"/>
  <c r="I98"/>
  <c r="F99"/>
  <c r="G99"/>
  <c r="I99"/>
  <c r="F100"/>
  <c r="G100"/>
  <c r="H100"/>
  <c r="I100"/>
  <c r="F101"/>
  <c r="G101"/>
  <c r="I101"/>
  <c r="F102"/>
  <c r="G102"/>
  <c r="H102"/>
  <c r="I102"/>
  <c r="F103"/>
  <c r="G103"/>
  <c r="I103"/>
  <c r="F104"/>
  <c r="G104"/>
  <c r="H104"/>
  <c r="I104"/>
  <c r="F105"/>
  <c r="G105"/>
  <c r="I105"/>
  <c r="F106"/>
  <c r="G106"/>
  <c r="H106"/>
  <c r="I106"/>
  <c r="F107"/>
  <c r="G107"/>
  <c r="I107"/>
  <c r="F108"/>
  <c r="G108"/>
  <c r="H108"/>
  <c r="I108"/>
  <c r="F109"/>
  <c r="G109"/>
  <c r="H109"/>
  <c r="I109"/>
  <c r="F110"/>
  <c r="G110"/>
  <c r="H110"/>
  <c r="I110"/>
  <c r="F111"/>
  <c r="G111"/>
  <c r="H111"/>
  <c r="I111"/>
  <c r="F112"/>
  <c r="G112"/>
  <c r="H112"/>
  <c r="I112"/>
  <c r="F113"/>
  <c r="G113"/>
  <c r="H113"/>
  <c r="I113"/>
  <c r="F114"/>
  <c r="G114"/>
  <c r="H114"/>
  <c r="I114"/>
  <c r="F115"/>
  <c r="G115"/>
  <c r="H115"/>
  <c r="I115"/>
  <c r="F116"/>
  <c r="G116"/>
  <c r="H116"/>
  <c r="I116"/>
  <c r="F117"/>
  <c r="G117"/>
  <c r="H117"/>
  <c r="I117"/>
  <c r="F118"/>
  <c r="G118"/>
  <c r="H118"/>
  <c r="I118"/>
  <c r="F119"/>
  <c r="G119"/>
  <c r="H119"/>
  <c r="I119"/>
  <c r="F120"/>
  <c r="G120"/>
  <c r="H120"/>
  <c r="I120"/>
  <c r="F121"/>
  <c r="G121"/>
  <c r="H121"/>
  <c r="I121"/>
  <c r="C8" i="1"/>
  <c r="D8"/>
  <c r="C9"/>
  <c r="D9"/>
  <c r="C10"/>
  <c r="D10"/>
  <c r="C11"/>
  <c r="D11"/>
  <c r="C12"/>
  <c r="D12"/>
  <c r="C14"/>
  <c r="C15"/>
  <c r="C16"/>
  <c r="C17"/>
  <c r="C8" i="90"/>
  <c r="D8"/>
  <c r="C9"/>
  <c r="D9"/>
  <c r="C10"/>
  <c r="D10"/>
  <c r="C11"/>
  <c r="D11"/>
  <c r="C12"/>
  <c r="D12"/>
  <c r="C14"/>
  <c r="C15"/>
  <c r="C16"/>
  <c r="C17"/>
  <c r="C8" i="89"/>
  <c r="D8"/>
  <c r="C9"/>
  <c r="D9"/>
  <c r="C10"/>
  <c r="D10"/>
  <c r="C11"/>
  <c r="D11"/>
  <c r="C12"/>
  <c r="D12"/>
  <c r="C14"/>
  <c r="C15"/>
  <c r="C16"/>
  <c r="C17"/>
  <c r="C8" i="88"/>
  <c r="D8"/>
  <c r="C9"/>
  <c r="D9"/>
  <c r="C10"/>
  <c r="D10"/>
  <c r="C11"/>
  <c r="D11"/>
  <c r="C12"/>
  <c r="D12"/>
  <c r="C14"/>
  <c r="C15"/>
  <c r="C16"/>
  <c r="C17"/>
  <c r="C8" i="87"/>
  <c r="D8"/>
  <c r="C9"/>
  <c r="D9"/>
  <c r="C10"/>
  <c r="D10"/>
  <c r="C11"/>
  <c r="D11"/>
  <c r="C12"/>
  <c r="D12"/>
  <c r="C14"/>
  <c r="C15"/>
  <c r="C16"/>
  <c r="C17"/>
  <c r="C8" i="86"/>
  <c r="D8"/>
  <c r="C9"/>
  <c r="D9"/>
  <c r="C10"/>
  <c r="D10"/>
  <c r="C11"/>
  <c r="D11"/>
  <c r="C12"/>
  <c r="D12"/>
  <c r="C14"/>
  <c r="C15"/>
  <c r="C16"/>
  <c r="C17"/>
  <c r="C8" i="85"/>
  <c r="D8"/>
  <c r="C9"/>
  <c r="D9"/>
  <c r="C10"/>
  <c r="D10"/>
  <c r="C11"/>
  <c r="D11"/>
  <c r="C12"/>
  <c r="D12"/>
  <c r="C14"/>
  <c r="C15"/>
  <c r="C16"/>
  <c r="C17"/>
  <c r="C8" i="4"/>
  <c r="D8"/>
  <c r="C9"/>
  <c r="D9"/>
  <c r="C10"/>
  <c r="D10"/>
  <c r="C11"/>
  <c r="D11"/>
  <c r="C12"/>
  <c r="D12"/>
  <c r="C14"/>
  <c r="C15"/>
  <c r="C16"/>
  <c r="C17"/>
  <c r="C8" i="5"/>
  <c r="D8"/>
  <c r="C9"/>
  <c r="D9"/>
  <c r="C10"/>
  <c r="D10"/>
  <c r="C11"/>
  <c r="D11"/>
  <c r="C12"/>
  <c r="D12"/>
  <c r="C14"/>
  <c r="C15"/>
  <c r="C16"/>
  <c r="C17"/>
  <c r="C8" i="6"/>
  <c r="D8"/>
  <c r="C9"/>
  <c r="D9"/>
  <c r="C10"/>
  <c r="D10"/>
  <c r="C11"/>
  <c r="D11"/>
  <c r="C12"/>
  <c r="D12"/>
  <c r="C14"/>
  <c r="C15"/>
  <c r="C16"/>
  <c r="C17"/>
  <c r="C8" i="7"/>
  <c r="D8"/>
  <c r="C9"/>
  <c r="D9"/>
  <c r="C10"/>
  <c r="D10"/>
  <c r="C11"/>
  <c r="D11"/>
  <c r="C12"/>
  <c r="D12"/>
  <c r="C14"/>
  <c r="C15"/>
  <c r="C16"/>
  <c r="C17"/>
  <c r="C8" i="8"/>
  <c r="D8"/>
  <c r="C9"/>
  <c r="D9"/>
  <c r="C10"/>
  <c r="D10"/>
  <c r="C11"/>
  <c r="D11"/>
  <c r="C12"/>
  <c r="D12"/>
  <c r="C14"/>
  <c r="C15"/>
  <c r="C16"/>
  <c r="C17"/>
  <c r="C8" i="9"/>
  <c r="D8"/>
  <c r="C9"/>
  <c r="D9"/>
  <c r="C10"/>
  <c r="D10"/>
  <c r="C11"/>
  <c r="D11"/>
  <c r="C12"/>
  <c r="D12"/>
  <c r="C14"/>
  <c r="C15"/>
  <c r="C16"/>
  <c r="C17"/>
  <c r="C8" i="10"/>
  <c r="D8"/>
  <c r="C9"/>
  <c r="D9"/>
  <c r="C10"/>
  <c r="D10"/>
  <c r="C11"/>
  <c r="D11"/>
  <c r="C12"/>
  <c r="D12"/>
  <c r="C14"/>
  <c r="C15"/>
  <c r="C16"/>
  <c r="C17"/>
  <c r="C8" i="108"/>
  <c r="D8"/>
  <c r="C9"/>
  <c r="D9"/>
  <c r="C10"/>
  <c r="D10"/>
  <c r="C11"/>
  <c r="D11"/>
  <c r="C12"/>
  <c r="D12"/>
  <c r="C14"/>
  <c r="C15"/>
  <c r="C16"/>
  <c r="C17"/>
  <c r="C8" i="107"/>
  <c r="D8"/>
  <c r="C9"/>
  <c r="D9"/>
  <c r="C10"/>
  <c r="D10"/>
  <c r="C11"/>
  <c r="D11"/>
  <c r="C12"/>
  <c r="D12"/>
  <c r="C14"/>
  <c r="C15"/>
  <c r="C16"/>
  <c r="C17"/>
  <c r="C8" i="106"/>
  <c r="D8"/>
  <c r="C9"/>
  <c r="D9"/>
  <c r="C10"/>
  <c r="D10"/>
  <c r="C11"/>
  <c r="D11"/>
  <c r="C12"/>
  <c r="D12"/>
  <c r="C14"/>
  <c r="C15"/>
  <c r="C16"/>
  <c r="C17"/>
  <c r="C8" i="105"/>
  <c r="D8"/>
  <c r="C9"/>
  <c r="D9"/>
  <c r="C10"/>
  <c r="D10"/>
  <c r="C11"/>
  <c r="D11"/>
  <c r="C12"/>
  <c r="D12"/>
  <c r="C14"/>
  <c r="C15"/>
  <c r="C16"/>
  <c r="C17"/>
  <c r="C8" i="104"/>
  <c r="D8"/>
  <c r="C9"/>
  <c r="D9"/>
  <c r="C10"/>
  <c r="D10"/>
  <c r="C11"/>
  <c r="D11"/>
  <c r="C12"/>
  <c r="D12"/>
  <c r="C14"/>
  <c r="C15"/>
  <c r="C16"/>
  <c r="C17"/>
  <c r="C8" i="103"/>
  <c r="D8"/>
  <c r="C9"/>
  <c r="D9"/>
  <c r="C10"/>
  <c r="D10"/>
  <c r="C11"/>
  <c r="D11"/>
  <c r="C12"/>
  <c r="D12"/>
  <c r="C14"/>
  <c r="C15"/>
  <c r="C16"/>
  <c r="C17"/>
  <c r="C8" i="102"/>
  <c r="D8"/>
  <c r="C9"/>
  <c r="D9"/>
  <c r="C10"/>
  <c r="D10"/>
  <c r="C11"/>
  <c r="D11"/>
  <c r="C12"/>
  <c r="D12"/>
  <c r="C14"/>
  <c r="C15"/>
  <c r="C16"/>
  <c r="C17"/>
  <c r="C8" i="101"/>
  <c r="D8"/>
  <c r="C9"/>
  <c r="D9"/>
  <c r="C10"/>
  <c r="D10"/>
  <c r="C11"/>
  <c r="D11"/>
  <c r="C12"/>
  <c r="D12"/>
  <c r="C14"/>
  <c r="C15"/>
  <c r="C64" i="50"/>
  <c r="C16" i="101"/>
  <c r="C17"/>
  <c r="C66" i="50"/>
  <c r="C8" i="100"/>
  <c r="D8"/>
  <c r="C9"/>
  <c r="D9"/>
  <c r="C10"/>
  <c r="D10"/>
  <c r="C11"/>
  <c r="D11"/>
  <c r="C12"/>
  <c r="D12"/>
  <c r="C14"/>
  <c r="C15"/>
  <c r="C16"/>
  <c r="C17"/>
  <c r="C8" i="99"/>
  <c r="D8"/>
  <c r="C9"/>
  <c r="D9"/>
  <c r="C10"/>
  <c r="D10"/>
  <c r="C11"/>
  <c r="D11"/>
  <c r="C12"/>
  <c r="D12"/>
  <c r="C14"/>
  <c r="C15"/>
  <c r="C16"/>
  <c r="C17"/>
  <c r="C8" i="98"/>
  <c r="D8"/>
  <c r="C9"/>
  <c r="D9"/>
  <c r="C10"/>
  <c r="D10"/>
  <c r="C11"/>
  <c r="D11"/>
  <c r="C12"/>
  <c r="D12"/>
  <c r="C14"/>
  <c r="C15"/>
  <c r="C76" i="50"/>
  <c r="C16" i="98"/>
  <c r="C17"/>
  <c r="C78" i="50"/>
  <c r="C8" i="97"/>
  <c r="D8"/>
  <c r="C9"/>
  <c r="D9"/>
  <c r="C10"/>
  <c r="D10"/>
  <c r="C11"/>
  <c r="D11"/>
  <c r="C12"/>
  <c r="D12"/>
  <c r="C14"/>
  <c r="C15"/>
  <c r="C80" i="50"/>
  <c r="C16" i="97"/>
  <c r="C17"/>
  <c r="C82" i="50"/>
  <c r="C8" i="96"/>
  <c r="D8"/>
  <c r="C9"/>
  <c r="D9"/>
  <c r="C10"/>
  <c r="D10"/>
  <c r="C11"/>
  <c r="D11"/>
  <c r="C12"/>
  <c r="D12"/>
  <c r="C14"/>
  <c r="C15"/>
  <c r="C84" i="50"/>
  <c r="C16" i="96"/>
  <c r="C17"/>
  <c r="C86" i="50"/>
  <c r="C8" i="95"/>
  <c r="D8"/>
  <c r="C9"/>
  <c r="D9"/>
  <c r="C10"/>
  <c r="D10"/>
  <c r="C11"/>
  <c r="D11"/>
  <c r="C12"/>
  <c r="D12"/>
  <c r="C14"/>
  <c r="C15"/>
  <c r="C88" i="50"/>
  <c r="C16" i="95"/>
  <c r="C17"/>
  <c r="C90" i="50"/>
  <c r="C8" i="94"/>
  <c r="D8"/>
  <c r="C9"/>
  <c r="D9"/>
  <c r="C10"/>
  <c r="D10"/>
  <c r="C11"/>
  <c r="D11"/>
  <c r="C12"/>
  <c r="D12"/>
  <c r="C14"/>
  <c r="C15"/>
  <c r="C16"/>
  <c r="C17"/>
  <c r="C8" i="93"/>
  <c r="D8"/>
  <c r="C9"/>
  <c r="D9"/>
  <c r="C10"/>
  <c r="D10"/>
  <c r="C11"/>
  <c r="D11"/>
  <c r="C12"/>
  <c r="D12"/>
  <c r="C14"/>
  <c r="C15"/>
  <c r="C16"/>
  <c r="C17"/>
  <c r="C8" i="92"/>
  <c r="D8"/>
  <c r="C9"/>
  <c r="D9"/>
  <c r="C10"/>
  <c r="D10"/>
  <c r="C11"/>
  <c r="D11"/>
  <c r="C12"/>
  <c r="D12"/>
  <c r="C14"/>
  <c r="C15"/>
  <c r="C16"/>
  <c r="C17"/>
  <c r="C8" i="91"/>
  <c r="D8"/>
  <c r="C9"/>
  <c r="D9"/>
  <c r="C10"/>
  <c r="D10"/>
  <c r="C11"/>
  <c r="D11"/>
  <c r="C12"/>
  <c r="D12"/>
  <c r="C14"/>
  <c r="C15"/>
  <c r="C16"/>
  <c r="C17"/>
  <c r="S5" i="47"/>
  <c r="H11"/>
  <c r="BF11"/>
  <c r="H12"/>
  <c r="BF12"/>
  <c r="H13"/>
  <c r="BF13"/>
  <c r="H14"/>
  <c r="BF14"/>
  <c r="H15"/>
  <c r="BF15"/>
  <c r="H16"/>
  <c r="BF16"/>
  <c r="H17"/>
  <c r="BF17"/>
  <c r="H18"/>
  <c r="BF18"/>
  <c r="H19"/>
  <c r="BF19"/>
  <c r="H20"/>
  <c r="BF20"/>
  <c r="H21"/>
  <c r="BF21"/>
  <c r="H22"/>
  <c r="BF22"/>
  <c r="H23"/>
  <c r="BF23"/>
  <c r="H24"/>
  <c r="BF24"/>
  <c r="H25"/>
  <c r="BF25"/>
  <c r="H26"/>
  <c r="BF26"/>
  <c r="H27"/>
  <c r="BF27"/>
  <c r="H28"/>
  <c r="BF28"/>
  <c r="H29"/>
  <c r="BF29"/>
  <c r="H30"/>
  <c r="BF30"/>
  <c r="H31"/>
  <c r="BF31"/>
  <c r="H32"/>
  <c r="BF32"/>
  <c r="H33"/>
  <c r="BF33"/>
  <c r="H34"/>
  <c r="BF34"/>
  <c r="H35"/>
  <c r="BF35"/>
  <c r="H36"/>
  <c r="BF36"/>
  <c r="H37"/>
  <c r="BF37"/>
  <c r="H38"/>
  <c r="BF38"/>
  <c r="H39"/>
  <c r="BF39"/>
  <c r="H40"/>
  <c r="BF40"/>
  <c r="H41"/>
  <c r="BF41"/>
  <c r="H42"/>
  <c r="BF42"/>
  <c r="H43"/>
  <c r="BF43"/>
  <c r="H44"/>
  <c r="BF44"/>
  <c r="H45"/>
  <c r="BF45"/>
  <c r="H46"/>
  <c r="BF46"/>
  <c r="H47"/>
  <c r="BF47"/>
  <c r="H48"/>
  <c r="BF48"/>
  <c r="H49"/>
  <c r="BF49"/>
  <c r="H50"/>
  <c r="BF50"/>
  <c r="H51"/>
  <c r="BF51"/>
  <c r="H52"/>
  <c r="BF52"/>
  <c r="H53"/>
  <c r="BF53"/>
  <c r="H54"/>
  <c r="BF54"/>
  <c r="H55"/>
  <c r="BF55"/>
  <c r="H56"/>
  <c r="BF56"/>
  <c r="H57"/>
  <c r="BF57"/>
  <c r="H58"/>
  <c r="BF58"/>
  <c r="H59"/>
  <c r="BF59"/>
  <c r="H60"/>
  <c r="BF60"/>
  <c r="H61"/>
  <c r="BF61"/>
  <c r="H62"/>
  <c r="BF62"/>
  <c r="H63"/>
  <c r="BF63"/>
  <c r="H64"/>
  <c r="BF64"/>
  <c r="H65"/>
  <c r="BF65"/>
  <c r="H66"/>
  <c r="BF66"/>
  <c r="H67"/>
  <c r="BF67"/>
  <c r="H68"/>
  <c r="BF68"/>
  <c r="H69"/>
  <c r="BF69"/>
  <c r="H70"/>
  <c r="BF70"/>
  <c r="H71"/>
  <c r="BF71"/>
  <c r="H72"/>
  <c r="BF72"/>
  <c r="H73"/>
  <c r="BF73"/>
  <c r="H74"/>
  <c r="BF74"/>
  <c r="H75"/>
  <c r="BF75"/>
  <c r="H76"/>
  <c r="BF76"/>
  <c r="H77"/>
  <c r="BF77"/>
  <c r="H78"/>
  <c r="BF78"/>
  <c r="H79"/>
  <c r="BF79"/>
  <c r="H80"/>
  <c r="BF80"/>
  <c r="H81"/>
  <c r="BF81"/>
  <c r="H82"/>
  <c r="BF82"/>
  <c r="H83"/>
  <c r="BF83"/>
  <c r="H84"/>
  <c r="BF84"/>
  <c r="H85"/>
  <c r="BF85"/>
  <c r="H86"/>
  <c r="BF86"/>
  <c r="H87"/>
  <c r="BF87"/>
  <c r="H88"/>
  <c r="BF88"/>
  <c r="H89"/>
  <c r="BF89"/>
  <c r="H90"/>
  <c r="BF90"/>
  <c r="H91"/>
  <c r="BF91"/>
  <c r="H92"/>
  <c r="BF92"/>
  <c r="H93"/>
  <c r="BF93"/>
  <c r="H94"/>
  <c r="BF94"/>
  <c r="H95"/>
  <c r="BF95"/>
  <c r="H96"/>
  <c r="BF96"/>
  <c r="H97"/>
  <c r="BF97"/>
  <c r="H98"/>
  <c r="BF98"/>
  <c r="H99"/>
  <c r="BF99"/>
  <c r="H100"/>
  <c r="BF100"/>
  <c r="H101"/>
  <c r="BF101"/>
  <c r="H102"/>
  <c r="BF102"/>
  <c r="H103"/>
  <c r="BF103"/>
  <c r="H104"/>
  <c r="BF104"/>
  <c r="H105"/>
  <c r="BF105"/>
  <c r="H106"/>
  <c r="BF106"/>
  <c r="H107"/>
  <c r="BF107"/>
  <c r="H108"/>
  <c r="BF108"/>
  <c r="H109"/>
  <c r="BF109"/>
  <c r="H110"/>
  <c r="BF110"/>
  <c r="H111"/>
  <c r="BF111"/>
  <c r="H112"/>
  <c r="BF112"/>
  <c r="H113"/>
  <c r="BF113"/>
  <c r="H114"/>
  <c r="BF114"/>
  <c r="H115"/>
  <c r="BF115"/>
  <c r="H116"/>
  <c r="BF116"/>
  <c r="H117"/>
  <c r="BF117"/>
  <c r="H118"/>
  <c r="BF118"/>
  <c r="H119"/>
  <c r="BF119"/>
  <c r="H120"/>
  <c r="BF120"/>
  <c r="H121"/>
  <c r="BF121"/>
  <c r="H122"/>
  <c r="BF122"/>
  <c r="H123"/>
  <c r="BF123"/>
  <c r="H124"/>
  <c r="BF124"/>
  <c r="H125"/>
  <c r="BF125"/>
  <c r="H126"/>
  <c r="BF126"/>
  <c r="H127"/>
  <c r="BF127"/>
  <c r="H128"/>
  <c r="BF128"/>
  <c r="H129"/>
  <c r="BF129"/>
  <c r="H130"/>
  <c r="BF130"/>
  <c r="H131"/>
  <c r="BF131"/>
  <c r="H132"/>
  <c r="BF132"/>
  <c r="H133"/>
  <c r="BF133"/>
  <c r="H134"/>
  <c r="BF134"/>
  <c r="H135"/>
  <c r="BF135"/>
  <c r="H136"/>
  <c r="BF136"/>
  <c r="H137"/>
  <c r="BF137"/>
  <c r="H138"/>
  <c r="BF138"/>
  <c r="H139"/>
  <c r="H140"/>
  <c r="H141"/>
  <c r="H142"/>
  <c r="H143"/>
  <c r="H144"/>
  <c r="H145"/>
  <c r="H146"/>
  <c r="H147"/>
  <c r="H148"/>
  <c r="A1" i="124"/>
  <c r="B1"/>
  <c r="K6"/>
  <c r="K13"/>
  <c r="G18"/>
  <c r="K18"/>
  <c r="G19"/>
  <c r="K19"/>
  <c r="A1" i="84"/>
  <c r="B1"/>
  <c r="C3" i="50"/>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5"/>
  <c r="C67"/>
  <c r="C68"/>
  <c r="C69"/>
  <c r="C70"/>
  <c r="C71"/>
  <c r="C72"/>
  <c r="C73"/>
  <c r="C74"/>
  <c r="C75"/>
  <c r="C77"/>
  <c r="C79"/>
  <c r="C81"/>
  <c r="C83"/>
  <c r="C85"/>
  <c r="C87"/>
  <c r="C89"/>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H77" i="117"/>
  <c r="H75"/>
  <c r="H73"/>
  <c r="H71"/>
  <c r="H69"/>
  <c r="H67"/>
  <c r="H65"/>
  <c r="H63"/>
  <c r="H61"/>
  <c r="H59"/>
  <c r="H57"/>
  <c r="H55"/>
  <c r="H53"/>
  <c r="H51"/>
  <c r="H49"/>
  <c r="H47"/>
  <c r="H45"/>
  <c r="H43"/>
  <c r="H41"/>
  <c r="H39"/>
  <c r="H37"/>
  <c r="H35"/>
  <c r="H33"/>
  <c r="H31"/>
  <c r="H29"/>
  <c r="H27"/>
  <c r="H25"/>
  <c r="H23"/>
  <c r="H21"/>
  <c r="H19"/>
  <c r="H107"/>
  <c r="H105"/>
  <c r="H103"/>
  <c r="H101"/>
  <c r="H99"/>
  <c r="H97"/>
  <c r="H95"/>
  <c r="H93"/>
  <c r="H91"/>
  <c r="H89"/>
  <c r="H87"/>
  <c r="H85"/>
  <c r="H83"/>
  <c r="H81"/>
  <c r="H79"/>
  <c r="B15" i="138"/>
  <c r="D176" i="50" s="1"/>
  <c r="B15" i="140"/>
  <c r="D184" i="50" s="1"/>
  <c r="B16" i="142"/>
  <c r="D193" i="50" s="1"/>
  <c r="B15" i="142"/>
  <c r="D192" i="50" s="1"/>
  <c r="E10" i="143"/>
  <c r="D298" i="15" s="1"/>
  <c r="K298" s="1"/>
  <c r="B15" i="139"/>
  <c r="D180" i="50"/>
  <c r="B15" i="141"/>
  <c r="D188" i="50"/>
  <c r="B15" i="144"/>
  <c r="D200" i="50"/>
  <c r="B15" i="146"/>
  <c r="D208" i="50"/>
  <c r="B208" s="1"/>
  <c r="B15" i="148"/>
  <c r="D216" i="50"/>
  <c r="B216" s="1"/>
  <c r="B15" i="150"/>
  <c r="D224" i="50"/>
  <c r="A224" s="1"/>
  <c r="E10" i="151"/>
  <c r="D346" i="15" s="1"/>
  <c r="K346" s="1"/>
  <c r="B12" i="151"/>
  <c r="B348" i="15" s="1"/>
  <c r="B15" i="143"/>
  <c r="D196" i="50" s="1"/>
  <c r="B15" i="145"/>
  <c r="D204" i="50" s="1"/>
  <c r="B15" i="147"/>
  <c r="D212" i="50" s="1"/>
  <c r="B15" i="149"/>
  <c r="D220" i="50" s="1"/>
  <c r="B15" i="152"/>
  <c r="D232" i="50"/>
  <c r="A232" s="1"/>
  <c r="B15" i="154"/>
  <c r="D240" i="50"/>
  <c r="A240" s="1"/>
  <c r="B15" i="156"/>
  <c r="D248" i="50"/>
  <c r="A248" s="1"/>
  <c r="B15" i="158"/>
  <c r="D256" i="50"/>
  <c r="A256" s="1"/>
  <c r="B15" i="153"/>
  <c r="D236" i="50"/>
  <c r="A236" s="1"/>
  <c r="B15" i="155"/>
  <c r="D244" i="50"/>
  <c r="A244" s="1"/>
  <c r="B15" i="157"/>
  <c r="D252" i="50"/>
  <c r="A252" s="1"/>
  <c r="F114" i="120"/>
  <c r="F82"/>
  <c r="F50"/>
  <c r="F18"/>
  <c r="F50" i="109"/>
  <c r="F18"/>
  <c r="F26" i="159"/>
  <c r="F34"/>
  <c r="F138"/>
  <c r="F154"/>
  <c r="F170"/>
  <c r="F186"/>
  <c r="F202"/>
  <c r="F210"/>
  <c r="F218"/>
  <c r="F242"/>
  <c r="F258"/>
  <c r="F250"/>
  <c r="F162"/>
  <c r="F66"/>
  <c r="F74"/>
  <c r="F90"/>
  <c r="F98"/>
  <c r="F106"/>
  <c r="F114"/>
  <c r="F130"/>
  <c r="F122"/>
  <c r="F82"/>
  <c r="F58"/>
  <c r="F50"/>
  <c r="F42"/>
  <c r="F18"/>
  <c r="F10"/>
  <c r="F146"/>
  <c r="F178"/>
  <c r="F194"/>
  <c r="F226"/>
  <c r="F234"/>
  <c r="H206" i="117"/>
  <c r="H204"/>
  <c r="H202"/>
  <c r="H200"/>
  <c r="H198"/>
  <c r="H196"/>
  <c r="H194"/>
  <c r="H192"/>
  <c r="H190"/>
  <c r="H188"/>
  <c r="H186"/>
  <c r="H184"/>
  <c r="H182"/>
  <c r="H180"/>
  <c r="H178"/>
  <c r="H176"/>
  <c r="H174"/>
  <c r="H172"/>
  <c r="H170"/>
  <c r="H168"/>
  <c r="H166"/>
  <c r="H164"/>
  <c r="H162"/>
  <c r="H160"/>
  <c r="H158"/>
  <c r="H156"/>
  <c r="H154"/>
  <c r="BF193" i="47"/>
  <c r="BF194"/>
  <c r="BF195"/>
  <c r="BF196"/>
  <c r="BF197"/>
  <c r="BF198"/>
  <c r="BF199"/>
  <c r="BF200"/>
  <c r="BF201"/>
  <c r="BF202"/>
  <c r="BF203"/>
  <c r="BF204"/>
  <c r="BF205"/>
  <c r="BF206"/>
  <c r="BF207"/>
  <c r="BF208"/>
  <c r="B256" i="50"/>
  <c r="B258"/>
  <c r="A258"/>
  <c r="A255"/>
  <c r="B255"/>
  <c r="A257"/>
  <c r="B257"/>
  <c r="B12" i="158"/>
  <c r="B390" i="15" s="1"/>
  <c r="B252" i="50"/>
  <c r="B250"/>
  <c r="A250"/>
  <c r="B248"/>
  <c r="A247"/>
  <c r="B247"/>
  <c r="A249"/>
  <c r="B249"/>
  <c r="B12" i="156"/>
  <c r="B378" i="15" s="1"/>
  <c r="B244" i="50"/>
  <c r="B246"/>
  <c r="A246"/>
  <c r="B243"/>
  <c r="A243"/>
  <c r="D370" i="15"/>
  <c r="K370" s="1"/>
  <c r="B240" i="50"/>
  <c r="B236"/>
  <c r="A235"/>
  <c r="B235"/>
  <c r="A237"/>
  <c r="B237"/>
  <c r="B238"/>
  <c r="A238"/>
  <c r="B12" i="153"/>
  <c r="B360" i="15" s="1"/>
  <c r="B232" i="50"/>
  <c r="B12" i="152"/>
  <c r="B354" i="15" s="1"/>
  <c r="A227" i="50"/>
  <c r="B227"/>
  <c r="B229"/>
  <c r="A229"/>
  <c r="B230"/>
  <c r="A230"/>
  <c r="B224"/>
  <c r="B226"/>
  <c r="A226"/>
  <c r="A223"/>
  <c r="B223"/>
  <c r="A225"/>
  <c r="B225"/>
  <c r="B218"/>
  <c r="A218"/>
  <c r="A216"/>
  <c r="B215"/>
  <c r="A215"/>
  <c r="B217"/>
  <c r="A217"/>
  <c r="B12" i="147"/>
  <c r="B324" i="15" s="1"/>
  <c r="B207" i="50"/>
  <c r="A207"/>
  <c r="B209"/>
  <c r="A209"/>
  <c r="A208"/>
  <c r="B210"/>
  <c r="A210"/>
  <c r="B12" i="146"/>
  <c r="B318" i="15" s="1"/>
  <c r="B12" i="145"/>
  <c r="B312" i="15" s="1"/>
  <c r="A202" i="50"/>
  <c r="B202"/>
  <c r="A200"/>
  <c r="B200"/>
  <c r="B199"/>
  <c r="A199"/>
  <c r="B201"/>
  <c r="A201"/>
  <c r="A198"/>
  <c r="B198"/>
  <c r="B195"/>
  <c r="A195"/>
  <c r="B12" i="143"/>
  <c r="B300" i="15" s="1"/>
  <c r="B188" i="50"/>
  <c r="A188"/>
  <c r="A187"/>
  <c r="B187"/>
  <c r="A189"/>
  <c r="B189"/>
  <c r="B190"/>
  <c r="A190"/>
  <c r="B12" i="141"/>
  <c r="B288" i="15"/>
  <c r="B180" i="50"/>
  <c r="A180"/>
  <c r="B179"/>
  <c r="A179"/>
  <c r="A181"/>
  <c r="B181"/>
  <c r="B182"/>
  <c r="A182"/>
  <c r="B12" i="139"/>
  <c r="B276" i="15"/>
  <c r="B12" i="138"/>
  <c r="B270" i="15"/>
  <c r="A2" i="63"/>
  <c r="K3" i="47"/>
  <c r="E2" i="61" s="1"/>
  <c r="A2"/>
  <c r="K5" i="47"/>
  <c r="K4"/>
  <c r="B2" i="63"/>
  <c r="B1" i="15"/>
  <c r="B2" i="61"/>
  <c r="E1" i="15"/>
  <c r="S3" i="47"/>
  <c r="L2" i="112"/>
  <c r="L3"/>
  <c r="S2" i="47"/>
  <c r="K6" i="84"/>
  <c r="K13"/>
  <c r="G19"/>
  <c r="G18"/>
  <c r="K19"/>
  <c r="K18"/>
  <c r="A473" i="61"/>
  <c r="A41"/>
  <c r="A357"/>
  <c r="A457"/>
  <c r="A69"/>
  <c r="A261"/>
  <c r="A73"/>
  <c r="A389"/>
  <c r="A509"/>
  <c r="A421"/>
  <c r="A349"/>
  <c r="A89"/>
  <c r="A145"/>
  <c r="A21"/>
  <c r="A57"/>
  <c r="A9"/>
  <c r="A305"/>
  <c r="A121"/>
  <c r="A225"/>
  <c r="A437"/>
  <c r="A289"/>
  <c r="A133"/>
  <c r="A373"/>
  <c r="A269"/>
  <c r="A417"/>
  <c r="A281"/>
  <c r="A341"/>
  <c r="A141"/>
  <c r="A105"/>
  <c r="A13"/>
  <c r="A37"/>
  <c r="A329"/>
  <c r="A33"/>
  <c r="A25"/>
  <c r="A249"/>
  <c r="A201"/>
  <c r="A381"/>
  <c r="A393"/>
  <c r="A77"/>
  <c r="A193"/>
  <c r="A369"/>
  <c r="A409"/>
  <c r="A85"/>
  <c r="A157"/>
  <c r="A53"/>
  <c r="A125"/>
  <c r="A505"/>
  <c r="A17"/>
  <c r="A333"/>
  <c r="A317"/>
  <c r="A101"/>
  <c r="A149"/>
  <c r="A29"/>
  <c r="A5"/>
  <c r="A109"/>
  <c r="A205"/>
  <c r="A265"/>
  <c r="A181"/>
  <c r="A385"/>
  <c r="A441"/>
  <c r="A401"/>
  <c r="A337"/>
  <c r="A461"/>
  <c r="A469"/>
  <c r="A353"/>
  <c r="A301"/>
  <c r="A429"/>
  <c r="A293"/>
  <c r="A413"/>
  <c r="A297"/>
  <c r="A497"/>
  <c r="A425"/>
  <c r="A365"/>
  <c r="A361"/>
  <c r="A325"/>
  <c r="A433"/>
  <c r="A221"/>
  <c r="A169"/>
  <c r="A345"/>
  <c r="A277"/>
  <c r="A309"/>
  <c r="A453"/>
  <c r="A209"/>
  <c r="A237"/>
  <c r="A137"/>
  <c r="A405"/>
  <c r="A445"/>
  <c r="A273"/>
  <c r="A45"/>
  <c r="A245"/>
  <c r="A321"/>
  <c r="A493"/>
  <c r="A253"/>
  <c r="A65"/>
  <c r="A313"/>
  <c r="A377"/>
  <c r="A257"/>
  <c r="A185"/>
  <c r="AA224" i="47"/>
  <c r="O155"/>
  <c r="U263"/>
  <c r="U182"/>
  <c r="O67"/>
  <c r="I68"/>
  <c r="AA114"/>
  <c r="O240"/>
  <c r="O265"/>
  <c r="AA200"/>
  <c r="I160"/>
  <c r="X1" i="123"/>
  <c r="I56" i="47"/>
  <c r="U191"/>
  <c r="AA164"/>
  <c r="AD1" i="123"/>
  <c r="O68" i="47"/>
  <c r="I164"/>
  <c r="AA217"/>
  <c r="U98"/>
  <c r="U211"/>
  <c r="U14"/>
  <c r="AA45"/>
  <c r="AA148"/>
  <c r="O217"/>
  <c r="I63"/>
  <c r="AA63"/>
  <c r="U198"/>
  <c r="U242"/>
  <c r="I106"/>
  <c r="AA246"/>
  <c r="O255"/>
  <c r="AA133"/>
  <c r="O173"/>
  <c r="AA265"/>
  <c r="AA104"/>
  <c r="AA106"/>
  <c r="I87"/>
  <c r="I131"/>
  <c r="O53"/>
  <c r="U135"/>
  <c r="I76"/>
  <c r="O212"/>
  <c r="U239"/>
  <c r="I47"/>
  <c r="U232"/>
  <c r="I195"/>
  <c r="O174"/>
  <c r="U187"/>
  <c r="I205"/>
  <c r="I223"/>
  <c r="U260"/>
  <c r="U115"/>
  <c r="I29"/>
  <c r="AA18"/>
  <c r="U184"/>
  <c r="I264"/>
  <c r="U111"/>
  <c r="O36"/>
  <c r="O143"/>
  <c r="AA158"/>
  <c r="I125"/>
  <c r="O27"/>
  <c r="O49"/>
  <c r="AA259"/>
  <c r="I146"/>
  <c r="I170"/>
  <c r="I248"/>
  <c r="U23"/>
  <c r="AA84"/>
  <c r="O233"/>
  <c r="AA128"/>
  <c r="U37"/>
  <c r="I172"/>
  <c r="O200"/>
  <c r="U200"/>
  <c r="U122"/>
  <c r="AA100"/>
  <c r="AA82"/>
  <c r="AA204"/>
  <c r="AR1" i="123"/>
  <c r="O105" i="47"/>
  <c r="I252"/>
  <c r="O175"/>
  <c r="AN1" i="123"/>
  <c r="O241" i="47"/>
  <c r="O197"/>
  <c r="I242"/>
  <c r="I203"/>
  <c r="O57"/>
  <c r="O138"/>
  <c r="AA157"/>
  <c r="AA71"/>
  <c r="U230"/>
  <c r="I246"/>
  <c r="O45"/>
  <c r="U262"/>
  <c r="O230"/>
  <c r="U188"/>
  <c r="I231"/>
  <c r="I150"/>
  <c r="I54"/>
  <c r="I168"/>
  <c r="U31"/>
  <c r="AA225"/>
  <c r="U196"/>
  <c r="I212"/>
  <c r="AA115"/>
  <c r="I211"/>
  <c r="U225"/>
  <c r="L1" i="123"/>
  <c r="I72" i="47"/>
  <c r="I14"/>
  <c r="I98"/>
  <c r="O13"/>
  <c r="AA202"/>
  <c r="U206"/>
  <c r="I192"/>
  <c r="U50"/>
  <c r="U86"/>
  <c r="U100"/>
  <c r="O83"/>
  <c r="U207"/>
  <c r="O28"/>
  <c r="U216"/>
  <c r="AA193"/>
  <c r="U194"/>
  <c r="I228"/>
  <c r="U215"/>
  <c r="O264"/>
  <c r="I227"/>
  <c r="I117"/>
  <c r="I158"/>
  <c r="AA137"/>
  <c r="O199"/>
  <c r="O26"/>
  <c r="I32"/>
  <c r="AA175"/>
  <c r="O208"/>
  <c r="O137"/>
  <c r="O89"/>
  <c r="I137"/>
  <c r="AA91"/>
  <c r="AA139"/>
  <c r="O154"/>
  <c r="I59"/>
  <c r="O39"/>
  <c r="U91"/>
  <c r="AA182"/>
  <c r="I36"/>
  <c r="U144"/>
  <c r="I58"/>
  <c r="O234"/>
  <c r="AA80"/>
  <c r="AA241"/>
  <c r="I84"/>
  <c r="U29"/>
  <c r="U229"/>
  <c r="O106"/>
  <c r="U264"/>
  <c r="A1" i="123"/>
  <c r="AA165" i="47"/>
  <c r="AA181"/>
  <c r="U190"/>
  <c r="AA255"/>
  <c r="O239"/>
  <c r="U74"/>
  <c r="BI1" i="123"/>
  <c r="AA147" i="47"/>
  <c r="AA48"/>
  <c r="I201"/>
  <c r="AA145"/>
  <c r="O266"/>
  <c r="O64"/>
  <c r="AA44"/>
  <c r="O246"/>
  <c r="AH1" i="123"/>
  <c r="I80" i="47"/>
  <c r="U48"/>
  <c r="AA51"/>
  <c r="I186"/>
  <c r="AA90"/>
  <c r="I181"/>
  <c r="O66"/>
  <c r="U76"/>
  <c r="U213"/>
  <c r="O250"/>
  <c r="I128"/>
  <c r="I219"/>
  <c r="U259"/>
  <c r="U139"/>
  <c r="AA233"/>
  <c r="O14"/>
  <c r="I159"/>
  <c r="AA160"/>
  <c r="I64"/>
  <c r="I17"/>
  <c r="I241"/>
  <c r="U30"/>
  <c r="U78"/>
  <c r="U248"/>
  <c r="AF1" i="123"/>
  <c r="O126" i="47"/>
  <c r="U252"/>
  <c r="AA208"/>
  <c r="AA111"/>
  <c r="U87"/>
  <c r="AA235"/>
  <c r="U199"/>
  <c r="O91"/>
  <c r="AY1" i="123"/>
  <c r="O249" i="47"/>
  <c r="I111"/>
  <c r="O149"/>
  <c r="O12"/>
  <c r="AA39"/>
  <c r="O118"/>
  <c r="AA144"/>
  <c r="O247"/>
  <c r="AA38"/>
  <c r="O164"/>
  <c r="I238"/>
  <c r="U44"/>
  <c r="I177"/>
  <c r="U137"/>
  <c r="I182"/>
  <c r="BA1" i="123"/>
  <c r="AA138" i="47"/>
  <c r="U152"/>
  <c r="AA32"/>
  <c r="AA68"/>
  <c r="O170"/>
  <c r="U72"/>
  <c r="AA75"/>
  <c r="O207"/>
  <c r="O70"/>
  <c r="I165"/>
  <c r="Y1" i="123"/>
  <c r="I155" i="47"/>
  <c r="U221"/>
  <c r="I11"/>
  <c r="I179"/>
  <c r="AA176"/>
  <c r="O103"/>
  <c r="U160"/>
  <c r="O205"/>
  <c r="O18"/>
  <c r="U244"/>
  <c r="AA266"/>
  <c r="U149"/>
  <c r="U75"/>
  <c r="AA105"/>
  <c r="I199"/>
  <c r="I83"/>
  <c r="AA21"/>
  <c r="I127"/>
  <c r="AA174"/>
  <c r="I259"/>
  <c r="AA244"/>
  <c r="O225"/>
  <c r="U27"/>
  <c r="AA62"/>
  <c r="I213"/>
  <c r="I38"/>
  <c r="AA55"/>
  <c r="AA108"/>
  <c r="U266"/>
  <c r="I51"/>
  <c r="O74"/>
  <c r="AA119"/>
  <c r="O21"/>
  <c r="O23"/>
  <c r="U35"/>
  <c r="O59"/>
  <c r="U117"/>
  <c r="I93"/>
  <c r="O115"/>
  <c r="I175"/>
  <c r="U214"/>
  <c r="AO1" i="123"/>
  <c r="I48" i="47"/>
  <c r="O176"/>
  <c r="I110"/>
  <c r="O139"/>
  <c r="AA191"/>
  <c r="I215"/>
  <c r="I27"/>
  <c r="E1" i="123"/>
  <c r="U246" i="47"/>
  <c r="O204"/>
  <c r="O161"/>
  <c r="I200"/>
  <c r="O202"/>
  <c r="AA140"/>
  <c r="I176"/>
  <c r="I265"/>
  <c r="I208"/>
  <c r="U69"/>
  <c r="O20"/>
  <c r="I244"/>
  <c r="U79"/>
  <c r="O44"/>
  <c r="AA189"/>
  <c r="O79"/>
  <c r="I22"/>
  <c r="U204"/>
  <c r="AA177"/>
  <c r="I184"/>
  <c r="O236"/>
  <c r="P1" i="123"/>
  <c r="AA151" i="47"/>
  <c r="U169"/>
  <c r="U123"/>
  <c r="O194"/>
  <c r="AA146"/>
  <c r="AA58"/>
  <c r="O75"/>
  <c r="U138"/>
  <c r="I191"/>
  <c r="AA262"/>
  <c r="AA118"/>
  <c r="I245"/>
  <c r="I148"/>
  <c r="U128"/>
  <c r="AA134"/>
  <c r="AA156"/>
  <c r="BK1" i="123"/>
  <c r="AA116" i="47"/>
  <c r="AA214"/>
  <c r="I15"/>
  <c r="AA212"/>
  <c r="AA24"/>
  <c r="I134"/>
  <c r="I204"/>
  <c r="AP1" i="123"/>
  <c r="U143" i="47"/>
  <c r="K1" i="123"/>
  <c r="U94" i="47"/>
  <c r="AA66"/>
  <c r="AA143"/>
  <c r="I34"/>
  <c r="U114"/>
  <c r="O46"/>
  <c r="I220"/>
  <c r="U265"/>
  <c r="U77"/>
  <c r="I71"/>
  <c r="I145"/>
  <c r="U63"/>
  <c r="U165"/>
  <c r="I126"/>
  <c r="O167"/>
  <c r="AA95"/>
  <c r="O261"/>
  <c r="I218"/>
  <c r="U102"/>
  <c r="I67"/>
  <c r="AM1" i="123"/>
  <c r="AA16" i="47"/>
  <c r="O150"/>
  <c r="AA206"/>
  <c r="U243"/>
  <c r="BF1" i="123"/>
  <c r="I78" i="47"/>
  <c r="U250"/>
  <c r="U141"/>
  <c r="O101"/>
  <c r="U202"/>
  <c r="AA94"/>
  <c r="I109"/>
  <c r="AJ1" i="123"/>
  <c r="AA122" i="47"/>
  <c r="I136"/>
  <c r="M1" i="123"/>
  <c r="AK1"/>
  <c r="AA260" i="47"/>
  <c r="O52"/>
  <c r="AA254"/>
  <c r="I249"/>
  <c r="O109"/>
  <c r="I237"/>
  <c r="AA240"/>
  <c r="AA132"/>
  <c r="U38"/>
  <c r="AA65"/>
  <c r="U203"/>
  <c r="U47"/>
  <c r="U222"/>
  <c r="O125"/>
  <c r="AA93"/>
  <c r="U168"/>
  <c r="U136"/>
  <c r="O231"/>
  <c r="O33"/>
  <c r="AA97"/>
  <c r="AA215"/>
  <c r="O110"/>
  <c r="U162"/>
  <c r="I236"/>
  <c r="O169"/>
  <c r="I16"/>
  <c r="U59"/>
  <c r="AA226"/>
  <c r="BJ1" i="123"/>
  <c r="O186" i="47"/>
  <c r="AA155"/>
  <c r="AA1" i="123"/>
  <c r="I256" i="47"/>
  <c r="AA22"/>
  <c r="I234"/>
  <c r="I190"/>
  <c r="AA184"/>
  <c r="I94"/>
  <c r="AA41"/>
  <c r="I41"/>
  <c r="O168"/>
  <c r="U195"/>
  <c r="I77"/>
  <c r="AA64"/>
  <c r="U236"/>
  <c r="U95"/>
  <c r="AA92"/>
  <c r="I194"/>
  <c r="O171"/>
  <c r="I224"/>
  <c r="O135"/>
  <c r="I31"/>
  <c r="I1" i="123"/>
  <c r="U82" i="47"/>
  <c r="AU1" i="123"/>
  <c r="AA171" i="47"/>
  <c r="U159"/>
  <c r="AA57"/>
  <c r="U96"/>
  <c r="U247"/>
  <c r="I116"/>
  <c r="I99"/>
  <c r="U130"/>
  <c r="AA56"/>
  <c r="O253"/>
  <c r="AA232"/>
  <c r="Q1" i="123"/>
  <c r="O131" i="47"/>
  <c r="U174"/>
  <c r="U166"/>
  <c r="I253"/>
  <c r="AA15"/>
  <c r="R1" i="123"/>
  <c r="AA219" i="47"/>
  <c r="O35"/>
  <c r="O107"/>
  <c r="BE1" i="123"/>
  <c r="U219" i="47"/>
  <c r="AA78"/>
  <c r="U33"/>
  <c r="I86"/>
  <c r="I149"/>
  <c r="O162"/>
  <c r="I113"/>
  <c r="I174"/>
  <c r="U51"/>
  <c r="U129"/>
  <c r="O97"/>
  <c r="AI1" i="123"/>
  <c r="I139" i="47"/>
  <c r="I235"/>
  <c r="AA42"/>
  <c r="O124"/>
  <c r="I23"/>
  <c r="AA159"/>
  <c r="O158"/>
  <c r="I162"/>
  <c r="I183"/>
  <c r="I239"/>
  <c r="AA107"/>
  <c r="O189"/>
  <c r="O123"/>
  <c r="O30"/>
  <c r="O256"/>
  <c r="AA19"/>
  <c r="O120"/>
  <c r="U60"/>
  <c r="I197"/>
  <c r="AT1" i="123"/>
  <c r="AA47" i="47"/>
  <c r="I119"/>
  <c r="U177"/>
  <c r="I57"/>
  <c r="AA180"/>
  <c r="AA142"/>
  <c r="U163"/>
  <c r="I33"/>
  <c r="U62"/>
  <c r="AA154"/>
  <c r="AA98"/>
  <c r="AA49"/>
  <c r="O88"/>
  <c r="AA216"/>
  <c r="O73"/>
  <c r="F1" i="123"/>
  <c r="U1"/>
  <c r="O58" i="47"/>
  <c r="AA152"/>
  <c r="Z1" i="123"/>
  <c r="AA36" i="47"/>
  <c r="O42"/>
  <c r="AW1" i="123"/>
  <c r="O76" i="47"/>
  <c r="O99"/>
  <c r="I112"/>
  <c r="AA50"/>
  <c r="O227"/>
  <c r="AA20"/>
  <c r="U107"/>
  <c r="U46"/>
  <c r="AA218"/>
  <c r="I171"/>
  <c r="AA169"/>
  <c r="AA79"/>
  <c r="U253"/>
  <c r="AA125"/>
  <c r="AA263"/>
  <c r="U49"/>
  <c r="O93"/>
  <c r="O41"/>
  <c r="I251"/>
  <c r="I226"/>
  <c r="O11"/>
  <c r="I221"/>
  <c r="O148"/>
  <c r="O62"/>
  <c r="O172"/>
  <c r="AA23"/>
  <c r="I96"/>
  <c r="I180"/>
  <c r="U127"/>
  <c r="U155"/>
  <c r="O244"/>
  <c r="I167"/>
  <c r="I30"/>
  <c r="AA43"/>
  <c r="O177"/>
  <c r="I108"/>
  <c r="U118"/>
  <c r="AA112"/>
  <c r="AA221"/>
  <c r="U234"/>
  <c r="U171"/>
  <c r="I135"/>
  <c r="AL1" i="123"/>
  <c r="O85" i="47"/>
  <c r="U81"/>
  <c r="U73"/>
  <c r="O17"/>
  <c r="I178"/>
  <c r="O104"/>
  <c r="I101"/>
  <c r="U55"/>
  <c r="I66"/>
  <c r="O96"/>
  <c r="U19"/>
  <c r="AA131"/>
  <c r="AA74"/>
  <c r="I217"/>
  <c r="O153"/>
  <c r="AA211"/>
  <c r="I103"/>
  <c r="I257"/>
  <c r="AA14"/>
  <c r="O218"/>
  <c r="AA89"/>
  <c r="AA70"/>
  <c r="I147"/>
  <c r="O232"/>
  <c r="AA190"/>
  <c r="O31"/>
  <c r="U193"/>
  <c r="U80"/>
  <c r="AA230"/>
  <c r="AA127"/>
  <c r="U167"/>
  <c r="AA247"/>
  <c r="B1" i="123"/>
  <c r="U240" i="47"/>
  <c r="I92"/>
  <c r="O144"/>
  <c r="AA210"/>
  <c r="I247"/>
  <c r="O121"/>
  <c r="AA121"/>
  <c r="O185"/>
  <c r="AA245"/>
  <c r="U18"/>
  <c r="O37"/>
  <c r="U156"/>
  <c r="U227"/>
  <c r="AA103"/>
  <c r="I255"/>
  <c r="O191"/>
  <c r="U147"/>
  <c r="AG1" i="123"/>
  <c r="AA99" i="47"/>
  <c r="O213"/>
  <c r="AA229"/>
  <c r="O237"/>
  <c r="U192"/>
  <c r="U70"/>
  <c r="I154"/>
  <c r="BG1" i="123"/>
  <c r="O216" i="47"/>
  <c r="O69"/>
  <c r="I70"/>
  <c r="O152"/>
  <c r="O140"/>
  <c r="O151"/>
  <c r="O211"/>
  <c r="AA149"/>
  <c r="O181"/>
  <c r="O206"/>
  <c r="U212"/>
  <c r="I55"/>
  <c r="U56"/>
  <c r="AA203"/>
  <c r="I97"/>
  <c r="I20"/>
  <c r="AA124"/>
  <c r="U217"/>
  <c r="AA236"/>
  <c r="U119"/>
  <c r="O40"/>
  <c r="U228"/>
  <c r="I169"/>
  <c r="O92"/>
  <c r="U40"/>
  <c r="U32"/>
  <c r="I225"/>
  <c r="O128"/>
  <c r="AA228"/>
  <c r="O229"/>
  <c r="O215"/>
  <c r="O201"/>
  <c r="AA135"/>
  <c r="I124"/>
  <c r="I193"/>
  <c r="AA205"/>
  <c r="U36"/>
  <c r="I73"/>
  <c r="I157"/>
  <c r="AA109"/>
  <c r="U231"/>
  <c r="U68"/>
  <c r="U42"/>
  <c r="AA242"/>
  <c r="U104"/>
  <c r="U233"/>
  <c r="I214"/>
  <c r="U258"/>
  <c r="O220"/>
  <c r="U256"/>
  <c r="O113"/>
  <c r="U241"/>
  <c r="I62"/>
  <c r="O100"/>
  <c r="O251"/>
  <c r="AA69"/>
  <c r="I105"/>
  <c r="U181"/>
  <c r="O165"/>
  <c r="AA60"/>
  <c r="O160"/>
  <c r="H1" i="123"/>
  <c r="AX1"/>
  <c r="AA251" i="47"/>
  <c r="O214"/>
  <c r="I49"/>
  <c r="V1" i="123"/>
  <c r="U145" i="47"/>
  <c r="AA166"/>
  <c r="AA130"/>
  <c r="I196"/>
  <c r="O65"/>
  <c r="I104"/>
  <c r="U210"/>
  <c r="AA243"/>
  <c r="O262"/>
  <c r="U105"/>
  <c r="U185"/>
  <c r="U126"/>
  <c r="U251"/>
  <c r="AZ1" i="123"/>
  <c r="I232" i="47"/>
  <c r="O102"/>
  <c r="U99"/>
  <c r="U133"/>
  <c r="O159"/>
  <c r="I261"/>
  <c r="I90"/>
  <c r="U53"/>
  <c r="O145"/>
  <c r="O184"/>
  <c r="O127"/>
  <c r="AA25"/>
  <c r="U26"/>
  <c r="AA120"/>
  <c r="AA123"/>
  <c r="O22"/>
  <c r="AA170"/>
  <c r="I132"/>
  <c r="AA150"/>
  <c r="AA86"/>
  <c r="AA129"/>
  <c r="O1" i="123"/>
  <c r="U255" i="47"/>
  <c r="O142"/>
  <c r="AA223"/>
  <c r="AA52"/>
  <c r="AA87"/>
  <c r="O48"/>
  <c r="AA227"/>
  <c r="O119"/>
  <c r="O238"/>
  <c r="AA256"/>
  <c r="I198"/>
  <c r="I89"/>
  <c r="I123"/>
  <c r="U201"/>
  <c r="BH1" i="123"/>
  <c r="I115" i="47"/>
  <c r="U88"/>
  <c r="I81"/>
  <c r="AA237"/>
  <c r="AA264"/>
  <c r="AA257"/>
  <c r="I52"/>
  <c r="U103"/>
  <c r="W1" i="123"/>
  <c r="O136" i="47"/>
  <c r="U65"/>
  <c r="U220"/>
  <c r="O252"/>
  <c r="O147"/>
  <c r="U257"/>
  <c r="BL1" i="123"/>
  <c r="I37" i="47"/>
  <c r="U113"/>
  <c r="I46"/>
  <c r="O203"/>
  <c r="O157"/>
  <c r="I153"/>
  <c r="U89"/>
  <c r="I120"/>
  <c r="O80"/>
  <c r="U52"/>
  <c r="U13"/>
  <c r="U28"/>
  <c r="AA141"/>
  <c r="O77"/>
  <c r="AE1" i="123"/>
  <c r="AA194" i="47"/>
  <c r="I138"/>
  <c r="U97"/>
  <c r="O178"/>
  <c r="U249"/>
  <c r="I60"/>
  <c r="AA73"/>
  <c r="O61"/>
  <c r="AA198"/>
  <c r="U64"/>
  <c r="U178"/>
  <c r="AA183"/>
  <c r="O51"/>
  <c r="O63"/>
  <c r="AA178"/>
  <c r="AA238"/>
  <c r="AA46"/>
  <c r="U39"/>
  <c r="I114"/>
  <c r="O38"/>
  <c r="AQ1" i="123"/>
  <c r="I207" i="47"/>
  <c r="I13"/>
  <c r="AA31"/>
  <c r="AA185"/>
  <c r="U67"/>
  <c r="I12"/>
  <c r="U125"/>
  <c r="U108"/>
  <c r="I166"/>
  <c r="I102"/>
  <c r="U154"/>
  <c r="AA239"/>
  <c r="AA186"/>
  <c r="I258"/>
  <c r="U179"/>
  <c r="O192"/>
  <c r="G1" i="123"/>
  <c r="U92" i="47"/>
  <c r="U226"/>
  <c r="AA207"/>
  <c r="I229"/>
  <c r="O248"/>
  <c r="U170"/>
  <c r="U150"/>
  <c r="I28"/>
  <c r="I260"/>
  <c r="I21"/>
  <c r="O16"/>
  <c r="U54"/>
  <c r="AA199"/>
  <c r="U205"/>
  <c r="I122"/>
  <c r="I230"/>
  <c r="I143"/>
  <c r="U245"/>
  <c r="O117"/>
  <c r="O235"/>
  <c r="U61"/>
  <c r="AA248"/>
  <c r="AA179"/>
  <c r="I91"/>
  <c r="I129"/>
  <c r="I263"/>
  <c r="AA136"/>
  <c r="U223"/>
  <c r="AA153"/>
  <c r="AA40"/>
  <c r="AA201"/>
  <c r="O132"/>
  <c r="AA85"/>
  <c r="O228"/>
  <c r="O84"/>
  <c r="O112"/>
  <c r="I26"/>
  <c r="I210"/>
  <c r="D1" i="123"/>
  <c r="AA234" i="47"/>
  <c r="AA54"/>
  <c r="U58"/>
  <c r="O187"/>
  <c r="I173"/>
  <c r="AA209"/>
  <c r="BB1" i="123"/>
  <c r="I140" i="47"/>
  <c r="O15"/>
  <c r="O54"/>
  <c r="U132"/>
  <c r="U109"/>
  <c r="I262"/>
  <c r="I266"/>
  <c r="AA27"/>
  <c r="AA83"/>
  <c r="O245"/>
  <c r="AA249"/>
  <c r="I25"/>
  <c r="AA231"/>
  <c r="AA173"/>
  <c r="O260"/>
  <c r="O259"/>
  <c r="O32"/>
  <c r="I79"/>
  <c r="O134"/>
  <c r="U71"/>
  <c r="AA252"/>
  <c r="AA222"/>
  <c r="I142"/>
  <c r="I100"/>
  <c r="U85"/>
  <c r="I202"/>
  <c r="U218"/>
  <c r="O180"/>
  <c r="O122"/>
  <c r="I75"/>
  <c r="O226"/>
  <c r="AA102"/>
  <c r="AA17"/>
  <c r="AA167"/>
  <c r="I151"/>
  <c r="AA35"/>
  <c r="I240"/>
  <c r="AA168"/>
  <c r="U84"/>
  <c r="AA67"/>
  <c r="U93"/>
  <c r="O111"/>
  <c r="O254"/>
  <c r="U90"/>
  <c r="U66"/>
  <c r="O193"/>
  <c r="AA197"/>
  <c r="U25"/>
  <c r="I18"/>
  <c r="O95"/>
  <c r="U183"/>
  <c r="AA113"/>
  <c r="I107"/>
  <c r="AA26"/>
  <c r="I118"/>
  <c r="U83"/>
  <c r="O196"/>
  <c r="I42"/>
  <c r="U110"/>
  <c r="U140"/>
  <c r="AA11"/>
  <c r="U17"/>
  <c r="U112"/>
  <c r="I40"/>
  <c r="AA13"/>
  <c r="O90"/>
  <c r="O141"/>
  <c r="AA258"/>
  <c r="U34"/>
  <c r="I39"/>
  <c r="U16"/>
  <c r="AC1" i="123"/>
  <c r="O224" i="47"/>
  <c r="U148"/>
  <c r="U176"/>
  <c r="I69"/>
  <c r="U209"/>
  <c r="U208"/>
  <c r="U124"/>
  <c r="AA126"/>
  <c r="O258"/>
  <c r="AA61"/>
  <c r="I187"/>
  <c r="O34"/>
  <c r="U157"/>
  <c r="U238"/>
  <c r="I35"/>
  <c r="O179"/>
  <c r="U142"/>
  <c r="O114"/>
  <c r="I50"/>
  <c r="O182"/>
  <c r="U15"/>
  <c r="O72"/>
  <c r="O82"/>
  <c r="O243"/>
  <c r="I209"/>
  <c r="O183"/>
  <c r="O108"/>
  <c r="O24"/>
  <c r="AA29"/>
  <c r="O19"/>
  <c r="AA30"/>
  <c r="O87"/>
  <c r="I206"/>
  <c r="I65"/>
  <c r="U175"/>
  <c r="AA195"/>
  <c r="U106"/>
  <c r="U224"/>
  <c r="AA77"/>
  <c r="I45"/>
  <c r="AA261"/>
  <c r="O219"/>
  <c r="AA187"/>
  <c r="U20"/>
  <c r="U158"/>
  <c r="I141"/>
  <c r="O129"/>
  <c r="I121"/>
  <c r="U57"/>
  <c r="AA37"/>
  <c r="I61"/>
  <c r="I130"/>
  <c r="U24"/>
  <c r="I161"/>
  <c r="U45"/>
  <c r="O198"/>
  <c r="U153"/>
  <c r="AA72"/>
  <c r="I43"/>
  <c r="I222"/>
  <c r="I250"/>
  <c r="T1" i="123"/>
  <c r="I163" i="47"/>
  <c r="AA162"/>
  <c r="O190"/>
  <c r="AA163"/>
  <c r="AA172"/>
  <c r="O242"/>
  <c r="I53"/>
  <c r="AA117"/>
  <c r="U12"/>
  <c r="AA33"/>
  <c r="U11"/>
  <c r="O25"/>
  <c r="O223"/>
  <c r="O78"/>
  <c r="I216"/>
  <c r="U261"/>
  <c r="AA220"/>
  <c r="O146"/>
  <c r="U21"/>
  <c r="O257"/>
  <c r="I243"/>
  <c r="U41"/>
  <c r="I156"/>
  <c r="O29"/>
  <c r="O43"/>
  <c r="U116"/>
  <c r="O221"/>
  <c r="O81"/>
  <c r="AA192"/>
  <c r="I95"/>
  <c r="O98"/>
  <c r="I189"/>
  <c r="U43"/>
  <c r="U101"/>
  <c r="AA59"/>
  <c r="I44"/>
  <c r="AB1" i="123"/>
  <c r="O130" i="47"/>
  <c r="O156"/>
  <c r="I233"/>
  <c r="U186"/>
  <c r="BD1" i="123"/>
  <c r="I185" i="47"/>
  <c r="O222"/>
  <c r="O86"/>
  <c r="AA253"/>
  <c r="O188"/>
  <c r="U146"/>
  <c r="I85"/>
  <c r="S1" i="123"/>
  <c r="I88" i="47"/>
  <c r="AA88"/>
  <c r="AA76"/>
  <c r="N1" i="123"/>
  <c r="U189" i="47"/>
  <c r="O55"/>
  <c r="O163"/>
  <c r="O71"/>
  <c r="I74"/>
  <c r="I19"/>
  <c r="U22"/>
  <c r="U172"/>
  <c r="AA196"/>
  <c r="U173"/>
  <c r="O210"/>
  <c r="O263"/>
  <c r="O94"/>
  <c r="O195"/>
  <c r="U134"/>
  <c r="O116"/>
  <c r="O56"/>
  <c r="I144"/>
  <c r="O166"/>
  <c r="AV1" i="123"/>
  <c r="U180" i="47"/>
  <c r="O47"/>
  <c r="AA110"/>
  <c r="U235"/>
  <c r="U237"/>
  <c r="I254"/>
  <c r="I188"/>
  <c r="O133"/>
  <c r="U121"/>
  <c r="AA161"/>
  <c r="U164"/>
  <c r="O60"/>
  <c r="AA34"/>
  <c r="O50"/>
  <c r="U131"/>
  <c r="U120"/>
  <c r="AA250"/>
  <c r="I133"/>
  <c r="J1" i="123"/>
  <c r="C1"/>
  <c r="U161" i="47"/>
  <c r="AS1" i="123"/>
  <c r="O209" i="47"/>
  <c r="I152"/>
  <c r="AA12"/>
  <c r="AA213"/>
  <c r="AA188"/>
  <c r="U197"/>
  <c r="U254"/>
  <c r="AA101"/>
  <c r="AA96"/>
  <c r="U151"/>
  <c r="I24"/>
  <c r="AA28"/>
  <c r="BC1" i="123"/>
  <c r="AA81" i="47"/>
  <c r="AA53"/>
  <c r="I82"/>
  <c r="B220" i="50" l="1"/>
  <c r="A220"/>
  <c r="B204"/>
  <c r="A204"/>
  <c r="B193"/>
  <c r="A193"/>
  <c r="B176"/>
  <c r="A176"/>
  <c r="A175"/>
  <c r="B175"/>
  <c r="B177"/>
  <c r="A177"/>
  <c r="B183"/>
  <c r="A183"/>
  <c r="A185"/>
  <c r="B185"/>
  <c r="B191"/>
  <c r="A191"/>
  <c r="A197"/>
  <c r="B197"/>
  <c r="B203"/>
  <c r="A203"/>
  <c r="A205"/>
  <c r="B205"/>
  <c r="B211"/>
  <c r="A211"/>
  <c r="B213"/>
  <c r="A213"/>
  <c r="A219"/>
  <c r="B219"/>
  <c r="A221"/>
  <c r="B221"/>
  <c r="A231"/>
  <c r="B231"/>
  <c r="A233"/>
  <c r="B233"/>
  <c r="B239"/>
  <c r="A239"/>
  <c r="A241"/>
  <c r="B241"/>
  <c r="B254"/>
  <c r="A254"/>
  <c r="A212"/>
  <c r="B212"/>
  <c r="B196"/>
  <c r="A196"/>
  <c r="A192"/>
  <c r="B192"/>
  <c r="B184"/>
  <c r="A184"/>
  <c r="B178"/>
  <c r="A178"/>
  <c r="A186"/>
  <c r="B186"/>
  <c r="B194"/>
  <c r="A194"/>
  <c r="A206"/>
  <c r="B206"/>
  <c r="A214"/>
  <c r="B214"/>
  <c r="B222"/>
  <c r="A222"/>
  <c r="B228"/>
  <c r="A228"/>
  <c r="B234"/>
  <c r="A234"/>
  <c r="B242"/>
  <c r="A242"/>
  <c r="B245"/>
  <c r="A245"/>
  <c r="A251"/>
  <c r="B251"/>
  <c r="A253"/>
  <c r="B253"/>
  <c r="E42" i="123"/>
  <c r="E41"/>
  <c r="E40"/>
  <c r="E39"/>
  <c r="E38"/>
  <c r="E37"/>
  <c r="E36"/>
  <c r="E35"/>
  <c r="E34"/>
  <c r="E33"/>
  <c r="E32"/>
  <c r="E31"/>
  <c r="E30"/>
  <c r="E29"/>
  <c r="E28"/>
  <c r="E27"/>
  <c r="E26"/>
  <c r="E25"/>
  <c r="E24"/>
  <c r="E23"/>
  <c r="E22"/>
  <c r="E21"/>
  <c r="E20"/>
  <c r="E19"/>
  <c r="E18"/>
  <c r="E17"/>
  <c r="E16"/>
  <c r="E15"/>
  <c r="E14"/>
  <c r="E13"/>
  <c r="B12" i="140"/>
  <c r="B282" i="15" s="1"/>
  <c r="B12" i="142"/>
  <c r="B294" i="15" s="1"/>
  <c r="B12" i="149"/>
  <c r="B336" i="15" s="1"/>
  <c r="B12" i="154"/>
  <c r="B366" i="15" s="1"/>
  <c r="B12" i="157"/>
  <c r="B384" i="15" s="1"/>
  <c r="E267" i="123"/>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43"/>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A76" i="63"/>
  <c r="AN82" i="47"/>
  <c r="J82"/>
  <c r="L82"/>
  <c r="K82"/>
  <c r="M82"/>
  <c r="N82"/>
  <c r="F76" i="63" s="1"/>
  <c r="B289" i="61"/>
  <c r="AE53" i="47"/>
  <c r="AB53"/>
  <c r="C176" i="61" s="1"/>
  <c r="AC53" i="47"/>
  <c r="D176" i="61" s="1"/>
  <c r="AD53" i="47"/>
  <c r="E176" i="61" s="1"/>
  <c r="B176"/>
  <c r="AQ53" i="47"/>
  <c r="AF53"/>
  <c r="AD81"/>
  <c r="E288" i="61" s="1"/>
  <c r="AF81" i="47"/>
  <c r="AC81"/>
  <c r="D288" i="61" s="1"/>
  <c r="AB81" i="47"/>
  <c r="C288" i="61" s="1"/>
  <c r="AQ81" i="47"/>
  <c r="B288" i="61"/>
  <c r="AE81" i="47"/>
  <c r="AB28"/>
  <c r="C76" i="61" s="1"/>
  <c r="AE28" i="47"/>
  <c r="AC28"/>
  <c r="D76" i="61" s="1"/>
  <c r="AD28" i="47"/>
  <c r="E76" i="61" s="1"/>
  <c r="AQ28" i="47"/>
  <c r="AF28"/>
  <c r="B76" i="61"/>
  <c r="K24" i="47"/>
  <c r="A18" i="63"/>
  <c r="N24" i="47"/>
  <c r="F18" i="63" s="1"/>
  <c r="AN24" i="47"/>
  <c r="B57" i="61"/>
  <c r="L24" i="47"/>
  <c r="J24"/>
  <c r="M24"/>
  <c r="Y151"/>
  <c r="W151"/>
  <c r="Z151"/>
  <c r="AP151"/>
  <c r="AE96"/>
  <c r="AF96"/>
  <c r="AB96"/>
  <c r="C348" i="61" s="1"/>
  <c r="AQ96" i="47"/>
  <c r="AD96"/>
  <c r="E348" i="61" s="1"/>
  <c r="AC96" i="47"/>
  <c r="D348" i="61" s="1"/>
  <c r="B348"/>
  <c r="AE101" i="47"/>
  <c r="B368" i="61"/>
  <c r="AB101" i="47"/>
  <c r="C368" i="61" s="1"/>
  <c r="AQ101" i="47"/>
  <c r="AC101"/>
  <c r="D368" i="61" s="1"/>
  <c r="AF101" i="47"/>
  <c r="AD101"/>
  <c r="E368" i="61" s="1"/>
  <c r="Y254" i="47"/>
  <c r="W254"/>
  <c r="Z254"/>
  <c r="AP254"/>
  <c r="Y197"/>
  <c r="Z197"/>
  <c r="W197"/>
  <c r="AP197"/>
  <c r="AB188"/>
  <c r="AF188"/>
  <c r="AQ188"/>
  <c r="AD188"/>
  <c r="AC188"/>
  <c r="AE188"/>
  <c r="AD213"/>
  <c r="AQ213"/>
  <c r="AB213"/>
  <c r="AC213"/>
  <c r="AF213"/>
  <c r="AE213"/>
  <c r="AF12"/>
  <c r="AC12"/>
  <c r="D12" i="61" s="1"/>
  <c r="AD12" i="47"/>
  <c r="E12" i="61" s="1"/>
  <c r="AE12" i="47"/>
  <c r="B12" i="61"/>
  <c r="AB12" i="47"/>
  <c r="C12" i="61" s="1"/>
  <c r="AQ12" i="47"/>
  <c r="L152"/>
  <c r="K152"/>
  <c r="N152"/>
  <c r="J152"/>
  <c r="M152"/>
  <c r="AN152"/>
  <c r="T209"/>
  <c r="F341" i="63" s="1"/>
  <c r="S209" i="47"/>
  <c r="E341" i="63" s="1"/>
  <c r="A341"/>
  <c r="Q209" i="47"/>
  <c r="C341" i="63" s="1"/>
  <c r="AO209" i="47"/>
  <c r="Z161"/>
  <c r="Y161"/>
  <c r="AP161"/>
  <c r="W161"/>
  <c r="AN133"/>
  <c r="A127" i="63"/>
  <c r="N133" i="47"/>
  <c r="F127" i="63" s="1"/>
  <c r="M133" i="47"/>
  <c r="B493" i="61"/>
  <c r="J133" i="47"/>
  <c r="K133"/>
  <c r="L133"/>
  <c r="AB250"/>
  <c r="AD250"/>
  <c r="AC250"/>
  <c r="AQ250"/>
  <c r="AE250"/>
  <c r="AF250"/>
  <c r="AP120"/>
  <c r="W120"/>
  <c r="D443" i="61" s="1"/>
  <c r="Y120" i="47"/>
  <c r="Z120"/>
  <c r="B443" i="61"/>
  <c r="W131" i="47"/>
  <c r="D487" i="61" s="1"/>
  <c r="Y131" i="47"/>
  <c r="AP131"/>
  <c r="B487" i="61"/>
  <c r="Z131" i="47"/>
  <c r="S50"/>
  <c r="E182" i="63" s="1"/>
  <c r="AO50" i="47"/>
  <c r="T50"/>
  <c r="F182" i="63" s="1"/>
  <c r="Q50" i="47"/>
  <c r="A182" i="63"/>
  <c r="B162" i="61"/>
  <c r="AE34" i="47"/>
  <c r="AD34"/>
  <c r="E100" i="61" s="1"/>
  <c r="AC34" i="47"/>
  <c r="D100" i="61" s="1"/>
  <c r="AB34" i="47"/>
  <c r="C100" i="61" s="1"/>
  <c r="AF34" i="47"/>
  <c r="AQ34"/>
  <c r="B100" i="61"/>
  <c r="A192" i="63"/>
  <c r="B202" i="61"/>
  <c r="S60" i="47"/>
  <c r="E192" i="63" s="1"/>
  <c r="T60" i="47"/>
  <c r="F192" i="63" s="1"/>
  <c r="Q60" i="47"/>
  <c r="AO60"/>
  <c r="AP164"/>
  <c r="Y164"/>
  <c r="W164"/>
  <c r="Z164"/>
  <c r="AE161"/>
  <c r="AQ161"/>
  <c r="AB161"/>
  <c r="AC161"/>
  <c r="AF161"/>
  <c r="AD161"/>
  <c r="W121"/>
  <c r="D447" i="61" s="1"/>
  <c r="B447"/>
  <c r="Y121" i="47"/>
  <c r="Z121"/>
  <c r="AP121"/>
  <c r="T133"/>
  <c r="F265" i="63" s="1"/>
  <c r="A265"/>
  <c r="Q133" i="47"/>
  <c r="S133"/>
  <c r="E265" i="63" s="1"/>
  <c r="AO133" i="47"/>
  <c r="B494" i="61"/>
  <c r="AN188" i="47"/>
  <c r="N188"/>
  <c r="M188"/>
  <c r="K188"/>
  <c r="M254"/>
  <c r="AN254"/>
  <c r="N254"/>
  <c r="K254"/>
  <c r="Y237"/>
  <c r="AP237"/>
  <c r="Z237"/>
  <c r="W237"/>
  <c r="Y235"/>
  <c r="AP235"/>
  <c r="W235"/>
  <c r="Z235"/>
  <c r="AB110"/>
  <c r="C404" i="61" s="1"/>
  <c r="AF110" i="47"/>
  <c r="AC110"/>
  <c r="D404" i="61" s="1"/>
  <c r="AQ110" i="47"/>
  <c r="AE110"/>
  <c r="AD110"/>
  <c r="E404" i="61" s="1"/>
  <c r="B404"/>
  <c r="S47" i="47"/>
  <c r="E179" i="63" s="1"/>
  <c r="B150" i="61"/>
  <c r="A179" i="63"/>
  <c r="T47" i="47"/>
  <c r="F179" i="63" s="1"/>
  <c r="Q47" i="47"/>
  <c r="AO47"/>
  <c r="Z180"/>
  <c r="Y180"/>
  <c r="W180"/>
  <c r="AP180"/>
  <c r="T166"/>
  <c r="F298" i="63" s="1"/>
  <c r="S166" i="47"/>
  <c r="E298" i="63" s="1"/>
  <c r="A298"/>
  <c r="Q166" i="47"/>
  <c r="C298" i="63" s="1"/>
  <c r="AO166" i="47"/>
  <c r="M144"/>
  <c r="AN144"/>
  <c r="J144"/>
  <c r="K144"/>
  <c r="C138" i="63" s="1"/>
  <c r="N144" i="47"/>
  <c r="F138" i="63" s="1"/>
  <c r="L144" i="47"/>
  <c r="D138" i="63" s="1"/>
  <c r="A138"/>
  <c r="Q56" i="47"/>
  <c r="B186" i="61"/>
  <c r="A188" i="63"/>
  <c r="S56" i="47"/>
  <c r="E188" i="63" s="1"/>
  <c r="T56" i="47"/>
  <c r="F188" i="63" s="1"/>
  <c r="AO56" i="47"/>
  <c r="A248" i="63"/>
  <c r="B426" i="61"/>
  <c r="Q116" i="47"/>
  <c r="S116"/>
  <c r="E248" i="63" s="1"/>
  <c r="T116" i="47"/>
  <c r="F248" i="63" s="1"/>
  <c r="AO116" i="47"/>
  <c r="B499" i="61"/>
  <c r="Z134" i="47"/>
  <c r="Y134"/>
  <c r="W134"/>
  <c r="D499" i="61" s="1"/>
  <c r="AP134" i="47"/>
  <c r="Q195"/>
  <c r="C327" i="63" s="1"/>
  <c r="S195" i="47"/>
  <c r="E327" i="63" s="1"/>
  <c r="T195" i="47"/>
  <c r="F327" i="63" s="1"/>
  <c r="AO195" i="47"/>
  <c r="A327" i="63"/>
  <c r="A226"/>
  <c r="T94" i="47"/>
  <c r="F226" i="63" s="1"/>
  <c r="AO94" i="47"/>
  <c r="S94"/>
  <c r="E226" i="63" s="1"/>
  <c r="B338" i="61"/>
  <c r="Q94" i="47"/>
  <c r="Q263"/>
  <c r="C395" i="63" s="1"/>
  <c r="AO263" i="47"/>
  <c r="T263"/>
  <c r="F395" i="63" s="1"/>
  <c r="S263" i="47"/>
  <c r="E395" i="63" s="1"/>
  <c r="A395"/>
  <c r="AO210" i="47"/>
  <c r="Q210"/>
  <c r="C342" i="63" s="1"/>
  <c r="S210" i="47"/>
  <c r="E342" i="63" s="1"/>
  <c r="T210" i="47"/>
  <c r="F342" i="63" s="1"/>
  <c r="A342"/>
  <c r="W173" i="47"/>
  <c r="Y173"/>
  <c r="Z173"/>
  <c r="AP173"/>
  <c r="AE196"/>
  <c r="AC196"/>
  <c r="AD196"/>
  <c r="AQ196"/>
  <c r="AF196"/>
  <c r="AB196"/>
  <c r="Y172"/>
  <c r="W172"/>
  <c r="AP172"/>
  <c r="Z172"/>
  <c r="Z22"/>
  <c r="B51" i="61"/>
  <c r="W22" i="47"/>
  <c r="D51" i="61" s="1"/>
  <c r="AP22" i="47"/>
  <c r="Y22"/>
  <c r="J19"/>
  <c r="M19"/>
  <c r="K19"/>
  <c r="N19"/>
  <c r="F13" i="63" s="1"/>
  <c r="L19" i="47"/>
  <c r="A13" i="63"/>
  <c r="B37" i="61"/>
  <c r="AN19" i="47"/>
  <c r="L74"/>
  <c r="J74"/>
  <c r="A68" i="63"/>
  <c r="AN74" i="47"/>
  <c r="M74"/>
  <c r="K74"/>
  <c r="B257" i="61"/>
  <c r="N74" i="47"/>
  <c r="F68" i="63" s="1"/>
  <c r="AO71" i="47"/>
  <c r="B246" i="61"/>
  <c r="S71" i="47"/>
  <c r="E203" i="63" s="1"/>
  <c r="A203"/>
  <c r="T71" i="47"/>
  <c r="F203" i="63" s="1"/>
  <c r="Q71" i="47"/>
  <c r="A295" i="63"/>
  <c r="AO163" i="47"/>
  <c r="T163"/>
  <c r="F295" i="63" s="1"/>
  <c r="S163" i="47"/>
  <c r="E295" i="63" s="1"/>
  <c r="Q163" i="47"/>
  <c r="C295" i="63" s="1"/>
  <c r="A187"/>
  <c r="Q55" i="47"/>
  <c r="S55"/>
  <c r="E187" i="63" s="1"/>
  <c r="AO55" i="47"/>
  <c r="T55"/>
  <c r="F187" i="63" s="1"/>
  <c r="B182" i="61"/>
  <c r="W189" i="47"/>
  <c r="AP189"/>
  <c r="Z189"/>
  <c r="Y189"/>
  <c r="B268" i="61"/>
  <c r="AQ76" i="47"/>
  <c r="AF76"/>
  <c r="AB76"/>
  <c r="C268" i="61" s="1"/>
  <c r="AC76" i="47"/>
  <c r="D268" i="61" s="1"/>
  <c r="AD76" i="47"/>
  <c r="E268" i="61" s="1"/>
  <c r="AE76" i="47"/>
  <c r="AD88"/>
  <c r="E316" i="61" s="1"/>
  <c r="B316"/>
  <c r="AB88" i="47"/>
  <c r="C316" i="61" s="1"/>
  <c r="AC88" i="47"/>
  <c r="D316" i="61" s="1"/>
  <c r="AQ88" i="47"/>
  <c r="AF88"/>
  <c r="AE88"/>
  <c r="K88"/>
  <c r="A82" i="63"/>
  <c r="B313" i="61"/>
  <c r="N88" i="47"/>
  <c r="F82" i="63" s="1"/>
  <c r="M88" i="47"/>
  <c r="AN88"/>
  <c r="L88"/>
  <c r="J88"/>
  <c r="M85"/>
  <c r="L85"/>
  <c r="J85"/>
  <c r="B301" i="61"/>
  <c r="AN85" i="47"/>
  <c r="N85"/>
  <c r="F79" i="63" s="1"/>
  <c r="A79"/>
  <c r="K85" i="47"/>
  <c r="W146"/>
  <c r="Z146"/>
  <c r="AP146"/>
  <c r="Y146"/>
  <c r="T188"/>
  <c r="F320" i="63" s="1"/>
  <c r="A320"/>
  <c r="S188" i="47"/>
  <c r="E320" i="63" s="1"/>
  <c r="Q188" i="47"/>
  <c r="C320" i="63" s="1"/>
  <c r="AO188" i="47"/>
  <c r="AE253"/>
  <c r="AQ253"/>
  <c r="AB253"/>
  <c r="AF253"/>
  <c r="AC253"/>
  <c r="AD253"/>
  <c r="S86"/>
  <c r="E218" i="63" s="1"/>
  <c r="AO86" i="47"/>
  <c r="T86"/>
  <c r="F218" i="63" s="1"/>
  <c r="Q86" i="47"/>
  <c r="A218" i="63"/>
  <c r="B306" i="61"/>
  <c r="A354" i="63"/>
  <c r="Q222" i="47"/>
  <c r="C354" i="63" s="1"/>
  <c r="T222" i="47"/>
  <c r="F354" i="63" s="1"/>
  <c r="S222" i="47"/>
  <c r="E354" i="63" s="1"/>
  <c r="AO222" i="47"/>
  <c r="M185"/>
  <c r="K185"/>
  <c r="N185"/>
  <c r="AN185"/>
  <c r="AP186"/>
  <c r="Z186"/>
  <c r="W186"/>
  <c r="Y186"/>
  <c r="M233"/>
  <c r="K233"/>
  <c r="AN233"/>
  <c r="N233"/>
  <c r="Q156"/>
  <c r="C288" i="63" s="1"/>
  <c r="S156" i="47"/>
  <c r="E288" i="63" s="1"/>
  <c r="T156" i="47"/>
  <c r="F288" i="63" s="1"/>
  <c r="AO156" i="47"/>
  <c r="A288" i="63"/>
  <c r="Q130" i="47"/>
  <c r="B482" i="61"/>
  <c r="T130" i="47"/>
  <c r="F262" i="63" s="1"/>
  <c r="A262"/>
  <c r="S130" i="47"/>
  <c r="E262" i="63" s="1"/>
  <c r="AO130" i="47"/>
  <c r="M44"/>
  <c r="AN44"/>
  <c r="A38" i="63"/>
  <c r="B137" i="61"/>
  <c r="N44" i="47"/>
  <c r="F38" i="63" s="1"/>
  <c r="L44" i="47"/>
  <c r="K44"/>
  <c r="J44"/>
  <c r="AB59"/>
  <c r="C200" i="61" s="1"/>
  <c r="AF59" i="47"/>
  <c r="AQ59"/>
  <c r="AD59"/>
  <c r="E200" i="61" s="1"/>
  <c r="AC59" i="47"/>
  <c r="D200" i="61" s="1"/>
  <c r="AE59" i="47"/>
  <c r="B200" i="61"/>
  <c r="Y101" i="47"/>
  <c r="B367" i="61"/>
  <c r="W101" i="47"/>
  <c r="D367" i="61" s="1"/>
  <c r="AP101" i="47"/>
  <c r="Z101"/>
  <c r="W43"/>
  <c r="D135" i="61" s="1"/>
  <c r="B135"/>
  <c r="Z43" i="47"/>
  <c r="AP43"/>
  <c r="Y43"/>
  <c r="K189"/>
  <c r="AN189"/>
  <c r="N189"/>
  <c r="M189"/>
  <c r="AO98"/>
  <c r="B354" i="61"/>
  <c r="Q98" i="47"/>
  <c r="S98"/>
  <c r="E230" i="63" s="1"/>
  <c r="T98" i="47"/>
  <c r="F230" i="63" s="1"/>
  <c r="A230"/>
  <c r="B341" i="61"/>
  <c r="N95" i="47"/>
  <c r="F89" i="63" s="1"/>
  <c r="M95" i="47"/>
  <c r="J95"/>
  <c r="AN95"/>
  <c r="K95"/>
  <c r="L95"/>
  <c r="A89" i="63"/>
  <c r="AE192" i="47"/>
  <c r="AF192"/>
  <c r="AB192"/>
  <c r="AC192"/>
  <c r="AQ192"/>
  <c r="AD192"/>
  <c r="T81"/>
  <c r="F213" i="63" s="1"/>
  <c r="A213"/>
  <c r="B286" i="61"/>
  <c r="Q81" i="47"/>
  <c r="S81"/>
  <c r="E213" i="63" s="1"/>
  <c r="AO81" i="47"/>
  <c r="S221"/>
  <c r="E353" i="63" s="1"/>
  <c r="A353"/>
  <c r="T221" i="47"/>
  <c r="F353" i="63" s="1"/>
  <c r="Q221" i="47"/>
  <c r="C353" i="63" s="1"/>
  <c r="AO221" i="47"/>
  <c r="B427" i="61"/>
  <c r="W116" i="47"/>
  <c r="D427" i="61" s="1"/>
  <c r="Y116" i="47"/>
  <c r="Z116"/>
  <c r="AP116"/>
  <c r="T43"/>
  <c r="F175" i="63" s="1"/>
  <c r="S43" i="47"/>
  <c r="E175" i="63" s="1"/>
  <c r="AO43" i="47"/>
  <c r="B134" i="61"/>
  <c r="Q43" i="47"/>
  <c r="A175" i="63"/>
  <c r="S29" i="47"/>
  <c r="E161" i="63" s="1"/>
  <c r="A161"/>
  <c r="T29" i="47"/>
  <c r="F161" i="63" s="1"/>
  <c r="B78" i="61"/>
  <c r="AO29" i="47"/>
  <c r="Q29"/>
  <c r="AN156"/>
  <c r="K156"/>
  <c r="M156"/>
  <c r="N156"/>
  <c r="Z41"/>
  <c r="W41"/>
  <c r="D127" i="61" s="1"/>
  <c r="Y41" i="47"/>
  <c r="AP41"/>
  <c r="B127" i="61"/>
  <c r="M243" i="47"/>
  <c r="AN243"/>
  <c r="K243"/>
  <c r="N243"/>
  <c r="Q257"/>
  <c r="C389" i="63" s="1"/>
  <c r="A389"/>
  <c r="T257" i="47"/>
  <c r="F389" i="63" s="1"/>
  <c r="S257" i="47"/>
  <c r="E389" i="63" s="1"/>
  <c r="AO257" i="47"/>
  <c r="B47" i="61"/>
  <c r="Y21" i="47"/>
  <c r="AP21"/>
  <c r="W21"/>
  <c r="D47" i="61" s="1"/>
  <c r="Z21" i="47"/>
  <c r="S146"/>
  <c r="E278" i="63" s="1"/>
  <c r="AO146" i="47"/>
  <c r="Q146"/>
  <c r="C278" i="63" s="1"/>
  <c r="T146" i="47"/>
  <c r="F278" i="63" s="1"/>
  <c r="A278"/>
  <c r="AD220" i="47"/>
  <c r="AE220"/>
  <c r="AC220"/>
  <c r="AF220"/>
  <c r="AQ220"/>
  <c r="AB220"/>
  <c r="Z261"/>
  <c r="W261"/>
  <c r="Y261"/>
  <c r="AP261"/>
  <c r="AN216"/>
  <c r="K216"/>
  <c r="M216"/>
  <c r="N216"/>
  <c r="B274" i="61"/>
  <c r="Q78" i="47"/>
  <c r="T78"/>
  <c r="F210" i="63" s="1"/>
  <c r="S78" i="47"/>
  <c r="E210" i="63" s="1"/>
  <c r="AO78" i="47"/>
  <c r="A210" i="63"/>
  <c r="Q223" i="47"/>
  <c r="C355" i="63" s="1"/>
  <c r="S223" i="47"/>
  <c r="E355" i="63" s="1"/>
  <c r="AO223" i="47"/>
  <c r="T223"/>
  <c r="F355" i="63" s="1"/>
  <c r="A355"/>
  <c r="T25" i="47"/>
  <c r="F157" i="63" s="1"/>
  <c r="AO25" i="47"/>
  <c r="Q25"/>
  <c r="S25"/>
  <c r="E157" i="63" s="1"/>
  <c r="B62" i="61"/>
  <c r="A157" i="63"/>
  <c r="B7" i="61"/>
  <c r="W11" i="47"/>
  <c r="D7" i="61" s="1"/>
  <c r="AP11" i="47"/>
  <c r="Y11"/>
  <c r="Z11"/>
  <c r="AD33"/>
  <c r="E96" i="61" s="1"/>
  <c r="AF33" i="47"/>
  <c r="AB33"/>
  <c r="C96" i="61" s="1"/>
  <c r="B96"/>
  <c r="AC33" i="47"/>
  <c r="D96" i="61" s="1"/>
  <c r="AE33" i="47"/>
  <c r="AQ33"/>
  <c r="B11" i="61"/>
  <c r="Y12" i="47"/>
  <c r="Z12"/>
  <c r="W12"/>
  <c r="D11" i="61" s="1"/>
  <c r="AP12" i="47"/>
  <c r="AQ117"/>
  <c r="AB117"/>
  <c r="C432" i="61" s="1"/>
  <c r="AD117" i="47"/>
  <c r="E432" i="61" s="1"/>
  <c r="AF117" i="47"/>
  <c r="AC117"/>
  <c r="D432" i="61" s="1"/>
  <c r="AE117" i="47"/>
  <c r="B432" i="61"/>
  <c r="M53" i="47"/>
  <c r="K53"/>
  <c r="A47" i="63"/>
  <c r="AN53" i="47"/>
  <c r="N53"/>
  <c r="F47" i="63" s="1"/>
  <c r="B173" i="61"/>
  <c r="L53" i="47"/>
  <c r="J53"/>
  <c r="T242"/>
  <c r="F374" i="63" s="1"/>
  <c r="Q242" i="47"/>
  <c r="C374" i="63" s="1"/>
  <c r="AO242" i="47"/>
  <c r="A374" i="63"/>
  <c r="S242" i="47"/>
  <c r="E374" i="63" s="1"/>
  <c r="AC172" i="47"/>
  <c r="AF172"/>
  <c r="AD172"/>
  <c r="AQ172"/>
  <c r="AB172"/>
  <c r="AE172"/>
  <c r="AB163"/>
  <c r="AD163"/>
  <c r="AQ163"/>
  <c r="AE163"/>
  <c r="AC163"/>
  <c r="AF163"/>
  <c r="T190"/>
  <c r="F322" i="63" s="1"/>
  <c r="S190" i="47"/>
  <c r="E322" i="63" s="1"/>
  <c r="Q190" i="47"/>
  <c r="C322" i="63" s="1"/>
  <c r="A322"/>
  <c r="AO190" i="47"/>
  <c r="AD162"/>
  <c r="AC162"/>
  <c r="AB162"/>
  <c r="AQ162"/>
  <c r="AE162"/>
  <c r="AF162"/>
  <c r="K163"/>
  <c r="AN163"/>
  <c r="N163"/>
  <c r="M163"/>
  <c r="N250"/>
  <c r="AN250"/>
  <c r="M250"/>
  <c r="K250"/>
  <c r="AN222"/>
  <c r="N222"/>
  <c r="K222"/>
  <c r="M222"/>
  <c r="J43"/>
  <c r="M43"/>
  <c r="N43"/>
  <c r="F37" i="63" s="1"/>
  <c r="B133" i="61"/>
  <c r="A37" i="63"/>
  <c r="K43" i="47"/>
  <c r="AN43"/>
  <c r="L43"/>
  <c r="AE72"/>
  <c r="B252" i="61"/>
  <c r="AB72" i="47"/>
  <c r="C252" i="61" s="1"/>
  <c r="AF72" i="47"/>
  <c r="AD72"/>
  <c r="E252" i="61" s="1"/>
  <c r="AC72" i="47"/>
  <c r="D252" i="61" s="1"/>
  <c r="AQ72" i="47"/>
  <c r="Y153"/>
  <c r="AP153"/>
  <c r="W153"/>
  <c r="Z153"/>
  <c r="S198"/>
  <c r="E330" i="63" s="1"/>
  <c r="T198" i="47"/>
  <c r="F330" i="63" s="1"/>
  <c r="AO198" i="47"/>
  <c r="Q198"/>
  <c r="C330" i="63" s="1"/>
  <c r="A330"/>
  <c r="Y45" i="47"/>
  <c r="AP45"/>
  <c r="W45"/>
  <c r="D143" i="61" s="1"/>
  <c r="B143"/>
  <c r="Z45" i="47"/>
  <c r="M161"/>
  <c r="AN161"/>
  <c r="N161"/>
  <c r="K161"/>
  <c r="Y24"/>
  <c r="W24"/>
  <c r="D59" i="61" s="1"/>
  <c r="B59"/>
  <c r="Z24" i="47"/>
  <c r="AP24"/>
  <c r="A124" i="63"/>
  <c r="K130" i="47"/>
  <c r="AN130"/>
  <c r="J130"/>
  <c r="B481" i="61"/>
  <c r="L130" i="47"/>
  <c r="M130"/>
  <c r="N130"/>
  <c r="F124" i="63" s="1"/>
  <c r="AN61" i="47"/>
  <c r="J61"/>
  <c r="A55" i="63"/>
  <c r="N61" i="47"/>
  <c r="F55" i="63" s="1"/>
  <c r="B205" i="61"/>
  <c r="L61" i="47"/>
  <c r="M61"/>
  <c r="K61"/>
  <c r="AE37"/>
  <c r="AQ37"/>
  <c r="AF37"/>
  <c r="AB37"/>
  <c r="C112" i="61" s="1"/>
  <c r="AD37" i="47"/>
  <c r="E112" i="61" s="1"/>
  <c r="B112"/>
  <c r="AC37" i="47"/>
  <c r="D112" i="61" s="1"/>
  <c r="B191"/>
  <c r="Z57" i="47"/>
  <c r="Y57"/>
  <c r="AP57"/>
  <c r="W57"/>
  <c r="D191" i="61" s="1"/>
  <c r="K121" i="47"/>
  <c r="AN121"/>
  <c r="J121"/>
  <c r="N121"/>
  <c r="F115" i="63" s="1"/>
  <c r="B445" i="61"/>
  <c r="A115" i="63"/>
  <c r="L121" i="47"/>
  <c r="M121"/>
  <c r="T129"/>
  <c r="F261" i="63" s="1"/>
  <c r="Q129" i="47"/>
  <c r="A261" i="63"/>
  <c r="S129" i="47"/>
  <c r="E261" i="63" s="1"/>
  <c r="AO129" i="47"/>
  <c r="B478" i="61"/>
  <c r="A135" i="63"/>
  <c r="J141" i="47"/>
  <c r="N141"/>
  <c r="F135" i="63" s="1"/>
  <c r="K141" i="47"/>
  <c r="C135" i="63" s="1"/>
  <c r="M141" i="47"/>
  <c r="L141"/>
  <c r="D135" i="63" s="1"/>
  <c r="AN141" i="47"/>
  <c r="Z158"/>
  <c r="AP158"/>
  <c r="W158"/>
  <c r="Y158"/>
  <c r="W20"/>
  <c r="D43" i="61" s="1"/>
  <c r="Z20" i="47"/>
  <c r="Y20"/>
  <c r="B43" i="61"/>
  <c r="AP20" i="47"/>
  <c r="AB187"/>
  <c r="AQ187"/>
  <c r="AF187"/>
  <c r="AD187"/>
  <c r="AC187"/>
  <c r="AE187"/>
  <c r="S219"/>
  <c r="E351" i="63" s="1"/>
  <c r="AO219" i="47"/>
  <c r="T219"/>
  <c r="F351" i="63" s="1"/>
  <c r="Q219" i="47"/>
  <c r="C351" i="63" s="1"/>
  <c r="A351"/>
  <c r="AB261" i="47"/>
  <c r="AQ261"/>
  <c r="AF261"/>
  <c r="AD261"/>
  <c r="AE261"/>
  <c r="AC261"/>
  <c r="L45"/>
  <c r="M45"/>
  <c r="B141" i="61"/>
  <c r="K45" i="47"/>
  <c r="A39" i="63"/>
  <c r="N45" i="47"/>
  <c r="F39" i="63" s="1"/>
  <c r="AN45" i="47"/>
  <c r="J45"/>
  <c r="AE77"/>
  <c r="AB77"/>
  <c r="C272" i="61" s="1"/>
  <c r="AC77" i="47"/>
  <c r="D272" i="61" s="1"/>
  <c r="AF77" i="47"/>
  <c r="B272" i="61"/>
  <c r="AD77" i="47"/>
  <c r="E272" i="61" s="1"/>
  <c r="AQ77" i="47"/>
  <c r="AP224"/>
  <c r="W224"/>
  <c r="Z224"/>
  <c r="Y224"/>
  <c r="Z106"/>
  <c r="W106"/>
  <c r="D387" i="61" s="1"/>
  <c r="B387"/>
  <c r="AP106" i="47"/>
  <c r="Y106"/>
  <c r="AE195"/>
  <c r="AF195"/>
  <c r="AB195"/>
  <c r="AQ195"/>
  <c r="AC195"/>
  <c r="AD195"/>
  <c r="AP175"/>
  <c r="W175"/>
  <c r="Z175"/>
  <c r="Y175"/>
  <c r="J65"/>
  <c r="L65"/>
  <c r="AN65"/>
  <c r="M65"/>
  <c r="A59" i="63"/>
  <c r="N65" i="47"/>
  <c r="F59" i="63" s="1"/>
  <c r="K65" i="47"/>
  <c r="B221" i="61"/>
  <c r="AN206" i="47"/>
  <c r="K206"/>
  <c r="N206"/>
  <c r="M206"/>
  <c r="T87"/>
  <c r="F219" i="63" s="1"/>
  <c r="AO87" i="47"/>
  <c r="Q87"/>
  <c r="B310" i="61"/>
  <c r="S87" i="47"/>
  <c r="E219" i="63" s="1"/>
  <c r="A219"/>
  <c r="AC30" i="47"/>
  <c r="D84" i="61" s="1"/>
  <c r="AF30" i="47"/>
  <c r="AQ30"/>
  <c r="AB30"/>
  <c r="C84" i="61" s="1"/>
  <c r="AE30" i="47"/>
  <c r="AD30"/>
  <c r="E84" i="61" s="1"/>
  <c r="B84"/>
  <c r="AO19" i="47"/>
  <c r="Q19"/>
  <c r="B38" i="61"/>
  <c r="T19" i="47"/>
  <c r="F151" i="63" s="1"/>
  <c r="S19" i="47"/>
  <c r="E151" i="63" s="1"/>
  <c r="A151"/>
  <c r="AQ29" i="47"/>
  <c r="AF29"/>
  <c r="AC29"/>
  <c r="D80" i="61" s="1"/>
  <c r="B80"/>
  <c r="AB29" i="47"/>
  <c r="C80" i="61" s="1"/>
  <c r="AD29" i="47"/>
  <c r="E80" i="61" s="1"/>
  <c r="AE29" i="47"/>
  <c r="Q24"/>
  <c r="T24"/>
  <c r="F156" i="63" s="1"/>
  <c r="AO24" i="47"/>
  <c r="B58" i="61"/>
  <c r="S24" i="47"/>
  <c r="E156" i="63" s="1"/>
  <c r="A156"/>
  <c r="A240"/>
  <c r="AO108" i="47"/>
  <c r="T108"/>
  <c r="F240" i="63" s="1"/>
  <c r="S108" i="47"/>
  <c r="E240" i="63" s="1"/>
  <c r="Q108" i="47"/>
  <c r="B394" i="61"/>
  <c r="AO183" i="47"/>
  <c r="T183"/>
  <c r="F315" i="63" s="1"/>
  <c r="A315"/>
  <c r="S183" i="47"/>
  <c r="E315" i="63" s="1"/>
  <c r="Q183" i="47"/>
  <c r="C315" i="63" s="1"/>
  <c r="AN209" i="47"/>
  <c r="K209"/>
  <c r="N209"/>
  <c r="M209"/>
  <c r="AO243"/>
  <c r="T243"/>
  <c r="F375" i="63" s="1"/>
  <c r="S243" i="47"/>
  <c r="E375" i="63" s="1"/>
  <c r="Q243" i="47"/>
  <c r="C375" i="63" s="1"/>
  <c r="A375"/>
  <c r="T82" i="47"/>
  <c r="F214" i="63" s="1"/>
  <c r="S82" i="47"/>
  <c r="E214" i="63" s="1"/>
  <c r="A214"/>
  <c r="B290" i="61"/>
  <c r="Q82" i="47"/>
  <c r="AO82"/>
  <c r="AO72"/>
  <c r="T72"/>
  <c r="F204" i="63" s="1"/>
  <c r="Q72" i="47"/>
  <c r="A204" i="63"/>
  <c r="S72" i="47"/>
  <c r="E204" i="63" s="1"/>
  <c r="B250" i="61"/>
  <c r="W15" i="47"/>
  <c r="D23" i="61" s="1"/>
  <c r="B23"/>
  <c r="Z15" i="47"/>
  <c r="Y15"/>
  <c r="AP15"/>
  <c r="A314" i="63"/>
  <c r="Q182" i="47"/>
  <c r="C314" i="63" s="1"/>
  <c r="T182" i="47"/>
  <c r="F314" i="63" s="1"/>
  <c r="S182" i="47"/>
  <c r="E314" i="63" s="1"/>
  <c r="AO182" i="47"/>
  <c r="L50"/>
  <c r="M50"/>
  <c r="J50"/>
  <c r="A44" i="63"/>
  <c r="K50" i="47"/>
  <c r="AN50"/>
  <c r="B161" i="61"/>
  <c r="N50" i="47"/>
  <c r="F44" i="63" s="1"/>
  <c r="AO114" i="47"/>
  <c r="S114"/>
  <c r="E246" i="63" s="1"/>
  <c r="T114" i="47"/>
  <c r="F246" i="63" s="1"/>
  <c r="Q114" i="47"/>
  <c r="B418" i="61"/>
  <c r="A246" i="63"/>
  <c r="Y142" i="47"/>
  <c r="W142"/>
  <c r="Z142"/>
  <c r="AP142"/>
  <c r="Q179"/>
  <c r="C311" i="63" s="1"/>
  <c r="T179" i="47"/>
  <c r="F311" i="63" s="1"/>
  <c r="AO179" i="47"/>
  <c r="S179"/>
  <c r="E311" i="63" s="1"/>
  <c r="A311"/>
  <c r="L35" i="47"/>
  <c r="B101" i="61"/>
  <c r="N35" i="47"/>
  <c r="F29" i="63" s="1"/>
  <c r="J35" i="47"/>
  <c r="M35"/>
  <c r="K35"/>
  <c r="A29" i="63"/>
  <c r="AN35" i="47"/>
  <c r="W238"/>
  <c r="Z238"/>
  <c r="AP238"/>
  <c r="Y238"/>
  <c r="Y157"/>
  <c r="Z157"/>
  <c r="W157"/>
  <c r="AP157"/>
  <c r="Q34"/>
  <c r="A166" i="63"/>
  <c r="T34" i="47"/>
  <c r="F166" i="63" s="1"/>
  <c r="B98" i="61"/>
  <c r="S34" i="47"/>
  <c r="E166" i="63" s="1"/>
  <c r="AO34" i="47"/>
  <c r="AN187"/>
  <c r="K187"/>
  <c r="N187"/>
  <c r="M187"/>
  <c r="AE61"/>
  <c r="AC61"/>
  <c r="D208" i="61" s="1"/>
  <c r="B208"/>
  <c r="AB61" i="47"/>
  <c r="C208" i="61" s="1"/>
  <c r="AD61" i="47"/>
  <c r="E208" i="61" s="1"/>
  <c r="AF61" i="47"/>
  <c r="AQ61"/>
  <c r="A390" i="63"/>
  <c r="S258" i="47"/>
  <c r="E390" i="63" s="1"/>
  <c r="AO258" i="47"/>
  <c r="T258"/>
  <c r="F390" i="63" s="1"/>
  <c r="Q258" i="47"/>
  <c r="C390" i="63" s="1"/>
  <c r="B468" i="61"/>
  <c r="AQ126" i="47"/>
  <c r="AE126"/>
  <c r="AD126"/>
  <c r="E468" i="61" s="1"/>
  <c r="AB126" i="47"/>
  <c r="C468" i="61" s="1"/>
  <c r="AC126" i="47"/>
  <c r="D468" i="61" s="1"/>
  <c r="AF126" i="47"/>
  <c r="B459" i="61"/>
  <c r="Z124" i="47"/>
  <c r="W124"/>
  <c r="D459" i="61" s="1"/>
  <c r="AP124" i="47"/>
  <c r="Y124"/>
  <c r="Z208"/>
  <c r="W208"/>
  <c r="Y208"/>
  <c r="AP208"/>
  <c r="Z209"/>
  <c r="W209"/>
  <c r="AP209"/>
  <c r="Y209"/>
  <c r="L69"/>
  <c r="A63" i="63"/>
  <c r="N69" i="47"/>
  <c r="F63" i="63" s="1"/>
  <c r="M69" i="47"/>
  <c r="J69"/>
  <c r="B237" i="61"/>
  <c r="AN69" i="47"/>
  <c r="K69"/>
  <c r="AP176"/>
  <c r="W176"/>
  <c r="Z176"/>
  <c r="Y176"/>
  <c r="Y148"/>
  <c r="AP148"/>
  <c r="W148"/>
  <c r="Z148"/>
  <c r="AO224"/>
  <c r="T224"/>
  <c r="F356" i="63" s="1"/>
  <c r="S224" i="47"/>
  <c r="E356" i="63" s="1"/>
  <c r="Q224" i="47"/>
  <c r="C356" i="63" s="1"/>
  <c r="A356"/>
  <c r="B27" i="61"/>
  <c r="Z16" i="47"/>
  <c r="AP16"/>
  <c r="W16"/>
  <c r="D27" i="61" s="1"/>
  <c r="Y16" i="47"/>
  <c r="N39"/>
  <c r="F33" i="63" s="1"/>
  <c r="K39" i="47"/>
  <c r="J39"/>
  <c r="B117" i="61"/>
  <c r="M39" i="47"/>
  <c r="AN39"/>
  <c r="L39"/>
  <c r="A33" i="63"/>
  <c r="B99" i="61"/>
  <c r="Z34" i="47"/>
  <c r="AP34"/>
  <c r="W34"/>
  <c r="D99" i="61" s="1"/>
  <c r="Y34" i="47"/>
  <c r="AB258"/>
  <c r="AF258"/>
  <c r="AQ258"/>
  <c r="AC258"/>
  <c r="AE258"/>
  <c r="AD258"/>
  <c r="Q141"/>
  <c r="C273" i="63" s="1"/>
  <c r="T141" i="47"/>
  <c r="F273" i="63" s="1"/>
  <c r="S141" i="47"/>
  <c r="E273" i="63" s="1"/>
  <c r="AO141" i="47"/>
  <c r="A273" i="63"/>
  <c r="B322" i="61"/>
  <c r="S90" i="47"/>
  <c r="E222" i="63" s="1"/>
  <c r="AO90" i="47"/>
  <c r="T90"/>
  <c r="F222" i="63" s="1"/>
  <c r="Q90" i="47"/>
  <c r="A222" i="63"/>
  <c r="AQ13" i="47"/>
  <c r="AE13"/>
  <c r="AC13"/>
  <c r="D16" i="61" s="1"/>
  <c r="AF13" i="47"/>
  <c r="AB13"/>
  <c r="C16" i="61" s="1"/>
  <c r="AD13" i="47"/>
  <c r="E16" i="61" s="1"/>
  <c r="B16"/>
  <c r="N40" i="47"/>
  <c r="F34" i="63" s="1"/>
  <c r="L40" i="47"/>
  <c r="M40"/>
  <c r="K40"/>
  <c r="B121" i="61"/>
  <c r="AN40" i="47"/>
  <c r="A34" i="63"/>
  <c r="J40" i="47"/>
  <c r="AP112"/>
  <c r="Y112"/>
  <c r="W112"/>
  <c r="D411" i="61" s="1"/>
  <c r="Z112" i="47"/>
  <c r="B411" i="61"/>
  <c r="AP17" i="47"/>
  <c r="W17"/>
  <c r="D31" i="61" s="1"/>
  <c r="Z17" i="47"/>
  <c r="B31" i="61"/>
  <c r="Y17" i="47"/>
  <c r="AD11"/>
  <c r="E8" i="61" s="1"/>
  <c r="AQ11" i="47"/>
  <c r="AB11"/>
  <c r="C8" i="61" s="1"/>
  <c r="AE11" i="47"/>
  <c r="AC11"/>
  <c r="D8" i="61" s="1"/>
  <c r="B8"/>
  <c r="AF11" i="47"/>
  <c r="Z140"/>
  <c r="AP140"/>
  <c r="W140"/>
  <c r="Y140"/>
  <c r="Y110"/>
  <c r="Z110"/>
  <c r="B403" i="61"/>
  <c r="W110" i="47"/>
  <c r="D403" i="61" s="1"/>
  <c r="AP110" i="47"/>
  <c r="M42"/>
  <c r="L42"/>
  <c r="B129" i="61"/>
  <c r="K42" i="47"/>
  <c r="N42"/>
  <c r="F36" i="63" s="1"/>
  <c r="AN42" i="47"/>
  <c r="A36" i="63"/>
  <c r="J42" i="47"/>
  <c r="AO196"/>
  <c r="T196"/>
  <c r="F328" i="63" s="1"/>
  <c r="Q196" i="47"/>
  <c r="C328" i="63" s="1"/>
  <c r="S196" i="47"/>
  <c r="E328" i="63" s="1"/>
  <c r="A328"/>
  <c r="B295" i="61"/>
  <c r="Z83" i="47"/>
  <c r="AP83"/>
  <c r="W83"/>
  <c r="D295" i="61" s="1"/>
  <c r="Y83" i="47"/>
  <c r="J118"/>
  <c r="N118"/>
  <c r="F112" i="63" s="1"/>
  <c r="L118" i="47"/>
  <c r="B433" i="61"/>
  <c r="AN118" i="47"/>
  <c r="A112" i="63"/>
  <c r="K118" i="47"/>
  <c r="M118"/>
  <c r="B68" i="61"/>
  <c r="AE26" i="47"/>
  <c r="AB26"/>
  <c r="C68" i="61" s="1"/>
  <c r="AD26" i="47"/>
  <c r="E68" i="61" s="1"/>
  <c r="AQ26" i="47"/>
  <c r="AF26"/>
  <c r="AC26"/>
  <c r="D68" i="61" s="1"/>
  <c r="L107" i="47"/>
  <c r="N107"/>
  <c r="F101" i="63" s="1"/>
  <c r="J107" i="47"/>
  <c r="A101" i="63"/>
  <c r="B389" i="61"/>
  <c r="AN107" i="47"/>
  <c r="M107"/>
  <c r="K107"/>
  <c r="B416" i="61"/>
  <c r="AC113" i="47"/>
  <c r="D416" i="61" s="1"/>
  <c r="AD113" i="47"/>
  <c r="E416" i="61" s="1"/>
  <c r="AB113" i="47"/>
  <c r="C416" i="61" s="1"/>
  <c r="AQ113" i="47"/>
  <c r="AE113"/>
  <c r="AF113"/>
  <c r="Z183"/>
  <c r="Y183"/>
  <c r="AP183"/>
  <c r="W183"/>
  <c r="B342" i="61"/>
  <c r="S95" i="47"/>
  <c r="E227" i="63" s="1"/>
  <c r="T95" i="47"/>
  <c r="F227" i="63" s="1"/>
  <c r="A227"/>
  <c r="Q95" i="47"/>
  <c r="AO95"/>
  <c r="L18"/>
  <c r="M18"/>
  <c r="K18"/>
  <c r="N18"/>
  <c r="F12" i="63" s="1"/>
  <c r="J18" i="47"/>
  <c r="B33" i="61"/>
  <c r="A12" i="63"/>
  <c r="AN18" i="47"/>
  <c r="B63" i="61"/>
  <c r="Z25" i="47"/>
  <c r="AP25"/>
  <c r="W25"/>
  <c r="D63" i="61" s="1"/>
  <c r="Y25" i="47"/>
  <c r="AF197"/>
  <c r="AQ197"/>
  <c r="AC197"/>
  <c r="AD197"/>
  <c r="AE197"/>
  <c r="AB197"/>
  <c r="S193"/>
  <c r="E325" i="63" s="1"/>
  <c r="Q193" i="47"/>
  <c r="C325" i="63" s="1"/>
  <c r="T193" i="47"/>
  <c r="F325" i="63" s="1"/>
  <c r="A325"/>
  <c r="AO193" i="47"/>
  <c r="Y66"/>
  <c r="Z66"/>
  <c r="AP66"/>
  <c r="W66"/>
  <c r="D227" i="61" s="1"/>
  <c r="B227"/>
  <c r="Z90" i="47"/>
  <c r="B323" i="61"/>
  <c r="AP90" i="47"/>
  <c r="W90"/>
  <c r="D323" i="61" s="1"/>
  <c r="Y90" i="47"/>
  <c r="AO254"/>
  <c r="Q254"/>
  <c r="C386" i="63" s="1"/>
  <c r="A386"/>
  <c r="S254" i="47"/>
  <c r="E386" i="63" s="1"/>
  <c r="T254" i="47"/>
  <c r="F386" i="63" s="1"/>
  <c r="A243"/>
  <c r="AO111" i="47"/>
  <c r="S111"/>
  <c r="E243" i="63" s="1"/>
  <c r="B406" i="61"/>
  <c r="Q111" i="47"/>
  <c r="T111"/>
  <c r="F243" i="63" s="1"/>
  <c r="AP93" i="47"/>
  <c r="Y93"/>
  <c r="W93"/>
  <c r="D335" i="61" s="1"/>
  <c r="Z93" i="47"/>
  <c r="B335" i="61"/>
  <c r="AQ67" i="47"/>
  <c r="B232" i="61"/>
  <c r="AC67" i="47"/>
  <c r="D232" i="61" s="1"/>
  <c r="AB67" i="47"/>
  <c r="C232" i="61" s="1"/>
  <c r="AE67" i="47"/>
  <c r="AD67"/>
  <c r="E232" i="61" s="1"/>
  <c r="AF67" i="47"/>
  <c r="B299" i="61"/>
  <c r="Z84" i="47"/>
  <c r="Y84"/>
  <c r="W84"/>
  <c r="D299" i="61" s="1"/>
  <c r="AP84" i="47"/>
  <c r="AD168"/>
  <c r="AF168"/>
  <c r="AQ168"/>
  <c r="AC168"/>
  <c r="AE168"/>
  <c r="AB168"/>
  <c r="AN240"/>
  <c r="K240"/>
  <c r="M240"/>
  <c r="N240"/>
  <c r="AF35"/>
  <c r="AB35"/>
  <c r="C104" i="61" s="1"/>
  <c r="AC35" i="47"/>
  <c r="D104" i="61" s="1"/>
  <c r="AE35" i="47"/>
  <c r="AD35"/>
  <c r="E104" i="61" s="1"/>
  <c r="AQ35" i="47"/>
  <c r="B104" i="61"/>
  <c r="M151" i="47"/>
  <c r="L151"/>
  <c r="AN151"/>
  <c r="K151"/>
  <c r="J151"/>
  <c r="N151"/>
  <c r="AE167"/>
  <c r="AB167"/>
  <c r="AD167"/>
  <c r="AF167"/>
  <c r="AC167"/>
  <c r="AQ167"/>
  <c r="AB17"/>
  <c r="C32" i="61" s="1"/>
  <c r="AQ17" i="47"/>
  <c r="AE17"/>
  <c r="AD17"/>
  <c r="E32" i="61" s="1"/>
  <c r="AC17" i="47"/>
  <c r="D32" i="61" s="1"/>
  <c r="AF17" i="47"/>
  <c r="B32" i="61"/>
  <c r="AD102" i="47"/>
  <c r="E372" i="61" s="1"/>
  <c r="AC102" i="47"/>
  <c r="D372" i="61" s="1"/>
  <c r="B372"/>
  <c r="AE102" i="47"/>
  <c r="AB102"/>
  <c r="C372" i="61" s="1"/>
  <c r="AF102" i="47"/>
  <c r="AQ102"/>
  <c r="S226"/>
  <c r="E358" i="63" s="1"/>
  <c r="AO226" i="47"/>
  <c r="Q226"/>
  <c r="C358" i="63" s="1"/>
  <c r="T226" i="47"/>
  <c r="F358" i="63" s="1"/>
  <c r="A358"/>
  <c r="N75" i="47"/>
  <c r="F69" i="63" s="1"/>
  <c r="L75" i="47"/>
  <c r="M75"/>
  <c r="A69" i="63"/>
  <c r="K75" i="47"/>
  <c r="J75"/>
  <c r="B261" i="61"/>
  <c r="AN75" i="47"/>
  <c r="T122"/>
  <c r="F254" i="63" s="1"/>
  <c r="AO122" i="47"/>
  <c r="B450" i="61"/>
  <c r="Q122" i="47"/>
  <c r="S122"/>
  <c r="E254" i="63" s="1"/>
  <c r="A254"/>
  <c r="S180" i="47"/>
  <c r="E312" i="63" s="1"/>
  <c r="Q180" i="47"/>
  <c r="C312" i="63" s="1"/>
  <c r="A312"/>
  <c r="T180" i="47"/>
  <c r="F312" i="63" s="1"/>
  <c r="AO180" i="47"/>
  <c r="Z218"/>
  <c r="AP218"/>
  <c r="W218"/>
  <c r="Y218"/>
  <c r="K202"/>
  <c r="N202"/>
  <c r="AN202"/>
  <c r="M202"/>
  <c r="W85"/>
  <c r="D303" i="61" s="1"/>
  <c r="AP85" i="47"/>
  <c r="Y85"/>
  <c r="B303" i="61"/>
  <c r="Z85" i="47"/>
  <c r="M100"/>
  <c r="AN100"/>
  <c r="K100"/>
  <c r="N100"/>
  <c r="F94" i="63" s="1"/>
  <c r="L100" i="47"/>
  <c r="B361" i="61"/>
  <c r="J100" i="47"/>
  <c r="A94" i="63"/>
  <c r="AN142" i="47"/>
  <c r="N142"/>
  <c r="F136" i="63" s="1"/>
  <c r="M142" i="47"/>
  <c r="L142"/>
  <c r="D136" i="63" s="1"/>
  <c r="K142" i="47"/>
  <c r="C136" i="63" s="1"/>
  <c r="J142" i="47"/>
  <c r="A136" i="63"/>
  <c r="AE222" i="47"/>
  <c r="AB222"/>
  <c r="AQ222"/>
  <c r="AF222"/>
  <c r="AD222"/>
  <c r="AC222"/>
  <c r="AC252"/>
  <c r="AQ252"/>
  <c r="AD252"/>
  <c r="AE252"/>
  <c r="AB252"/>
  <c r="AF252"/>
  <c r="W71"/>
  <c r="D247" i="61" s="1"/>
  <c r="B247"/>
  <c r="Y71" i="47"/>
  <c r="AP71"/>
  <c r="Z71"/>
  <c r="B498" i="61"/>
  <c r="AO134" i="47"/>
  <c r="S134"/>
  <c r="E266" i="63" s="1"/>
  <c r="T134" i="47"/>
  <c r="F266" i="63" s="1"/>
  <c r="Q134" i="47"/>
  <c r="A266" i="63"/>
  <c r="K79" i="47"/>
  <c r="M79"/>
  <c r="J79"/>
  <c r="AN79"/>
  <c r="N79"/>
  <c r="F73" i="63" s="1"/>
  <c r="L79" i="47"/>
  <c r="B277" i="61"/>
  <c r="A73" i="63"/>
  <c r="AO32" i="47"/>
  <c r="A164" i="63"/>
  <c r="S32" i="47"/>
  <c r="E164" i="63" s="1"/>
  <c r="Q32" i="47"/>
  <c r="T32"/>
  <c r="F164" i="63" s="1"/>
  <c r="B90" i="61"/>
  <c r="S259" i="47"/>
  <c r="E391" i="63" s="1"/>
  <c r="T259" i="47"/>
  <c r="F391" i="63" s="1"/>
  <c r="AO259" i="47"/>
  <c r="Q259"/>
  <c r="C391" i="63" s="1"/>
  <c r="A391"/>
  <c r="S260" i="47"/>
  <c r="E392" i="63" s="1"/>
  <c r="AO260" i="47"/>
  <c r="Q260"/>
  <c r="C392" i="63" s="1"/>
  <c r="T260" i="47"/>
  <c r="F392" i="63" s="1"/>
  <c r="A392"/>
  <c r="AF173" i="47"/>
  <c r="AB173"/>
  <c r="AE173"/>
  <c r="AC173"/>
  <c r="AQ173"/>
  <c r="AD173"/>
  <c r="AD231"/>
  <c r="AQ231"/>
  <c r="AC231"/>
  <c r="AE231"/>
  <c r="AF231"/>
  <c r="AB231"/>
  <c r="B61" i="61"/>
  <c r="M25" i="47"/>
  <c r="A19" i="63"/>
  <c r="L25" i="47"/>
  <c r="N25"/>
  <c r="F19" i="63" s="1"/>
  <c r="AN25" i="47"/>
  <c r="J25"/>
  <c r="K25"/>
  <c r="AQ249"/>
  <c r="AE249"/>
  <c r="AB249"/>
  <c r="AF249"/>
  <c r="AD249"/>
  <c r="AC249"/>
  <c r="T245"/>
  <c r="F377" i="63" s="1"/>
  <c r="Q245" i="47"/>
  <c r="C377" i="63" s="1"/>
  <c r="A377"/>
  <c r="S245" i="47"/>
  <c r="E377" i="63" s="1"/>
  <c r="AO245" i="47"/>
  <c r="AB83"/>
  <c r="C296" i="61" s="1"/>
  <c r="AF83" i="47"/>
  <c r="AE83"/>
  <c r="AC83"/>
  <c r="D296" i="61" s="1"/>
  <c r="AQ83" i="47"/>
  <c r="AD83"/>
  <c r="E296" i="61" s="1"/>
  <c r="B296"/>
  <c r="AC27" i="47"/>
  <c r="D72" i="61" s="1"/>
  <c r="AE27" i="47"/>
  <c r="AD27"/>
  <c r="E72" i="61" s="1"/>
  <c r="AB27" i="47"/>
  <c r="C72" i="61" s="1"/>
  <c r="AF27" i="47"/>
  <c r="B72" i="61"/>
  <c r="AQ27" i="47"/>
  <c r="K266"/>
  <c r="M266"/>
  <c r="AN266"/>
  <c r="N266"/>
  <c r="K262"/>
  <c r="M262"/>
  <c r="N262"/>
  <c r="AN262"/>
  <c r="B399" i="61"/>
  <c r="Z109" i="47"/>
  <c r="W109"/>
  <c r="D399" i="61" s="1"/>
  <c r="Y109" i="47"/>
  <c r="AP109"/>
  <c r="B491" i="61"/>
  <c r="Y132" i="47"/>
  <c r="Z132"/>
  <c r="W132"/>
  <c r="D491" i="61" s="1"/>
  <c r="AP132" i="47"/>
  <c r="T54"/>
  <c r="F186" i="63" s="1"/>
  <c r="A186"/>
  <c r="AO54" i="47"/>
  <c r="S54"/>
  <c r="E186" i="63" s="1"/>
  <c r="Q54" i="47"/>
  <c r="B178" i="61"/>
  <c r="T15" i="47"/>
  <c r="F147" i="63" s="1"/>
  <c r="AO15" i="47"/>
  <c r="B22" i="61"/>
  <c r="S15" i="47"/>
  <c r="E147" i="63" s="1"/>
  <c r="Q15" i="47"/>
  <c r="A147" i="63"/>
  <c r="L140" i="47"/>
  <c r="D134" i="63" s="1"/>
  <c r="J140" i="47"/>
  <c r="N140"/>
  <c r="F134" i="63" s="1"/>
  <c r="M140" i="47"/>
  <c r="AN140"/>
  <c r="K140"/>
  <c r="C134" i="63" s="1"/>
  <c r="A134"/>
  <c r="AB209" i="47"/>
  <c r="AE209"/>
  <c r="AD209"/>
  <c r="AF209"/>
  <c r="AQ209"/>
  <c r="AC209"/>
  <c r="M173"/>
  <c r="K173"/>
  <c r="N173"/>
  <c r="AN173"/>
  <c r="T187"/>
  <c r="F319" i="63" s="1"/>
  <c r="AO187" i="47"/>
  <c r="A319" i="63"/>
  <c r="Q187" i="47"/>
  <c r="C319" i="63" s="1"/>
  <c r="S187" i="47"/>
  <c r="E319" i="63" s="1"/>
  <c r="AP58" i="47"/>
  <c r="W58"/>
  <c r="D195" i="61" s="1"/>
  <c r="B195"/>
  <c r="Z58" i="47"/>
  <c r="Y58"/>
  <c r="AQ54"/>
  <c r="B180" i="61"/>
  <c r="AC54" i="47"/>
  <c r="D180" i="61" s="1"/>
  <c r="AB54" i="47"/>
  <c r="C180" i="61" s="1"/>
  <c r="AF54" i="47"/>
  <c r="AE54"/>
  <c r="AD54"/>
  <c r="E180" i="61" s="1"/>
  <c r="AC234" i="47"/>
  <c r="AF234"/>
  <c r="AE234"/>
  <c r="AQ234"/>
  <c r="AD234"/>
  <c r="AB234"/>
  <c r="N210"/>
  <c r="AN210"/>
  <c r="K210"/>
  <c r="M210"/>
  <c r="N26"/>
  <c r="F20" i="63" s="1"/>
  <c r="M26" i="47"/>
  <c r="J26"/>
  <c r="A20" i="63"/>
  <c r="L26" i="47"/>
  <c r="B65" i="61"/>
  <c r="AN26" i="47"/>
  <c r="K26"/>
  <c r="A244" i="63"/>
  <c r="B410" i="61"/>
  <c r="T112" i="47"/>
  <c r="F244" i="63" s="1"/>
  <c r="Q112" i="47"/>
  <c r="S112"/>
  <c r="E244" i="63" s="1"/>
  <c r="AO112" i="47"/>
  <c r="B298" i="61"/>
  <c r="T84" i="47"/>
  <c r="F216" i="63" s="1"/>
  <c r="AO84" i="47"/>
  <c r="S84"/>
  <c r="E216" i="63" s="1"/>
  <c r="Q84" i="47"/>
  <c r="A216" i="63"/>
  <c r="AO228" i="47"/>
  <c r="S228"/>
  <c r="E360" i="63" s="1"/>
  <c r="Q228" i="47"/>
  <c r="C360" i="63" s="1"/>
  <c r="T228" i="47"/>
  <c r="F360" i="63" s="1"/>
  <c r="A360"/>
  <c r="B304" i="61"/>
  <c r="AC85" i="47"/>
  <c r="D304" i="61" s="1"/>
  <c r="AE85" i="47"/>
  <c r="AB85"/>
  <c r="C304" i="61" s="1"/>
  <c r="AQ85" i="47"/>
  <c r="AD85"/>
  <c r="E304" i="61" s="1"/>
  <c r="AF85" i="47"/>
  <c r="B490" i="61"/>
  <c r="S132" i="47"/>
  <c r="E264" i="63" s="1"/>
  <c r="T132" i="47"/>
  <c r="F264" i="63" s="1"/>
  <c r="Q132" i="47"/>
  <c r="A264" i="63"/>
  <c r="AO132" i="47"/>
  <c r="AF201"/>
  <c r="AD201"/>
  <c r="AQ201"/>
  <c r="AC201"/>
  <c r="AE201"/>
  <c r="AB201"/>
  <c r="B124" i="61"/>
  <c r="AB40" i="47"/>
  <c r="C124" i="61" s="1"/>
  <c r="AC40" i="47"/>
  <c r="D124" i="61" s="1"/>
  <c r="AQ40" i="47"/>
  <c r="AF40"/>
  <c r="AD40"/>
  <c r="E124" i="61" s="1"/>
  <c r="AE40" i="47"/>
  <c r="AF153"/>
  <c r="AD153"/>
  <c r="AQ153"/>
  <c r="AC153"/>
  <c r="AE153"/>
  <c r="AB153"/>
  <c r="W223"/>
  <c r="AP223"/>
  <c r="Z223"/>
  <c r="Y223"/>
  <c r="AE136"/>
  <c r="AB136"/>
  <c r="C508" i="61" s="1"/>
  <c r="AF136" i="47"/>
  <c r="AQ136"/>
  <c r="AC136"/>
  <c r="D508" i="61" s="1"/>
  <c r="AD136" i="47"/>
  <c r="E508" i="61" s="1"/>
  <c r="B508"/>
  <c r="N263" i="47"/>
  <c r="M263"/>
  <c r="K263"/>
  <c r="AN263"/>
  <c r="K129"/>
  <c r="M129"/>
  <c r="A123" i="63"/>
  <c r="J129" i="47"/>
  <c r="L129"/>
  <c r="B477" i="61"/>
  <c r="N129" i="47"/>
  <c r="F123" i="63" s="1"/>
  <c r="AN129" i="47"/>
  <c r="K91"/>
  <c r="J91"/>
  <c r="AN91"/>
  <c r="M91"/>
  <c r="B325" i="61"/>
  <c r="N91" i="47"/>
  <c r="F85" i="63" s="1"/>
  <c r="A85"/>
  <c r="L91" i="47"/>
  <c r="AQ179"/>
  <c r="AF179"/>
  <c r="AE179"/>
  <c r="AC179"/>
  <c r="AD179"/>
  <c r="AB179"/>
  <c r="AE248"/>
  <c r="AQ248"/>
  <c r="AD248"/>
  <c r="AC248"/>
  <c r="AF248"/>
  <c r="AB248"/>
  <c r="Z61"/>
  <c r="W61"/>
  <c r="D207" i="61" s="1"/>
  <c r="AP61" i="47"/>
  <c r="B207" i="61"/>
  <c r="Y61" i="47"/>
  <c r="T235"/>
  <c r="F367" i="63" s="1"/>
  <c r="AO235" i="47"/>
  <c r="Q235"/>
  <c r="C367" i="63" s="1"/>
  <c r="S235" i="47"/>
  <c r="E367" i="63" s="1"/>
  <c r="A367"/>
  <c r="T117" i="47"/>
  <c r="F249" i="63" s="1"/>
  <c r="A249"/>
  <c r="B430" i="61"/>
  <c r="S117" i="47"/>
  <c r="E249" i="63" s="1"/>
  <c r="Q117" i="47"/>
  <c r="AO117"/>
  <c r="W245"/>
  <c r="AP245"/>
  <c r="Z245"/>
  <c r="Y245"/>
  <c r="K143"/>
  <c r="C137" i="63" s="1"/>
  <c r="M143" i="47"/>
  <c r="L143"/>
  <c r="D137" i="63" s="1"/>
  <c r="AN143" i="47"/>
  <c r="J143"/>
  <c r="A137" i="63"/>
  <c r="N143" i="47"/>
  <c r="F137" i="63" s="1"/>
  <c r="M230" i="47"/>
  <c r="AN230"/>
  <c r="K230"/>
  <c r="N230"/>
  <c r="N122"/>
  <c r="F116" i="63" s="1"/>
  <c r="K122" i="47"/>
  <c r="B449" i="61"/>
  <c r="A116" i="63"/>
  <c r="L122" i="47"/>
  <c r="AN122"/>
  <c r="M122"/>
  <c r="J122"/>
  <c r="Z205"/>
  <c r="Y205"/>
  <c r="AP205"/>
  <c r="W205"/>
  <c r="AE199"/>
  <c r="AD199"/>
  <c r="AF199"/>
  <c r="AB199"/>
  <c r="AC199"/>
  <c r="AQ199"/>
  <c r="Z54"/>
  <c r="Y54"/>
  <c r="B179" i="61"/>
  <c r="W54" i="47"/>
  <c r="D179" i="61" s="1"/>
  <c r="AP54" i="47"/>
  <c r="T16"/>
  <c r="F148" i="63" s="1"/>
  <c r="A148"/>
  <c r="AO16" i="47"/>
  <c r="S16"/>
  <c r="E148" i="63" s="1"/>
  <c r="B26" i="61"/>
  <c r="Q16" i="47"/>
  <c r="N21"/>
  <c r="F15" i="63" s="1"/>
  <c r="L21" i="47"/>
  <c r="K21"/>
  <c r="M21"/>
  <c r="B45" i="61"/>
  <c r="AN21" i="47"/>
  <c r="A15" i="63"/>
  <c r="J21" i="47"/>
  <c r="K260"/>
  <c r="N260"/>
  <c r="AN260"/>
  <c r="M260"/>
  <c r="N28"/>
  <c r="F22" i="63" s="1"/>
  <c r="AN28" i="47"/>
  <c r="J28"/>
  <c r="L28"/>
  <c r="B73" i="61"/>
  <c r="M28" i="47"/>
  <c r="K28"/>
  <c r="A22" i="63"/>
  <c r="W150" i="47"/>
  <c r="Y150"/>
  <c r="AP150"/>
  <c r="Z150"/>
  <c r="AP170"/>
  <c r="Y170"/>
  <c r="Z170"/>
  <c r="W170"/>
  <c r="Q248"/>
  <c r="C380" i="63" s="1"/>
  <c r="AO248" i="47"/>
  <c r="T248"/>
  <c r="F380" i="63" s="1"/>
  <c r="S248" i="47"/>
  <c r="E380" i="63" s="1"/>
  <c r="A380"/>
  <c r="K229" i="47"/>
  <c r="N229"/>
  <c r="AN229"/>
  <c r="M229"/>
  <c r="AD207"/>
  <c r="AC207"/>
  <c r="AB207"/>
  <c r="AE207"/>
  <c r="AF207"/>
  <c r="AQ207"/>
  <c r="Z226"/>
  <c r="AP226"/>
  <c r="W226"/>
  <c r="Y226"/>
  <c r="AP92"/>
  <c r="Z92"/>
  <c r="B331" i="61"/>
  <c r="W92" i="47"/>
  <c r="D331" i="61" s="1"/>
  <c r="Y92" i="47"/>
  <c r="S192"/>
  <c r="E324" i="63" s="1"/>
  <c r="A324"/>
  <c r="AO192" i="47"/>
  <c r="Q192"/>
  <c r="C324" i="63" s="1"/>
  <c r="T192" i="47"/>
  <c r="F324" i="63" s="1"/>
  <c r="Z179" i="47"/>
  <c r="Y179"/>
  <c r="AP179"/>
  <c r="W179"/>
  <c r="N258"/>
  <c r="K258"/>
  <c r="M258"/>
  <c r="AN258"/>
  <c r="AC186"/>
  <c r="AE186"/>
  <c r="AB186"/>
  <c r="AF186"/>
  <c r="AD186"/>
  <c r="AQ186"/>
  <c r="AC239"/>
  <c r="AF239"/>
  <c r="AB239"/>
  <c r="AE239"/>
  <c r="AD239"/>
  <c r="AQ239"/>
  <c r="AP154"/>
  <c r="W154"/>
  <c r="Z154"/>
  <c r="Y154"/>
  <c r="M102"/>
  <c r="B369" i="61"/>
  <c r="L102" i="47"/>
  <c r="J102"/>
  <c r="N102"/>
  <c r="F96" i="63" s="1"/>
  <c r="AN102" i="47"/>
  <c r="A96" i="63"/>
  <c r="K102" i="47"/>
  <c r="AN166"/>
  <c r="K166"/>
  <c r="N166"/>
  <c r="M166"/>
  <c r="W108"/>
  <c r="D395" i="61" s="1"/>
  <c r="Z108" i="47"/>
  <c r="Y108"/>
  <c r="B395" i="61"/>
  <c r="AP108" i="47"/>
  <c r="W125"/>
  <c r="D463" i="61" s="1"/>
  <c r="AP125" i="47"/>
  <c r="Y125"/>
  <c r="Z125"/>
  <c r="B463" i="61"/>
  <c r="K12" i="47"/>
  <c r="AN12"/>
  <c r="B9" i="61"/>
  <c r="J12" i="47"/>
  <c r="M12"/>
  <c r="A6" i="63"/>
  <c r="L12" i="47"/>
  <c r="N12"/>
  <c r="F6" i="63" s="1"/>
  <c r="Y67" i="47"/>
  <c r="AP67"/>
  <c r="B231" i="61"/>
  <c r="W67" i="47"/>
  <c r="D231" i="61" s="1"/>
  <c r="Z67" i="47"/>
  <c r="AD185"/>
  <c r="AC185"/>
  <c r="AQ185"/>
  <c r="AE185"/>
  <c r="AF185"/>
  <c r="AB185"/>
  <c r="AQ31"/>
  <c r="AD31"/>
  <c r="E88" i="61" s="1"/>
  <c r="AB31" i="47"/>
  <c r="C88" i="61" s="1"/>
  <c r="B88"/>
  <c r="AC31" i="47"/>
  <c r="D88" i="61" s="1"/>
  <c r="AF31" i="47"/>
  <c r="AE31"/>
  <c r="K13"/>
  <c r="J13"/>
  <c r="L13"/>
  <c r="A7" i="63"/>
  <c r="AN13" i="47"/>
  <c r="B13" i="61"/>
  <c r="N13" i="47"/>
  <c r="F7" i="63" s="1"/>
  <c r="M13" i="47"/>
  <c r="M207"/>
  <c r="AN207"/>
  <c r="N207"/>
  <c r="K207"/>
  <c r="A170" i="63"/>
  <c r="B114" i="61"/>
  <c r="T38" i="47"/>
  <c r="F170" i="63" s="1"/>
  <c r="AO38" i="47"/>
  <c r="Q38"/>
  <c r="S38"/>
  <c r="E170" i="63" s="1"/>
  <c r="J114" i="47"/>
  <c r="B417" i="61"/>
  <c r="L114" i="47"/>
  <c r="M114"/>
  <c r="K114"/>
  <c r="N114"/>
  <c r="F108" i="63" s="1"/>
  <c r="A108"/>
  <c r="AN114" i="47"/>
  <c r="Y39"/>
  <c r="B119" i="61"/>
  <c r="W39" i="47"/>
  <c r="D119" i="61" s="1"/>
  <c r="Z39" i="47"/>
  <c r="AP39"/>
  <c r="AB46"/>
  <c r="C148" i="61" s="1"/>
  <c r="AE46" i="47"/>
  <c r="AQ46"/>
  <c r="AC46"/>
  <c r="D148" i="61" s="1"/>
  <c r="AD46" i="47"/>
  <c r="E148" i="61" s="1"/>
  <c r="B148"/>
  <c r="AF46" i="47"/>
  <c r="AC238"/>
  <c r="AB238"/>
  <c r="AE238"/>
  <c r="AD238"/>
  <c r="AF238"/>
  <c r="AQ238"/>
  <c r="AF178"/>
  <c r="AE178"/>
  <c r="AC178"/>
  <c r="AQ178"/>
  <c r="AB178"/>
  <c r="AD178"/>
  <c r="T63"/>
  <c r="F195" i="63" s="1"/>
  <c r="S63" i="47"/>
  <c r="E195" i="63" s="1"/>
  <c r="AO63" i="47"/>
  <c r="B214" i="61"/>
  <c r="A195" i="63"/>
  <c r="Q63" i="47"/>
  <c r="T51"/>
  <c r="F183" i="63" s="1"/>
  <c r="Q51" i="47"/>
  <c r="A183" i="63"/>
  <c r="B166" i="61"/>
  <c r="S51" i="47"/>
  <c r="E183" i="63" s="1"/>
  <c r="AO51" i="47"/>
  <c r="AF183"/>
  <c r="AC183"/>
  <c r="AB183"/>
  <c r="AQ183"/>
  <c r="AD183"/>
  <c r="AE183"/>
  <c r="AP178"/>
  <c r="Y178"/>
  <c r="W178"/>
  <c r="Z178"/>
  <c r="B219" i="61"/>
  <c r="W64" i="47"/>
  <c r="D219" i="61" s="1"/>
  <c r="Z64" i="47"/>
  <c r="Y64"/>
  <c r="AP64"/>
  <c r="AC198"/>
  <c r="AB198"/>
  <c r="AQ198"/>
  <c r="AD198"/>
  <c r="AF198"/>
  <c r="AE198"/>
  <c r="S61"/>
  <c r="E193" i="63" s="1"/>
  <c r="A193"/>
  <c r="T61" i="47"/>
  <c r="F193" i="63" s="1"/>
  <c r="AO61" i="47"/>
  <c r="B206" i="61"/>
  <c r="Q61" i="47"/>
  <c r="B256" i="61"/>
  <c r="AD73" i="47"/>
  <c r="E256" i="61" s="1"/>
  <c r="AQ73" i="47"/>
  <c r="AC73"/>
  <c r="D256" i="61" s="1"/>
  <c r="AB73" i="47"/>
  <c r="C256" i="61" s="1"/>
  <c r="AE73" i="47"/>
  <c r="AF73"/>
  <c r="L60"/>
  <c r="M60"/>
  <c r="N60"/>
  <c r="F54" i="63" s="1"/>
  <c r="AN60" i="47"/>
  <c r="A54" i="63"/>
  <c r="B201" i="61"/>
  <c r="J60" i="47"/>
  <c r="K60"/>
  <c r="Y249"/>
  <c r="W249"/>
  <c r="AP249"/>
  <c r="Z249"/>
  <c r="Q178"/>
  <c r="C310" i="63" s="1"/>
  <c r="A310"/>
  <c r="AO178" i="47"/>
  <c r="S178"/>
  <c r="E310" i="63" s="1"/>
  <c r="T178" i="47"/>
  <c r="F310" i="63" s="1"/>
  <c r="AP97" i="47"/>
  <c r="Z97"/>
  <c r="Y97"/>
  <c r="W97"/>
  <c r="D351" i="61" s="1"/>
  <c r="B351"/>
  <c r="B513"/>
  <c r="M138" i="47"/>
  <c r="K138"/>
  <c r="N138"/>
  <c r="F132" i="63" s="1"/>
  <c r="AN138" i="47"/>
  <c r="L138"/>
  <c r="J138"/>
  <c r="A132" i="63"/>
  <c r="AE194" i="47"/>
  <c r="AF194"/>
  <c r="AC194"/>
  <c r="AD194"/>
  <c r="AB194"/>
  <c r="AQ194"/>
  <c r="AO77"/>
  <c r="Q77"/>
  <c r="T77"/>
  <c r="F209" i="63" s="1"/>
  <c r="A209"/>
  <c r="S77" i="47"/>
  <c r="E209" i="63" s="1"/>
  <c r="B270" i="61"/>
  <c r="AC141" i="47"/>
  <c r="AD141"/>
  <c r="AF141"/>
  <c r="AE141"/>
  <c r="AQ141"/>
  <c r="AB141"/>
  <c r="AP28"/>
  <c r="W28"/>
  <c r="D75" i="61" s="1"/>
  <c r="Z28" i="47"/>
  <c r="Y28"/>
  <c r="B75" i="61"/>
  <c r="Y13" i="47"/>
  <c r="AP13"/>
  <c r="B15" i="61"/>
  <c r="W13" i="47"/>
  <c r="D15" i="61" s="1"/>
  <c r="Z13" i="47"/>
  <c r="Y52"/>
  <c r="B171" i="61"/>
  <c r="W52" i="47"/>
  <c r="D171" i="61" s="1"/>
  <c r="AP52" i="47"/>
  <c r="Z52"/>
  <c r="T80"/>
  <c r="F212" i="63" s="1"/>
  <c r="A212"/>
  <c r="B282" i="61"/>
  <c r="AO80" i="47"/>
  <c r="Q80"/>
  <c r="S80"/>
  <c r="E212" i="63" s="1"/>
  <c r="AN120" i="47"/>
  <c r="B441" i="61"/>
  <c r="A114" i="63"/>
  <c r="K120" i="47"/>
  <c r="N120"/>
  <c r="F114" i="63" s="1"/>
  <c r="J120" i="47"/>
  <c r="L120"/>
  <c r="M120"/>
  <c r="AP89"/>
  <c r="W89"/>
  <c r="D319" i="61" s="1"/>
  <c r="Y89" i="47"/>
  <c r="Z89"/>
  <c r="B319" i="61"/>
  <c r="N153" i="47"/>
  <c r="M153"/>
  <c r="AN153"/>
  <c r="K153"/>
  <c r="J153"/>
  <c r="L153"/>
  <c r="S157"/>
  <c r="E289" i="63" s="1"/>
  <c r="Q157" i="47"/>
  <c r="C289" i="63" s="1"/>
  <c r="AO157" i="47"/>
  <c r="T157"/>
  <c r="F289" i="63" s="1"/>
  <c r="A289"/>
  <c r="T203" i="47"/>
  <c r="F335" i="63" s="1"/>
  <c r="AO203" i="47"/>
  <c r="Q203"/>
  <c r="C335" i="63" s="1"/>
  <c r="S203" i="47"/>
  <c r="E335" i="63" s="1"/>
  <c r="A335"/>
  <c r="A40"/>
  <c r="K46" i="47"/>
  <c r="AN46"/>
  <c r="M46"/>
  <c r="J46"/>
  <c r="N46"/>
  <c r="F40" i="63" s="1"/>
  <c r="B145" i="61"/>
  <c r="L46" i="47"/>
  <c r="B415" i="61"/>
  <c r="AP113" i="47"/>
  <c r="Z113"/>
  <c r="W113"/>
  <c r="D415" i="61" s="1"/>
  <c r="Y113" i="47"/>
  <c r="AN37"/>
  <c r="N37"/>
  <c r="F31" i="63" s="1"/>
  <c r="K37" i="47"/>
  <c r="A31" i="63"/>
  <c r="B109" i="61"/>
  <c r="J37" i="47"/>
  <c r="L37"/>
  <c r="M37"/>
  <c r="Y257"/>
  <c r="W257"/>
  <c r="Z257"/>
  <c r="AP257"/>
  <c r="T147"/>
  <c r="F279" i="63" s="1"/>
  <c r="S147" i="47"/>
  <c r="E279" i="63" s="1"/>
  <c r="Q147" i="47"/>
  <c r="C279" i="63" s="1"/>
  <c r="A279"/>
  <c r="AO147" i="47"/>
  <c r="T252"/>
  <c r="F384" i="63" s="1"/>
  <c r="AO252" i="47"/>
  <c r="Q252"/>
  <c r="C384" i="63" s="1"/>
  <c r="S252" i="47"/>
  <c r="E384" i="63" s="1"/>
  <c r="A384"/>
  <c r="W220" i="47"/>
  <c r="AP220"/>
  <c r="Z220"/>
  <c r="Y220"/>
  <c r="Y65"/>
  <c r="W65"/>
  <c r="D223" i="61" s="1"/>
  <c r="Z65" i="47"/>
  <c r="B223" i="61"/>
  <c r="AP65" i="47"/>
  <c r="A268" i="63"/>
  <c r="T136" i="47"/>
  <c r="F268" i="63" s="1"/>
  <c r="AO136" i="47"/>
  <c r="Q136"/>
  <c r="S136"/>
  <c r="E268" i="63" s="1"/>
  <c r="B506" i="61"/>
  <c r="Z103" i="47"/>
  <c r="W103"/>
  <c r="D375" i="61" s="1"/>
  <c r="AP103" i="47"/>
  <c r="B375" i="61"/>
  <c r="Y103" i="47"/>
  <c r="AN52"/>
  <c r="N52"/>
  <c r="F46" i="63" s="1"/>
  <c r="J52" i="47"/>
  <c r="A46" i="63"/>
  <c r="L52" i="47"/>
  <c r="K52"/>
  <c r="B169" i="61"/>
  <c r="M52" i="47"/>
  <c r="AD257"/>
  <c r="AQ257"/>
  <c r="AF257"/>
  <c r="AB257"/>
  <c r="AC257"/>
  <c r="AE257"/>
  <c r="AQ264"/>
  <c r="AD264"/>
  <c r="AF264"/>
  <c r="AE264"/>
  <c r="AC264"/>
  <c r="AB264"/>
  <c r="AC237"/>
  <c r="AD237"/>
  <c r="AQ237"/>
  <c r="AF237"/>
  <c r="AB237"/>
  <c r="AE237"/>
  <c r="N81"/>
  <c r="F75" i="63" s="1"/>
  <c r="B285" i="61"/>
  <c r="K81" i="47"/>
  <c r="A75" i="63"/>
  <c r="L81" i="47"/>
  <c r="M81"/>
  <c r="AN81"/>
  <c r="J81"/>
  <c r="AP88"/>
  <c r="Z88"/>
  <c r="W88"/>
  <c r="D315" i="61" s="1"/>
  <c r="Y88" i="47"/>
  <c r="B315" i="61"/>
  <c r="B421"/>
  <c r="J115" i="47"/>
  <c r="K115"/>
  <c r="L115"/>
  <c r="N115"/>
  <c r="F109" i="63" s="1"/>
  <c r="M115" i="47"/>
  <c r="A109" i="63"/>
  <c r="AN115" i="47"/>
  <c r="Y201"/>
  <c r="Z201"/>
  <c r="AP201"/>
  <c r="W201"/>
  <c r="K123"/>
  <c r="L123"/>
  <c r="J123"/>
  <c r="B453" i="61"/>
  <c r="N123" i="47"/>
  <c r="F117" i="63" s="1"/>
  <c r="A117"/>
  <c r="M123" i="47"/>
  <c r="AN123"/>
  <c r="N89"/>
  <c r="F83" i="63" s="1"/>
  <c r="AN89" i="47"/>
  <c r="J89"/>
  <c r="A83" i="63"/>
  <c r="B317" i="61"/>
  <c r="K89" i="47"/>
  <c r="M89"/>
  <c r="L89"/>
  <c r="M198"/>
  <c r="AN198"/>
  <c r="N198"/>
  <c r="K198"/>
  <c r="AB256"/>
  <c r="AQ256"/>
  <c r="AD256"/>
  <c r="AF256"/>
  <c r="AE256"/>
  <c r="AC256"/>
  <c r="Q238"/>
  <c r="C370" i="63" s="1"/>
  <c r="A370"/>
  <c r="S238" i="47"/>
  <c r="E370" i="63" s="1"/>
  <c r="T238" i="47"/>
  <c r="F370" i="63" s="1"/>
  <c r="AO238" i="47"/>
  <c r="Q119"/>
  <c r="B438" i="61"/>
  <c r="A251" i="63"/>
  <c r="T119" i="47"/>
  <c r="F251" i="63" s="1"/>
  <c r="S119" i="47"/>
  <c r="E251" i="63" s="1"/>
  <c r="AO119" i="47"/>
  <c r="AD227"/>
  <c r="AC227"/>
  <c r="AQ227"/>
  <c r="AB227"/>
  <c r="AE227"/>
  <c r="AF227"/>
  <c r="AO48"/>
  <c r="S48"/>
  <c r="E180" i="63" s="1"/>
  <c r="B154" i="61"/>
  <c r="Q48" i="47"/>
  <c r="T48"/>
  <c r="F180" i="63" s="1"/>
  <c r="A180"/>
  <c r="AE87" i="47"/>
  <c r="AQ87"/>
  <c r="AD87"/>
  <c r="E312" i="61" s="1"/>
  <c r="AF87" i="47"/>
  <c r="AC87"/>
  <c r="D312" i="61" s="1"/>
  <c r="AB87" i="47"/>
  <c r="C312" i="61" s="1"/>
  <c r="B312"/>
  <c r="AQ52" i="47"/>
  <c r="AE52"/>
  <c r="AD52"/>
  <c r="E172" i="61" s="1"/>
  <c r="B172"/>
  <c r="AC52" i="47"/>
  <c r="D172" i="61" s="1"/>
  <c r="AB52" i="47"/>
  <c r="C172" i="61" s="1"/>
  <c r="AF52" i="47"/>
  <c r="AF223"/>
  <c r="AE223"/>
  <c r="AQ223"/>
  <c r="AC223"/>
  <c r="AD223"/>
  <c r="AB223"/>
  <c r="S142"/>
  <c r="E274" i="63" s="1"/>
  <c r="AO142" i="47"/>
  <c r="T142"/>
  <c r="F274" i="63" s="1"/>
  <c r="Q142" i="47"/>
  <c r="C274" i="63" s="1"/>
  <c r="A274"/>
  <c r="Y255" i="47"/>
  <c r="W255"/>
  <c r="Z255"/>
  <c r="AP255"/>
  <c r="AB129"/>
  <c r="C480" i="61" s="1"/>
  <c r="B480"/>
  <c r="AF129" i="47"/>
  <c r="AQ129"/>
  <c r="AD129"/>
  <c r="E480" i="61" s="1"/>
  <c r="AC129" i="47"/>
  <c r="D480" i="61" s="1"/>
  <c r="AE129" i="47"/>
  <c r="AB86"/>
  <c r="C308" i="61" s="1"/>
  <c r="AF86" i="47"/>
  <c r="AD86"/>
  <c r="E308" i="61" s="1"/>
  <c r="B308"/>
  <c r="AC86" i="47"/>
  <c r="D308" i="61" s="1"/>
  <c r="AQ86" i="47"/>
  <c r="AE86"/>
  <c r="AC150"/>
  <c r="AD150"/>
  <c r="AQ150"/>
  <c r="AF150"/>
  <c r="AE150"/>
  <c r="AB150"/>
  <c r="AN132"/>
  <c r="A126" i="63"/>
  <c r="M132" i="47"/>
  <c r="N132"/>
  <c r="F126" i="63" s="1"/>
  <c r="B489" i="61"/>
  <c r="K132" i="47"/>
  <c r="L132"/>
  <c r="J132"/>
  <c r="AQ170"/>
  <c r="AE170"/>
  <c r="AC170"/>
  <c r="AD170"/>
  <c r="AF170"/>
  <c r="AB170"/>
  <c r="A154" i="63"/>
  <c r="AO22" i="47"/>
  <c r="Q22"/>
  <c r="T22"/>
  <c r="F154" i="63" s="1"/>
  <c r="B50" i="61"/>
  <c r="S22" i="47"/>
  <c r="E154" i="63" s="1"/>
  <c r="AQ123" i="47"/>
  <c r="AB123"/>
  <c r="C456" i="61" s="1"/>
  <c r="AF123" i="47"/>
  <c r="B456" i="61"/>
  <c r="AC123" i="47"/>
  <c r="D456" i="61" s="1"/>
  <c r="AD123" i="47"/>
  <c r="E456" i="61" s="1"/>
  <c r="AE123" i="47"/>
  <c r="AD120"/>
  <c r="E444" i="61" s="1"/>
  <c r="B444"/>
  <c r="AF120" i="47"/>
  <c r="AC120"/>
  <c r="D444" i="61" s="1"/>
  <c r="AE120" i="47"/>
  <c r="AB120"/>
  <c r="C444" i="61" s="1"/>
  <c r="AQ120" i="47"/>
  <c r="W26"/>
  <c r="D67" i="61" s="1"/>
  <c r="AP26" i="47"/>
  <c r="B67" i="61"/>
  <c r="Y26" i="47"/>
  <c r="Z26"/>
  <c r="AQ25"/>
  <c r="AF25"/>
  <c r="AD25"/>
  <c r="E64" i="61" s="1"/>
  <c r="AB25" i="47"/>
  <c r="C64" i="61" s="1"/>
  <c r="AE25" i="47"/>
  <c r="AC25"/>
  <c r="D64" i="61" s="1"/>
  <c r="B64"/>
  <c r="T127" i="47"/>
  <c r="F259" i="63" s="1"/>
  <c r="Q127" i="47"/>
  <c r="S127"/>
  <c r="E259" i="63" s="1"/>
  <c r="B470" i="61"/>
  <c r="A259" i="63"/>
  <c r="AO127" i="47"/>
  <c r="Q184"/>
  <c r="C316" i="63" s="1"/>
  <c r="T184" i="47"/>
  <c r="F316" i="63" s="1"/>
  <c r="AO184" i="47"/>
  <c r="S184"/>
  <c r="E316" i="63" s="1"/>
  <c r="A316"/>
  <c r="T145" i="47"/>
  <c r="F277" i="63" s="1"/>
  <c r="Q145" i="47"/>
  <c r="C277" i="63" s="1"/>
  <c r="S145" i="47"/>
  <c r="E277" i="63" s="1"/>
  <c r="A277"/>
  <c r="AO145" i="47"/>
  <c r="B175" i="61"/>
  <c r="W53" i="47"/>
  <c r="D175" i="61" s="1"/>
  <c r="Y53" i="47"/>
  <c r="Z53"/>
  <c r="AP53"/>
  <c r="A84" i="63"/>
  <c r="B321" i="61"/>
  <c r="N90" i="47"/>
  <c r="F84" i="63" s="1"/>
  <c r="L90" i="47"/>
  <c r="M90"/>
  <c r="AN90"/>
  <c r="J90"/>
  <c r="K90"/>
  <c r="M261"/>
  <c r="N261"/>
  <c r="K261"/>
  <c r="AN261"/>
  <c r="AO159"/>
  <c r="S159"/>
  <c r="E291" i="63" s="1"/>
  <c r="Q159" i="47"/>
  <c r="C291" i="63" s="1"/>
  <c r="T159" i="47"/>
  <c r="F291" i="63" s="1"/>
  <c r="A291"/>
  <c r="Z133" i="47"/>
  <c r="W133"/>
  <c r="D495" i="61" s="1"/>
  <c r="AP133" i="47"/>
  <c r="Y133"/>
  <c r="B495" i="61"/>
  <c r="W99" i="47"/>
  <c r="D359" i="61" s="1"/>
  <c r="B359"/>
  <c r="Y99" i="47"/>
  <c r="Z99"/>
  <c r="AP99"/>
  <c r="AO102"/>
  <c r="S102"/>
  <c r="E234" i="63" s="1"/>
  <c r="A234"/>
  <c r="T102" i="47"/>
  <c r="F234" i="63" s="1"/>
  <c r="B370" i="61"/>
  <c r="Q102" i="47"/>
  <c r="M232"/>
  <c r="K232"/>
  <c r="N232"/>
  <c r="AN232"/>
  <c r="AP251"/>
  <c r="Y251"/>
  <c r="W251"/>
  <c r="Z251"/>
  <c r="W126"/>
  <c r="D467" i="61" s="1"/>
  <c r="Z126" i="47"/>
  <c r="AP126"/>
  <c r="Y126"/>
  <c r="B467" i="61"/>
  <c r="Y185" i="47"/>
  <c r="Z185"/>
  <c r="W185"/>
  <c r="AP185"/>
  <c r="Z105"/>
  <c r="AP105"/>
  <c r="W105"/>
  <c r="D383" i="61" s="1"/>
  <c r="B383"/>
  <c r="Y105" i="47"/>
  <c r="T262"/>
  <c r="F394" i="63" s="1"/>
  <c r="S262" i="47"/>
  <c r="E394" i="63" s="1"/>
  <c r="AO262" i="47"/>
  <c r="Q262"/>
  <c r="C394" i="63" s="1"/>
  <c r="A394"/>
  <c r="AE243" i="47"/>
  <c r="AD243"/>
  <c r="AQ243"/>
  <c r="AB243"/>
  <c r="AC243"/>
  <c r="AF243"/>
  <c r="Z210"/>
  <c r="Y210"/>
  <c r="W210"/>
  <c r="AP210"/>
  <c r="A98" i="63"/>
  <c r="N104" i="47"/>
  <c r="F98" i="63" s="1"/>
  <c r="M104" i="47"/>
  <c r="J104"/>
  <c r="L104"/>
  <c r="AN104"/>
  <c r="K104"/>
  <c r="B377" i="61"/>
  <c r="AO65" i="47"/>
  <c r="S65"/>
  <c r="E197" i="63" s="1"/>
  <c r="A197"/>
  <c r="B222" i="61"/>
  <c r="T65" i="47"/>
  <c r="F197" i="63" s="1"/>
  <c r="Q65" i="47"/>
  <c r="M196"/>
  <c r="N196"/>
  <c r="AN196"/>
  <c r="K196"/>
  <c r="AE130"/>
  <c r="AD130"/>
  <c r="E484" i="61" s="1"/>
  <c r="B484"/>
  <c r="AB130" i="47"/>
  <c r="C484" i="61" s="1"/>
  <c r="AC130" i="47"/>
  <c r="D484" i="61" s="1"/>
  <c r="AF130" i="47"/>
  <c r="AQ130"/>
  <c r="AB166"/>
  <c r="AD166"/>
  <c r="AF166"/>
  <c r="AC166"/>
  <c r="AQ166"/>
  <c r="AE166"/>
  <c r="Z145"/>
  <c r="W145"/>
  <c r="Y145"/>
  <c r="AP145"/>
  <c r="AN49"/>
  <c r="B157" i="61"/>
  <c r="M49" i="47"/>
  <c r="A43" i="63"/>
  <c r="N49" i="47"/>
  <c r="F43" i="63" s="1"/>
  <c r="J49" i="47"/>
  <c r="L49"/>
  <c r="K49"/>
  <c r="A346" i="63"/>
  <c r="S214" i="47"/>
  <c r="E346" i="63" s="1"/>
  <c r="T214" i="47"/>
  <c r="F346" i="63" s="1"/>
  <c r="Q214" i="47"/>
  <c r="C346" i="63" s="1"/>
  <c r="AO214" i="47"/>
  <c r="AD251"/>
  <c r="AC251"/>
  <c r="AB251"/>
  <c r="AE251"/>
  <c r="AF251"/>
  <c r="AQ251"/>
  <c r="S160"/>
  <c r="E292" i="63" s="1"/>
  <c r="Q160" i="47"/>
  <c r="C292" i="63" s="1"/>
  <c r="T160" i="47"/>
  <c r="F292" i="63" s="1"/>
  <c r="A292"/>
  <c r="AO160" i="47"/>
  <c r="AC60"/>
  <c r="D204" i="61" s="1"/>
  <c r="AQ60" i="47"/>
  <c r="AF60"/>
  <c r="AB60"/>
  <c r="C204" i="61" s="1"/>
  <c r="AD60" i="47"/>
  <c r="E204" i="61" s="1"/>
  <c r="B204"/>
  <c r="AE60" i="47"/>
  <c r="Q165"/>
  <c r="C297" i="63" s="1"/>
  <c r="T165" i="47"/>
  <c r="F297" i="63" s="1"/>
  <c r="S165" i="47"/>
  <c r="E297" i="63" s="1"/>
  <c r="A297"/>
  <c r="AO165" i="47"/>
  <c r="Z181"/>
  <c r="Y181"/>
  <c r="W181"/>
  <c r="AP181"/>
  <c r="B381" i="61"/>
  <c r="N105" i="47"/>
  <c r="F99" i="63" s="1"/>
  <c r="J105" i="47"/>
  <c r="A99" i="63"/>
  <c r="M105" i="47"/>
  <c r="L105"/>
  <c r="K105"/>
  <c r="AN105"/>
  <c r="AE69"/>
  <c r="AB69"/>
  <c r="C240" i="61" s="1"/>
  <c r="AC69" i="47"/>
  <c r="D240" i="61" s="1"/>
  <c r="AD69" i="47"/>
  <c r="E240" i="61" s="1"/>
  <c r="AF69" i="47"/>
  <c r="AQ69"/>
  <c r="B240" i="61"/>
  <c r="A383" i="63"/>
  <c r="T251" i="47"/>
  <c r="F383" i="63" s="1"/>
  <c r="S251" i="47"/>
  <c r="E383" i="63" s="1"/>
  <c r="Q251" i="47"/>
  <c r="C383" i="63" s="1"/>
  <c r="AO251" i="47"/>
  <c r="S100"/>
  <c r="E232" i="63" s="1"/>
  <c r="A232"/>
  <c r="T100" i="47"/>
  <c r="F232" i="63" s="1"/>
  <c r="B362" i="61"/>
  <c r="Q100" i="47"/>
  <c r="AO100"/>
  <c r="K62"/>
  <c r="AN62"/>
  <c r="J62"/>
  <c r="L62"/>
  <c r="N62"/>
  <c r="F56" i="63" s="1"/>
  <c r="B209" i="61"/>
  <c r="M62" i="47"/>
  <c r="A56" i="63"/>
  <c r="Z241" i="47"/>
  <c r="AP241"/>
  <c r="Y241"/>
  <c r="W241"/>
  <c r="AO113"/>
  <c r="T113"/>
  <c r="F245" i="63" s="1"/>
  <c r="A245"/>
  <c r="Q113" i="47"/>
  <c r="S113"/>
  <c r="E245" i="63" s="1"/>
  <c r="B414" i="61"/>
  <c r="Z256" i="47"/>
  <c r="W256"/>
  <c r="Y256"/>
  <c r="AP256"/>
  <c r="A352" i="63"/>
  <c r="S220" i="47"/>
  <c r="E352" i="63" s="1"/>
  <c r="Q220" i="47"/>
  <c r="C352" i="63" s="1"/>
  <c r="T220" i="47"/>
  <c r="F352" i="63" s="1"/>
  <c r="AO220" i="47"/>
  <c r="AP258"/>
  <c r="W258"/>
  <c r="Y258"/>
  <c r="Z258"/>
  <c r="N214"/>
  <c r="K214"/>
  <c r="AN214"/>
  <c r="M214"/>
  <c r="Y233"/>
  <c r="W233"/>
  <c r="Z233"/>
  <c r="AP233"/>
  <c r="AP104"/>
  <c r="W104"/>
  <c r="D379" i="61" s="1"/>
  <c r="Z104" i="47"/>
  <c r="B379" i="61"/>
  <c r="Y104" i="47"/>
  <c r="AD242"/>
  <c r="AC242"/>
  <c r="AB242"/>
  <c r="AE242"/>
  <c r="AF242"/>
  <c r="AQ242"/>
  <c r="Z42"/>
  <c r="Y42"/>
  <c r="B131" i="61"/>
  <c r="W42" i="47"/>
  <c r="D131" i="61" s="1"/>
  <c r="AP42" i="47"/>
  <c r="Z68"/>
  <c r="W68"/>
  <c r="D235" i="61" s="1"/>
  <c r="AP68" i="47"/>
  <c r="Y68"/>
  <c r="B235" i="61"/>
  <c r="Y231" i="47"/>
  <c r="Z231"/>
  <c r="AP231"/>
  <c r="W231"/>
  <c r="AC109"/>
  <c r="D400" i="61" s="1"/>
  <c r="B400"/>
  <c r="AB109" i="47"/>
  <c r="C400" i="61" s="1"/>
  <c r="AF109" i="47"/>
  <c r="AE109"/>
  <c r="AD109"/>
  <c r="E400" i="61" s="1"/>
  <c r="AQ109" i="47"/>
  <c r="K157"/>
  <c r="AN157"/>
  <c r="N157"/>
  <c r="M157"/>
  <c r="E157" s="1"/>
  <c r="J73"/>
  <c r="B253" i="61"/>
  <c r="M73" i="47"/>
  <c r="AN73"/>
  <c r="A67" i="63"/>
  <c r="N73" i="47"/>
  <c r="F67" i="63" s="1"/>
  <c r="K73" i="47"/>
  <c r="L73"/>
  <c r="B107" i="61"/>
  <c r="W36" i="47"/>
  <c r="D107" i="61" s="1"/>
  <c r="AP36" i="47"/>
  <c r="Z36"/>
  <c r="Y36"/>
  <c r="AE205"/>
  <c r="AB205"/>
  <c r="AD205"/>
  <c r="AQ205"/>
  <c r="AF205"/>
  <c r="AC205"/>
  <c r="M193"/>
  <c r="AN193"/>
  <c r="K193"/>
  <c r="N193"/>
  <c r="J124"/>
  <c r="M124"/>
  <c r="A118" i="63"/>
  <c r="L124" i="47"/>
  <c r="AN124"/>
  <c r="B457" i="61"/>
  <c r="N124" i="47"/>
  <c r="F118" i="63" s="1"/>
  <c r="K124" i="47"/>
  <c r="AD135"/>
  <c r="E504" i="61" s="1"/>
  <c r="AB135" i="47"/>
  <c r="C504" i="61" s="1"/>
  <c r="AE135" i="47"/>
  <c r="AF135"/>
  <c r="AC135"/>
  <c r="D504" i="61" s="1"/>
  <c r="B504"/>
  <c r="AQ135" i="47"/>
  <c r="Q201"/>
  <c r="C333" i="63" s="1"/>
  <c r="T201" i="47"/>
  <c r="F333" i="63" s="1"/>
  <c r="S201" i="47"/>
  <c r="E333" i="63" s="1"/>
  <c r="A333"/>
  <c r="AO201" i="47"/>
  <c r="S215"/>
  <c r="E347" i="63" s="1"/>
  <c r="T215" i="47"/>
  <c r="F347" i="63" s="1"/>
  <c r="Q215" i="47"/>
  <c r="C347" i="63" s="1"/>
  <c r="AO215" i="47"/>
  <c r="A347" i="63"/>
  <c r="Q229" i="47"/>
  <c r="C361" i="63" s="1"/>
  <c r="A361"/>
  <c r="AO229" i="47"/>
  <c r="T229"/>
  <c r="F361" i="63" s="1"/>
  <c r="S229" i="47"/>
  <c r="E361" i="63" s="1"/>
  <c r="AB228" i="47"/>
  <c r="AC228"/>
  <c r="AF228"/>
  <c r="AD228"/>
  <c r="AE228"/>
  <c r="AQ228"/>
  <c r="B474" i="61"/>
  <c r="S128" i="47"/>
  <c r="E260" i="63" s="1"/>
  <c r="AO128" i="47"/>
  <c r="Q128"/>
  <c r="T128"/>
  <c r="F260" i="63" s="1"/>
  <c r="A260"/>
  <c r="N225" i="47"/>
  <c r="M225"/>
  <c r="AN225"/>
  <c r="K225"/>
  <c r="W32"/>
  <c r="D91" i="61" s="1"/>
  <c r="B91"/>
  <c r="AP32" i="47"/>
  <c r="Y32"/>
  <c r="Z32"/>
  <c r="Z40"/>
  <c r="Y40"/>
  <c r="AP40"/>
  <c r="W40"/>
  <c r="D123" i="61" s="1"/>
  <c r="B123"/>
  <c r="T92" i="47"/>
  <c r="F224" i="63" s="1"/>
  <c r="B330" i="61"/>
  <c r="AO92" i="47"/>
  <c r="Q92"/>
  <c r="S92"/>
  <c r="E224" i="63" s="1"/>
  <c r="A224"/>
  <c r="K169" i="47"/>
  <c r="N169"/>
  <c r="M169"/>
  <c r="AN169"/>
  <c r="W228"/>
  <c r="AP228"/>
  <c r="Z228"/>
  <c r="Y228"/>
  <c r="Q40"/>
  <c r="S40"/>
  <c r="E172" i="63" s="1"/>
  <c r="A172"/>
  <c r="AO40" i="47"/>
  <c r="T40"/>
  <c r="F172" i="63" s="1"/>
  <c r="B122" i="61"/>
  <c r="B439"/>
  <c r="Y119" i="47"/>
  <c r="Z119"/>
  <c r="W119"/>
  <c r="D439" i="61" s="1"/>
  <c r="AP119" i="47"/>
  <c r="AC236"/>
  <c r="AD236"/>
  <c r="AF236"/>
  <c r="AB236"/>
  <c r="AE236"/>
  <c r="AQ236"/>
  <c r="AP217"/>
  <c r="W217"/>
  <c r="Z217"/>
  <c r="Y217"/>
  <c r="AB124"/>
  <c r="C460" i="61" s="1"/>
  <c r="AF124" i="47"/>
  <c r="B460" i="61"/>
  <c r="AC124" i="47"/>
  <c r="D460" i="61" s="1"/>
  <c r="AE124" i="47"/>
  <c r="AQ124"/>
  <c r="AD124"/>
  <c r="E460" i="61" s="1"/>
  <c r="L20" i="47"/>
  <c r="N20"/>
  <c r="F14" i="63" s="1"/>
  <c r="J20" i="47"/>
  <c r="AN20"/>
  <c r="A14" i="63"/>
  <c r="K20" i="47"/>
  <c r="B41" i="61"/>
  <c r="M20" i="47"/>
  <c r="B349" i="61"/>
  <c r="J97" i="47"/>
  <c r="AN97"/>
  <c r="A91" i="63"/>
  <c r="N97" i="47"/>
  <c r="F91" i="63" s="1"/>
  <c r="L97" i="47"/>
  <c r="M97"/>
  <c r="K97"/>
  <c r="AB203"/>
  <c r="AQ203"/>
  <c r="AD203"/>
  <c r="AE203"/>
  <c r="AC203"/>
  <c r="AF203"/>
  <c r="B187" i="61"/>
  <c r="Y56" i="47"/>
  <c r="Z56"/>
  <c r="W56"/>
  <c r="D187" i="61" s="1"/>
  <c r="AP56" i="47"/>
  <c r="AN55"/>
  <c r="B181" i="61"/>
  <c r="N55" i="47"/>
  <c r="F49" i="63" s="1"/>
  <c r="L55" i="47"/>
  <c r="M55"/>
  <c r="A49" i="63"/>
  <c r="K55" i="47"/>
  <c r="J55"/>
  <c r="W212"/>
  <c r="Y212"/>
  <c r="AP212"/>
  <c r="Z212"/>
  <c r="S206"/>
  <c r="E338" i="63" s="1"/>
  <c r="Q206" i="47"/>
  <c r="C338" i="63" s="1"/>
  <c r="A338"/>
  <c r="T206" i="47"/>
  <c r="F338" i="63" s="1"/>
  <c r="AO206" i="47"/>
  <c r="T181"/>
  <c r="F313" i="63" s="1"/>
  <c r="A313"/>
  <c r="S181" i="47"/>
  <c r="E313" i="63" s="1"/>
  <c r="Q181" i="47"/>
  <c r="C313" i="63" s="1"/>
  <c r="AO181" i="47"/>
  <c r="AC149"/>
  <c r="AB149"/>
  <c r="AQ149"/>
  <c r="AF149"/>
  <c r="AE149"/>
  <c r="AD149"/>
  <c r="T211"/>
  <c r="F343" i="63" s="1"/>
  <c r="A343"/>
  <c r="Q211" i="47"/>
  <c r="C343" i="63" s="1"/>
  <c r="S211" i="47"/>
  <c r="E343" i="63" s="1"/>
  <c r="AO211" i="47"/>
  <c r="Q151"/>
  <c r="C283" i="63" s="1"/>
  <c r="S151" i="47"/>
  <c r="E283" i="63" s="1"/>
  <c r="T151" i="47"/>
  <c r="F283" i="63" s="1"/>
  <c r="AO151" i="47"/>
  <c r="A283" i="63"/>
  <c r="Q140" i="47"/>
  <c r="C272" i="63" s="1"/>
  <c r="A272"/>
  <c r="S140" i="47"/>
  <c r="E272" i="63" s="1"/>
  <c r="T140" i="47"/>
  <c r="F272" i="63" s="1"/>
  <c r="AO140" i="47"/>
  <c r="AO152"/>
  <c r="T152"/>
  <c r="F284" i="63" s="1"/>
  <c r="Q152" i="47"/>
  <c r="C284" i="63" s="1"/>
  <c r="S152" i="47"/>
  <c r="E284" i="63" s="1"/>
  <c r="A284"/>
  <c r="M70" i="47"/>
  <c r="K70"/>
  <c r="J70"/>
  <c r="AN70"/>
  <c r="A64" i="63"/>
  <c r="B241" i="61"/>
  <c r="N70" i="47"/>
  <c r="F64" i="63" s="1"/>
  <c r="L70" i="47"/>
  <c r="Q69"/>
  <c r="T69"/>
  <c r="F201" i="63" s="1"/>
  <c r="A201"/>
  <c r="S69" i="47"/>
  <c r="E201" i="63" s="1"/>
  <c r="B238" i="61"/>
  <c r="AO69" i="47"/>
  <c r="Q216"/>
  <c r="C348" i="63" s="1"/>
  <c r="AO216" i="47"/>
  <c r="S216"/>
  <c r="E348" i="63" s="1"/>
  <c r="T216" i="47"/>
  <c r="F348" i="63" s="1"/>
  <c r="A348"/>
  <c r="N154" i="47"/>
  <c r="M154"/>
  <c r="AN154"/>
  <c r="K154"/>
  <c r="AP70"/>
  <c r="B243" i="61"/>
  <c r="W70" i="47"/>
  <c r="D243" i="61" s="1"/>
  <c r="Z70" i="47"/>
  <c r="Y70"/>
  <c r="AP192"/>
  <c r="W192"/>
  <c r="Y192"/>
  <c r="Z192"/>
  <c r="Q237"/>
  <c r="C369" i="63" s="1"/>
  <c r="T237" i="47"/>
  <c r="F369" i="63" s="1"/>
  <c r="AO237" i="47"/>
  <c r="S237"/>
  <c r="E369" i="63" s="1"/>
  <c r="A369"/>
  <c r="AE229" i="47"/>
  <c r="AQ229"/>
  <c r="AB229"/>
  <c r="AC229"/>
  <c r="AF229"/>
  <c r="AD229"/>
  <c r="Q213"/>
  <c r="C345" i="63" s="1"/>
  <c r="S213" i="47"/>
  <c r="E345" i="63" s="1"/>
  <c r="AO213" i="47"/>
  <c r="T213"/>
  <c r="F345" i="63" s="1"/>
  <c r="A345"/>
  <c r="AD99" i="47"/>
  <c r="E360" i="61" s="1"/>
  <c r="AE99" i="47"/>
  <c r="AC99"/>
  <c r="D360" i="61" s="1"/>
  <c r="AB99" i="47"/>
  <c r="C360" i="61" s="1"/>
  <c r="AF99" i="47"/>
  <c r="B360" i="61"/>
  <c r="AQ99" i="47"/>
  <c r="Y147"/>
  <c r="Z147"/>
  <c r="AP147"/>
  <c r="W147"/>
  <c r="AO191"/>
  <c r="S191"/>
  <c r="E323" i="63" s="1"/>
  <c r="T191" i="47"/>
  <c r="F323" i="63" s="1"/>
  <c r="Q191" i="47"/>
  <c r="C323" i="63" s="1"/>
  <c r="A323"/>
  <c r="N255" i="47"/>
  <c r="M255"/>
  <c r="K255"/>
  <c r="AN255"/>
  <c r="AD103"/>
  <c r="E376" i="61" s="1"/>
  <c r="AQ103" i="47"/>
  <c r="AB103"/>
  <c r="C376" i="61" s="1"/>
  <c r="B376"/>
  <c r="AE103" i="47"/>
  <c r="AC103"/>
  <c r="D376" i="61" s="1"/>
  <c r="AF103" i="47"/>
  <c r="Y227"/>
  <c r="AP227"/>
  <c r="Z227"/>
  <c r="W227"/>
  <c r="Z156"/>
  <c r="AP156"/>
  <c r="W156"/>
  <c r="Y156"/>
  <c r="T37"/>
  <c r="F169" i="63" s="1"/>
  <c r="Q37" i="47"/>
  <c r="A169" i="63"/>
  <c r="S37" i="47"/>
  <c r="E169" i="63" s="1"/>
  <c r="B110" i="61"/>
  <c r="AO37" i="47"/>
  <c r="W18"/>
  <c r="D35" i="61" s="1"/>
  <c r="Z18" i="47"/>
  <c r="AP18"/>
  <c r="Y18"/>
  <c r="B35" i="61"/>
  <c r="AB245" i="47"/>
  <c r="AF245"/>
  <c r="AQ245"/>
  <c r="AC245"/>
  <c r="AD245"/>
  <c r="AE245"/>
  <c r="Q185"/>
  <c r="C317" i="63" s="1"/>
  <c r="S185" i="47"/>
  <c r="E317" i="63" s="1"/>
  <c r="A317"/>
  <c r="T185" i="47"/>
  <c r="F317" i="63" s="1"/>
  <c r="AO185" i="47"/>
  <c r="AE121"/>
  <c r="AQ121"/>
  <c r="AB121"/>
  <c r="C448" i="61" s="1"/>
  <c r="AD121" i="47"/>
  <c r="E448" i="61" s="1"/>
  <c r="AF121" i="47"/>
  <c r="AC121"/>
  <c r="D448" i="61" s="1"/>
  <c r="B448"/>
  <c r="T121" i="47"/>
  <c r="F253" i="63" s="1"/>
  <c r="S121" i="47"/>
  <c r="E253" i="63" s="1"/>
  <c r="A253"/>
  <c r="AO121" i="47"/>
  <c r="B446" i="61"/>
  <c r="Q121" i="47"/>
  <c r="N247"/>
  <c r="AN247"/>
  <c r="M247"/>
  <c r="K247"/>
  <c r="AC210"/>
  <c r="AD210"/>
  <c r="AB210"/>
  <c r="AF210"/>
  <c r="AE210"/>
  <c r="AQ210"/>
  <c r="S144"/>
  <c r="E276" i="63" s="1"/>
  <c r="Q144" i="47"/>
  <c r="C276" i="63" s="1"/>
  <c r="T144" i="47"/>
  <c r="F276" i="63" s="1"/>
  <c r="A276"/>
  <c r="AO144" i="47"/>
  <c r="M92"/>
  <c r="A86" i="63"/>
  <c r="J92" i="47"/>
  <c r="K92"/>
  <c r="AN92"/>
  <c r="N92"/>
  <c r="F86" i="63" s="1"/>
  <c r="B329" i="61"/>
  <c r="L92" i="47"/>
  <c r="W240"/>
  <c r="Y240"/>
  <c r="AP240"/>
  <c r="Z240"/>
  <c r="AQ247"/>
  <c r="AC247"/>
  <c r="AD247"/>
  <c r="AF247"/>
  <c r="AE247"/>
  <c r="AB247"/>
  <c r="AP167"/>
  <c r="W167"/>
  <c r="Y167"/>
  <c r="Z167"/>
  <c r="B472" i="61"/>
  <c r="AF127" i="47"/>
  <c r="AD127"/>
  <c r="E472" i="61" s="1"/>
  <c r="AC127" i="47"/>
  <c r="D472" i="61" s="1"/>
  <c r="AB127" i="47"/>
  <c r="C472" i="61" s="1"/>
  <c r="AQ127" i="47"/>
  <c r="AE127"/>
  <c r="AC230"/>
  <c r="AQ230"/>
  <c r="AF230"/>
  <c r="AD230"/>
  <c r="AB230"/>
  <c r="AE230"/>
  <c r="AP80"/>
  <c r="Z80"/>
  <c r="Y80"/>
  <c r="W80"/>
  <c r="D283" i="61" s="1"/>
  <c r="B283"/>
  <c r="W193" i="47"/>
  <c r="AP193"/>
  <c r="Z193"/>
  <c r="Y193"/>
  <c r="AO31"/>
  <c r="S31"/>
  <c r="E163" i="63" s="1"/>
  <c r="Q31" i="47"/>
  <c r="B86" i="61"/>
  <c r="T31" i="47"/>
  <c r="F163" i="63" s="1"/>
  <c r="A163"/>
  <c r="AB190" i="47"/>
  <c r="AD190"/>
  <c r="AC190"/>
  <c r="AQ190"/>
  <c r="AE190"/>
  <c r="AF190"/>
  <c r="AO232"/>
  <c r="S232"/>
  <c r="E364" i="63" s="1"/>
  <c r="Q232" i="47"/>
  <c r="C364" i="63" s="1"/>
  <c r="T232" i="47"/>
  <c r="F364" i="63" s="1"/>
  <c r="A364"/>
  <c r="M147" i="47"/>
  <c r="L147"/>
  <c r="D141" i="63" s="1"/>
  <c r="K147" i="47"/>
  <c r="C141" i="63" s="1"/>
  <c r="AN147" i="47"/>
  <c r="A141" i="63"/>
  <c r="N147" i="47"/>
  <c r="F141" i="63" s="1"/>
  <c r="J147" i="47"/>
  <c r="AQ70"/>
  <c r="AD70"/>
  <c r="E244" i="61" s="1"/>
  <c r="AF70" i="47"/>
  <c r="AC70"/>
  <c r="D244" i="61" s="1"/>
  <c r="AB70" i="47"/>
  <c r="C244" i="61" s="1"/>
  <c r="B244"/>
  <c r="AE70" i="47"/>
  <c r="AD89"/>
  <c r="E320" i="61" s="1"/>
  <c r="AQ89" i="47"/>
  <c r="AC89"/>
  <c r="D320" i="61" s="1"/>
  <c r="AB89" i="47"/>
  <c r="C320" i="61" s="1"/>
  <c r="B320"/>
  <c r="AF89" i="47"/>
  <c r="AE89"/>
  <c r="Q218"/>
  <c r="C350" i="63" s="1"/>
  <c r="AO218" i="47"/>
  <c r="S218"/>
  <c r="E350" i="63" s="1"/>
  <c r="T218" i="47"/>
  <c r="F350" i="63" s="1"/>
  <c r="A350"/>
  <c r="AD14" i="47"/>
  <c r="E20" i="61" s="1"/>
  <c r="AC14" i="47"/>
  <c r="D20" i="61" s="1"/>
  <c r="AE14" i="47"/>
  <c r="AB14"/>
  <c r="C20" i="61" s="1"/>
  <c r="AF14" i="47"/>
  <c r="AQ14"/>
  <c r="B20" i="61"/>
  <c r="N257" i="47"/>
  <c r="AN257"/>
  <c r="AR257" s="1"/>
  <c r="M257"/>
  <c r="E257" s="1"/>
  <c r="K257"/>
  <c r="A97" i="63"/>
  <c r="B373" i="61"/>
  <c r="K103" i="47"/>
  <c r="N103"/>
  <c r="F97" i="63" s="1"/>
  <c r="M103" i="47"/>
  <c r="AN103"/>
  <c r="L103"/>
  <c r="J103"/>
  <c r="AF211"/>
  <c r="AD211"/>
  <c r="AB211"/>
  <c r="AE211"/>
  <c r="AQ211"/>
  <c r="AC211"/>
  <c r="T153"/>
  <c r="F285" i="63" s="1"/>
  <c r="A285"/>
  <c r="Q153" i="47"/>
  <c r="C285" i="63" s="1"/>
  <c r="S153" i="47"/>
  <c r="E285" i="63" s="1"/>
  <c r="AO153" i="47"/>
  <c r="M217"/>
  <c r="AN217"/>
  <c r="N217"/>
  <c r="K217"/>
  <c r="B260" i="61"/>
  <c r="AC74" i="47"/>
  <c r="D260" i="61" s="1"/>
  <c r="AD74" i="47"/>
  <c r="E260" i="61" s="1"/>
  <c r="AQ74" i="47"/>
  <c r="AF74"/>
  <c r="AB74"/>
  <c r="C260" i="61" s="1"/>
  <c r="AE74" i="47"/>
  <c r="AC131"/>
  <c r="D488" i="61" s="1"/>
  <c r="AE131" i="47"/>
  <c r="AQ131"/>
  <c r="AD131"/>
  <c r="E488" i="61" s="1"/>
  <c r="B488"/>
  <c r="AB131" i="47"/>
  <c r="C488" i="61" s="1"/>
  <c r="AF131" i="47"/>
  <c r="B39" i="61"/>
  <c r="Y19" i="47"/>
  <c r="AP19"/>
  <c r="W19"/>
  <c r="D39" i="61" s="1"/>
  <c r="Z19" i="47"/>
  <c r="AO96"/>
  <c r="A228" i="63"/>
  <c r="B346" i="61"/>
  <c r="T96" i="47"/>
  <c r="F228" i="63" s="1"/>
  <c r="S96" i="47"/>
  <c r="E228" i="63" s="1"/>
  <c r="Q96" i="47"/>
  <c r="J66"/>
  <c r="B225" i="61"/>
  <c r="A60" i="63"/>
  <c r="K66" i="47"/>
  <c r="L66"/>
  <c r="N66"/>
  <c r="F60" i="63" s="1"/>
  <c r="AN66" i="47"/>
  <c r="M66"/>
  <c r="B183" i="61"/>
  <c r="Y55" i="47"/>
  <c r="AP55"/>
  <c r="W55"/>
  <c r="D183" i="61" s="1"/>
  <c r="Z55" i="47"/>
  <c r="J101"/>
  <c r="L101"/>
  <c r="N101"/>
  <c r="F95" i="63" s="1"/>
  <c r="K101" i="47"/>
  <c r="AN101"/>
  <c r="B365" i="61"/>
  <c r="A95" i="63"/>
  <c r="M101" i="47"/>
  <c r="T104"/>
  <c r="F236" i="63" s="1"/>
  <c r="Q104" i="47"/>
  <c r="A236" i="63"/>
  <c r="B378" i="61"/>
  <c r="S104" i="47"/>
  <c r="E236" i="63" s="1"/>
  <c r="AO104" i="47"/>
  <c r="AN178"/>
  <c r="AR178" s="1"/>
  <c r="K178"/>
  <c r="M178"/>
  <c r="E178" s="1"/>
  <c r="N178"/>
  <c r="T17"/>
  <c r="F149" i="63" s="1"/>
  <c r="S17" i="47"/>
  <c r="E149" i="63" s="1"/>
  <c r="AO17" i="47"/>
  <c r="A149" i="63"/>
  <c r="B30" i="61"/>
  <c r="Q17" i="47"/>
  <c r="AP73"/>
  <c r="W73"/>
  <c r="D255" i="61" s="1"/>
  <c r="B255"/>
  <c r="Y73" i="47"/>
  <c r="Z73"/>
  <c r="Y81"/>
  <c r="W81"/>
  <c r="D287" i="61" s="1"/>
  <c r="B287"/>
  <c r="Z81" i="47"/>
  <c r="AP81"/>
  <c r="Q85"/>
  <c r="S85"/>
  <c r="E217" i="63" s="1"/>
  <c r="A217"/>
  <c r="T85" i="47"/>
  <c r="F217" i="63" s="1"/>
  <c r="AO85" i="47"/>
  <c r="B302" i="61"/>
  <c r="N135" i="47"/>
  <c r="F129" i="63" s="1"/>
  <c r="J135" i="47"/>
  <c r="M135"/>
  <c r="L135"/>
  <c r="B501" i="61"/>
  <c r="K135" i="47"/>
  <c r="AN135"/>
  <c r="A129" i="63"/>
  <c r="Z171" i="47"/>
  <c r="AP171"/>
  <c r="Y171"/>
  <c r="W171"/>
  <c r="W234"/>
  <c r="AP234"/>
  <c r="Y234"/>
  <c r="Z234"/>
  <c r="AQ221"/>
  <c r="AB221"/>
  <c r="AF221"/>
  <c r="AC221"/>
  <c r="AD221"/>
  <c r="AE221"/>
  <c r="AB112"/>
  <c r="C412" i="61" s="1"/>
  <c r="AC112" i="47"/>
  <c r="D412" i="61" s="1"/>
  <c r="AE112" i="47"/>
  <c r="B412" i="61"/>
  <c r="AF112" i="47"/>
  <c r="AD112"/>
  <c r="E412" i="61" s="1"/>
  <c r="AQ112" i="47"/>
  <c r="Z118"/>
  <c r="B435" i="61"/>
  <c r="W118" i="47"/>
  <c r="D435" i="61" s="1"/>
  <c r="Y118" i="47"/>
  <c r="AP118"/>
  <c r="N108"/>
  <c r="F102" i="63" s="1"/>
  <c r="K108" i="47"/>
  <c r="B393" i="61"/>
  <c r="L108" i="47"/>
  <c r="J108"/>
  <c r="M108"/>
  <c r="A102" i="63"/>
  <c r="AN108" i="47"/>
  <c r="T177"/>
  <c r="F309" i="63" s="1"/>
  <c r="A309"/>
  <c r="S177" i="47"/>
  <c r="E309" i="63" s="1"/>
  <c r="Q177" i="47"/>
  <c r="C309" i="63" s="1"/>
  <c r="AO177" i="47"/>
  <c r="AD43"/>
  <c r="E136" i="61" s="1"/>
  <c r="AC43" i="47"/>
  <c r="D136" i="61" s="1"/>
  <c r="AB43" i="47"/>
  <c r="C136" i="61" s="1"/>
  <c r="AQ43" i="47"/>
  <c r="B136" i="61"/>
  <c r="AF43" i="47"/>
  <c r="AE43"/>
  <c r="L30"/>
  <c r="J30"/>
  <c r="K30"/>
  <c r="A24" i="63"/>
  <c r="B81" i="61"/>
  <c r="N30" i="47"/>
  <c r="F24" i="63" s="1"/>
  <c r="AN30" i="47"/>
  <c r="M30"/>
  <c r="M167"/>
  <c r="N167"/>
  <c r="AN167"/>
  <c r="K167"/>
  <c r="T244"/>
  <c r="F376" i="63" s="1"/>
  <c r="A376"/>
  <c r="Q244" i="47"/>
  <c r="C376" i="63" s="1"/>
  <c r="S244" i="47"/>
  <c r="E376" i="63" s="1"/>
  <c r="AO244" i="47"/>
  <c r="Z155"/>
  <c r="W155"/>
  <c r="Y155"/>
  <c r="AP155"/>
  <c r="Y127"/>
  <c r="B471" i="61"/>
  <c r="Z127" i="47"/>
  <c r="W127"/>
  <c r="D471" i="61" s="1"/>
  <c r="AP127" i="47"/>
  <c r="N180"/>
  <c r="AN180"/>
  <c r="M180"/>
  <c r="E180" s="1"/>
  <c r="K180"/>
  <c r="K96"/>
  <c r="J96"/>
  <c r="L96"/>
  <c r="M96"/>
  <c r="N96"/>
  <c r="F90" i="63" s="1"/>
  <c r="A90"/>
  <c r="AN96" i="47"/>
  <c r="B345" i="61"/>
  <c r="AE23" i="47"/>
  <c r="AQ23"/>
  <c r="B56" i="61"/>
  <c r="AB23" i="47"/>
  <c r="C56" i="61" s="1"/>
  <c r="AD23" i="47"/>
  <c r="E56" i="61" s="1"/>
  <c r="AC23" i="47"/>
  <c r="D56" i="61" s="1"/>
  <c r="AF23" i="47"/>
  <c r="A304" i="63"/>
  <c r="Q172" i="47"/>
  <c r="C304" i="63" s="1"/>
  <c r="S172" i="47"/>
  <c r="E304" i="63" s="1"/>
  <c r="T172" i="47"/>
  <c r="F304" i="63" s="1"/>
  <c r="AO172" i="47"/>
  <c r="T62"/>
  <c r="F194" i="63" s="1"/>
  <c r="B210" i="61"/>
  <c r="AO62" i="47"/>
  <c r="Q62"/>
  <c r="S62"/>
  <c r="E194" i="63" s="1"/>
  <c r="A194"/>
  <c r="T148" i="47"/>
  <c r="F280" i="63" s="1"/>
  <c r="Q148" i="47"/>
  <c r="C280" i="63" s="1"/>
  <c r="A280"/>
  <c r="S148" i="47"/>
  <c r="E280" i="63" s="1"/>
  <c r="AO148" i="47"/>
  <c r="M221"/>
  <c r="N221"/>
  <c r="AN221"/>
  <c r="K221"/>
  <c r="AO11"/>
  <c r="A143" i="63"/>
  <c r="S11" i="47"/>
  <c r="E143" i="63" s="1"/>
  <c r="Q11" i="47"/>
  <c r="T11"/>
  <c r="F143" i="63" s="1"/>
  <c r="B6" i="61"/>
  <c r="K226" i="47"/>
  <c r="N226"/>
  <c r="M226"/>
  <c r="E226" s="1"/>
  <c r="AN226"/>
  <c r="AN251"/>
  <c r="AR251" s="1"/>
  <c r="K251"/>
  <c r="M251"/>
  <c r="E251" s="1"/>
  <c r="N251"/>
  <c r="S41"/>
  <c r="E173" i="63" s="1"/>
  <c r="T41" i="47"/>
  <c r="F173" i="63" s="1"/>
  <c r="Q41" i="47"/>
  <c r="AO41"/>
  <c r="A173" i="63"/>
  <c r="B126" i="61"/>
  <c r="S93" i="47"/>
  <c r="E225" i="63" s="1"/>
  <c r="B334" i="61"/>
  <c r="AO93" i="47"/>
  <c r="Q93"/>
  <c r="T93"/>
  <c r="F225" i="63" s="1"/>
  <c r="A225"/>
  <c r="AP49" i="47"/>
  <c r="W49"/>
  <c r="D159" i="61" s="1"/>
  <c r="Z49" i="47"/>
  <c r="B159" i="61"/>
  <c r="Y49" i="47"/>
  <c r="AD263"/>
  <c r="AF263"/>
  <c r="AB263"/>
  <c r="AE263"/>
  <c r="AQ263"/>
  <c r="AC263"/>
  <c r="AC125"/>
  <c r="D464" i="61" s="1"/>
  <c r="AQ125" i="47"/>
  <c r="AB125"/>
  <c r="C464" i="61" s="1"/>
  <c r="B464"/>
  <c r="AF125" i="47"/>
  <c r="AE125"/>
  <c r="AD125"/>
  <c r="E464" i="61" s="1"/>
  <c r="W253" i="47"/>
  <c r="AP253"/>
  <c r="Z253"/>
  <c r="Y253"/>
  <c r="AE79"/>
  <c r="AD79"/>
  <c r="E280" i="61" s="1"/>
  <c r="AF79" i="47"/>
  <c r="AC79"/>
  <c r="D280" i="61" s="1"/>
  <c r="B280"/>
  <c r="AB79" i="47"/>
  <c r="C280" i="61" s="1"/>
  <c r="AQ79" i="47"/>
  <c r="AF169"/>
  <c r="AE169"/>
  <c r="AC169"/>
  <c r="AD169"/>
  <c r="AB169"/>
  <c r="AQ169"/>
  <c r="M171"/>
  <c r="AN171"/>
  <c r="K171"/>
  <c r="N171"/>
  <c r="AQ218"/>
  <c r="AE218"/>
  <c r="AC218"/>
  <c r="AF218"/>
  <c r="AD218"/>
  <c r="AB218"/>
  <c r="Z46"/>
  <c r="Y46"/>
  <c r="B147" i="61"/>
  <c r="W46" i="47"/>
  <c r="D147" i="61" s="1"/>
  <c r="AP46" i="47"/>
  <c r="AP107"/>
  <c r="Y107"/>
  <c r="W107"/>
  <c r="D391" i="61" s="1"/>
  <c r="Z107" i="47"/>
  <c r="B391" i="61"/>
  <c r="AD20" i="47"/>
  <c r="E44" i="61" s="1"/>
  <c r="AE20" i="47"/>
  <c r="AC20"/>
  <c r="D44" i="61" s="1"/>
  <c r="AF20" i="47"/>
  <c r="AB20"/>
  <c r="C44" i="61" s="1"/>
  <c r="AQ20" i="47"/>
  <c r="B44" i="61"/>
  <c r="AO227" i="47"/>
  <c r="T227"/>
  <c r="F359" i="63" s="1"/>
  <c r="Q227" i="47"/>
  <c r="C359" i="63" s="1"/>
  <c r="S227" i="47"/>
  <c r="E359" i="63" s="1"/>
  <c r="A359"/>
  <c r="AB50" i="47"/>
  <c r="C164" i="61" s="1"/>
  <c r="AQ50" i="47"/>
  <c r="B164" i="61"/>
  <c r="AD50" i="47"/>
  <c r="E164" i="61" s="1"/>
  <c r="AC50" i="47"/>
  <c r="D164" i="61" s="1"/>
  <c r="AF50" i="47"/>
  <c r="AE50"/>
  <c r="N112"/>
  <c r="F106" i="63" s="1"/>
  <c r="J112" i="47"/>
  <c r="L112"/>
  <c r="A106" i="63"/>
  <c r="K112" i="47"/>
  <c r="AN112"/>
  <c r="AR112" s="1"/>
  <c r="B409" i="61"/>
  <c r="M112" i="47"/>
  <c r="AO99"/>
  <c r="T99"/>
  <c r="F231" i="63" s="1"/>
  <c r="A231"/>
  <c r="S99" i="47"/>
  <c r="E231" i="63" s="1"/>
  <c r="Q99" i="47"/>
  <c r="B358" i="61"/>
  <c r="T76" i="47"/>
  <c r="F208" i="63" s="1"/>
  <c r="S76" i="47"/>
  <c r="E208" i="63" s="1"/>
  <c r="AO76" i="47"/>
  <c r="Q76"/>
  <c r="B266" i="61"/>
  <c r="A208" i="63"/>
  <c r="A174"/>
  <c r="Q42" i="47"/>
  <c r="T42"/>
  <c r="F174" i="63" s="1"/>
  <c r="B130" i="61"/>
  <c r="AO42" i="47"/>
  <c r="S42"/>
  <c r="E174" i="63" s="1"/>
  <c r="AQ36" i="47"/>
  <c r="AB36"/>
  <c r="C108" i="61" s="1"/>
  <c r="AF36" i="47"/>
  <c r="AC36"/>
  <c r="D108" i="61" s="1"/>
  <c r="B108"/>
  <c r="AD36" i="47"/>
  <c r="E108" i="61" s="1"/>
  <c r="AE36" i="47"/>
  <c r="AC152"/>
  <c r="AE152"/>
  <c r="AF152"/>
  <c r="AQ152"/>
  <c r="AB152"/>
  <c r="AD152"/>
  <c r="Q58"/>
  <c r="S58"/>
  <c r="E190" i="63" s="1"/>
  <c r="A190"/>
  <c r="T58" i="47"/>
  <c r="F190" i="63" s="1"/>
  <c r="AO58" i="47"/>
  <c r="B194" i="61"/>
  <c r="A205" i="63"/>
  <c r="B254" i="61"/>
  <c r="S73" i="47"/>
  <c r="E205" i="63" s="1"/>
  <c r="AO73" i="47"/>
  <c r="T73"/>
  <c r="F205" i="63" s="1"/>
  <c r="Q73" i="47"/>
  <c r="AQ216"/>
  <c r="AD216"/>
  <c r="AE216"/>
  <c r="AF216"/>
  <c r="AB216"/>
  <c r="AC216"/>
  <c r="AO88"/>
  <c r="A220" i="63"/>
  <c r="B314" i="61"/>
  <c r="Q88" i="47"/>
  <c r="S88"/>
  <c r="E220" i="63" s="1"/>
  <c r="T88" i="47"/>
  <c r="F220" i="63" s="1"/>
  <c r="AC49" i="47"/>
  <c r="D160" i="61" s="1"/>
  <c r="AB49" i="47"/>
  <c r="C160" i="61" s="1"/>
  <c r="AE49" i="47"/>
  <c r="AD49"/>
  <c r="E160" i="61" s="1"/>
  <c r="AF49" i="47"/>
  <c r="AQ49"/>
  <c r="B160" i="61"/>
  <c r="AC98" i="47"/>
  <c r="D356" i="61" s="1"/>
  <c r="AE98" i="47"/>
  <c r="B356" i="61"/>
  <c r="AD98" i="47"/>
  <c r="E356" i="61" s="1"/>
  <c r="AF98" i="47"/>
  <c r="AB98"/>
  <c r="C356" i="61" s="1"/>
  <c r="AQ98" i="47"/>
  <c r="AQ154"/>
  <c r="AF154"/>
  <c r="AB154"/>
  <c r="AD154"/>
  <c r="AC154"/>
  <c r="AE154"/>
  <c r="AP62"/>
  <c r="Y62"/>
  <c r="W62"/>
  <c r="D211" i="61" s="1"/>
  <c r="Z62" i="47"/>
  <c r="B211" i="61"/>
  <c r="AN33" i="47"/>
  <c r="K33"/>
  <c r="A27" i="63"/>
  <c r="M33" i="47"/>
  <c r="N33"/>
  <c r="F27" i="63" s="1"/>
  <c r="L33" i="47"/>
  <c r="J33"/>
  <c r="B93" i="61"/>
  <c r="W163" i="47"/>
  <c r="Z163"/>
  <c r="AP163"/>
  <c r="Y163"/>
  <c r="AF142"/>
  <c r="AC142"/>
  <c r="AB142"/>
  <c r="AD142"/>
  <c r="AQ142"/>
  <c r="AE142"/>
  <c r="AF180"/>
  <c r="AB180"/>
  <c r="AC180"/>
  <c r="AE180"/>
  <c r="AD180"/>
  <c r="AQ180"/>
  <c r="A51" i="63"/>
  <c r="M57" i="47"/>
  <c r="N57"/>
  <c r="F51" i="63" s="1"/>
  <c r="B189" i="61"/>
  <c r="AN57" i="47"/>
  <c r="K57"/>
  <c r="J57"/>
  <c r="L57"/>
  <c r="W177"/>
  <c r="AP177"/>
  <c r="Y177"/>
  <c r="Z177"/>
  <c r="B437" i="61"/>
  <c r="AN119" i="47"/>
  <c r="N119"/>
  <c r="F113" i="63" s="1"/>
  <c r="L119" i="47"/>
  <c r="M119"/>
  <c r="K119"/>
  <c r="J119"/>
  <c r="A113" i="63"/>
  <c r="AB47" i="47"/>
  <c r="C152" i="61" s="1"/>
  <c r="B152"/>
  <c r="AE47" i="47"/>
  <c r="AD47"/>
  <c r="E152" i="61" s="1"/>
  <c r="AF47" i="47"/>
  <c r="AQ47"/>
  <c r="AC47"/>
  <c r="D152" i="61" s="1"/>
  <c r="M197" i="47"/>
  <c r="N197"/>
  <c r="AN197"/>
  <c r="K197"/>
  <c r="Y60"/>
  <c r="AP60"/>
  <c r="Z60"/>
  <c r="W60"/>
  <c r="D203" i="61" s="1"/>
  <c r="B203"/>
  <c r="AO120" i="47"/>
  <c r="A252" i="63"/>
  <c r="S120" i="47"/>
  <c r="E252" i="63" s="1"/>
  <c r="T120" i="47"/>
  <c r="F252" i="63" s="1"/>
  <c r="Q120" i="47"/>
  <c r="B442" i="61"/>
  <c r="AE19" i="47"/>
  <c r="AF19"/>
  <c r="B40" i="61"/>
  <c r="AC19" i="47"/>
  <c r="D40" i="61" s="1"/>
  <c r="AB19" i="47"/>
  <c r="C40" i="61" s="1"/>
  <c r="AD19" i="47"/>
  <c r="E40" i="61" s="1"/>
  <c r="AQ19" i="47"/>
  <c r="T256"/>
  <c r="F388" i="63" s="1"/>
  <c r="A388"/>
  <c r="S256" i="47"/>
  <c r="E388" i="63" s="1"/>
  <c r="AO256" i="47"/>
  <c r="Q256"/>
  <c r="C388" i="63" s="1"/>
  <c r="B82" i="61"/>
  <c r="S30" i="47"/>
  <c r="E162" i="63" s="1"/>
  <c r="T30" i="47"/>
  <c r="F162" i="63" s="1"/>
  <c r="Q30" i="47"/>
  <c r="A162" i="63"/>
  <c r="AO30" i="47"/>
  <c r="A255" i="63"/>
  <c r="AO123" i="47"/>
  <c r="B454" i="61"/>
  <c r="S123" i="47"/>
  <c r="E255" i="63" s="1"/>
  <c r="Q123" i="47"/>
  <c r="T123"/>
  <c r="F255" i="63" s="1"/>
  <c r="S189" i="47"/>
  <c r="E321" i="63" s="1"/>
  <c r="Q189" i="47"/>
  <c r="C321" i="63" s="1"/>
  <c r="AO189" i="47"/>
  <c r="T189"/>
  <c r="F321" i="63" s="1"/>
  <c r="A321"/>
  <c r="AF107" i="47"/>
  <c r="AD107"/>
  <c r="E392" i="61" s="1"/>
  <c r="AQ107" i="47"/>
  <c r="AE107"/>
  <c r="AB107"/>
  <c r="C392" i="61" s="1"/>
  <c r="AC107" i="47"/>
  <c r="D392" i="61" s="1"/>
  <c r="B392"/>
  <c r="AN239" i="47"/>
  <c r="N239"/>
  <c r="M239"/>
  <c r="K239"/>
  <c r="AN183"/>
  <c r="AR183" s="1"/>
  <c r="K183"/>
  <c r="M183"/>
  <c r="E183" s="1"/>
  <c r="N183"/>
  <c r="AN162"/>
  <c r="K162"/>
  <c r="N162"/>
  <c r="M162"/>
  <c r="A290" i="63"/>
  <c r="S158" i="47"/>
  <c r="E290" i="63" s="1"/>
  <c r="Q158" i="47"/>
  <c r="C290" i="63" s="1"/>
  <c r="T158" i="47"/>
  <c r="F290" i="63" s="1"/>
  <c r="AO158" i="47"/>
  <c r="AF159"/>
  <c r="AE159"/>
  <c r="AB159"/>
  <c r="AQ159"/>
  <c r="AD159"/>
  <c r="AC159"/>
  <c r="J23"/>
  <c r="M23"/>
  <c r="L23"/>
  <c r="AN23"/>
  <c r="K23"/>
  <c r="N23"/>
  <c r="F17" i="63" s="1"/>
  <c r="A17"/>
  <c r="B53" i="61"/>
  <c r="T124" i="47"/>
  <c r="F256" i="63" s="1"/>
  <c r="A256"/>
  <c r="AO124" i="47"/>
  <c r="S124"/>
  <c r="E256" i="63" s="1"/>
  <c r="Q124" i="47"/>
  <c r="B458" i="61"/>
  <c r="AB42" i="47"/>
  <c r="C132" i="61" s="1"/>
  <c r="AD42" i="47"/>
  <c r="E132" i="61" s="1"/>
  <c r="AF42" i="47"/>
  <c r="AQ42"/>
  <c r="AC42"/>
  <c r="D132" i="61" s="1"/>
  <c r="AE42" i="47"/>
  <c r="B132" i="61"/>
  <c r="N235" i="47"/>
  <c r="M235"/>
  <c r="E235" s="1"/>
  <c r="AN235"/>
  <c r="K235"/>
  <c r="L139"/>
  <c r="D133" i="63" s="1"/>
  <c r="K139" i="47"/>
  <c r="C133" i="63" s="1"/>
  <c r="AN139" i="47"/>
  <c r="N139"/>
  <c r="F133" i="63" s="1"/>
  <c r="M139" i="47"/>
  <c r="A133" i="63"/>
  <c r="J139" i="47"/>
  <c r="A229" i="63"/>
  <c r="B350" i="61"/>
  <c r="AO97" i="47"/>
  <c r="T97"/>
  <c r="F229" i="63" s="1"/>
  <c r="S97" i="47"/>
  <c r="E229" i="63" s="1"/>
  <c r="Q97" i="47"/>
  <c r="AP129"/>
  <c r="Z129"/>
  <c r="B479" i="61"/>
  <c r="Y129" i="47"/>
  <c r="W129"/>
  <c r="D479" i="61" s="1"/>
  <c r="B167"/>
  <c r="Y51" i="47"/>
  <c r="AP51"/>
  <c r="W51"/>
  <c r="D167" i="61" s="1"/>
  <c r="Z51" i="47"/>
  <c r="M174"/>
  <c r="AN174"/>
  <c r="K174"/>
  <c r="N174"/>
  <c r="AN113"/>
  <c r="AR113" s="1"/>
  <c r="M113"/>
  <c r="K113"/>
  <c r="A107" i="63"/>
  <c r="L113" i="47"/>
  <c r="J113"/>
  <c r="N113"/>
  <c r="F107" i="63" s="1"/>
  <c r="B413" i="61"/>
  <c r="S162" i="47"/>
  <c r="E294" i="63" s="1"/>
  <c r="AO162" i="47"/>
  <c r="Q162"/>
  <c r="C294" i="63" s="1"/>
  <c r="T162" i="47"/>
  <c r="F294" i="63" s="1"/>
  <c r="A294"/>
  <c r="N149" i="47"/>
  <c r="AN149"/>
  <c r="L149"/>
  <c r="K149"/>
  <c r="J149"/>
  <c r="M149"/>
  <c r="AN86"/>
  <c r="M86"/>
  <c r="B305" i="61"/>
  <c r="L86" i="47"/>
  <c r="K86"/>
  <c r="N86"/>
  <c r="F80" i="63" s="1"/>
  <c r="J86" i="47"/>
  <c r="A80" i="63"/>
  <c r="Z33" i="47"/>
  <c r="B95" i="61"/>
  <c r="Y33" i="47"/>
  <c r="W33"/>
  <c r="D95" i="61" s="1"/>
  <c r="AP33" i="47"/>
  <c r="AB78"/>
  <c r="C276" i="61" s="1"/>
  <c r="AE78" i="47"/>
  <c r="AF78"/>
  <c r="B276" i="61"/>
  <c r="AD78" i="47"/>
  <c r="E276" i="61" s="1"/>
  <c r="AC78" i="47"/>
  <c r="D276" i="61" s="1"/>
  <c r="AQ78" i="47"/>
  <c r="AP219"/>
  <c r="Z219"/>
  <c r="W219"/>
  <c r="Y219"/>
  <c r="T107"/>
  <c r="F239" i="63" s="1"/>
  <c r="Q107" i="47"/>
  <c r="A239" i="63"/>
  <c r="S107" i="47"/>
  <c r="E239" i="63" s="1"/>
  <c r="B390" i="61"/>
  <c r="AO107" i="47"/>
  <c r="S35"/>
  <c r="E167" i="63" s="1"/>
  <c r="AO35" i="47"/>
  <c r="B102" i="61"/>
  <c r="Q35" i="47"/>
  <c r="T35"/>
  <c r="F167" i="63" s="1"/>
  <c r="A167"/>
  <c r="AD219" i="47"/>
  <c r="AQ219"/>
  <c r="AB219"/>
  <c r="AC219"/>
  <c r="AE219"/>
  <c r="AF219"/>
  <c r="B24" i="61"/>
  <c r="AC15" i="47"/>
  <c r="D24" i="61" s="1"/>
  <c r="AE15" i="47"/>
  <c r="AD15"/>
  <c r="E24" i="61" s="1"/>
  <c r="AB15" i="47"/>
  <c r="C24" i="61" s="1"/>
  <c r="AF15" i="47"/>
  <c r="AQ15"/>
  <c r="N253"/>
  <c r="M253"/>
  <c r="K253"/>
  <c r="AN253"/>
  <c r="W166"/>
  <c r="Z166"/>
  <c r="AP166"/>
  <c r="Y166"/>
  <c r="AP174"/>
  <c r="Y174"/>
  <c r="Z174"/>
  <c r="W174"/>
  <c r="B486" i="61"/>
  <c r="A263" i="63"/>
  <c r="S131" i="47"/>
  <c r="E263" i="63" s="1"/>
  <c r="AO131" i="47"/>
  <c r="T131"/>
  <c r="F263" i="63" s="1"/>
  <c r="Q131" i="47"/>
  <c r="AE232"/>
  <c r="AB232"/>
  <c r="AC232"/>
  <c r="AD232"/>
  <c r="AF232"/>
  <c r="AQ232"/>
  <c r="Q253"/>
  <c r="C385" i="63" s="1"/>
  <c r="S253" i="47"/>
  <c r="E385" i="63" s="1"/>
  <c r="T253" i="47"/>
  <c r="F385" i="63" s="1"/>
  <c r="AO253" i="47"/>
  <c r="A385" i="63"/>
  <c r="AQ56" i="47"/>
  <c r="AE56"/>
  <c r="AD56"/>
  <c r="E188" i="61" s="1"/>
  <c r="B188"/>
  <c r="AC56" i="47"/>
  <c r="D188" i="61" s="1"/>
  <c r="AB56" i="47"/>
  <c r="C188" i="61" s="1"/>
  <c r="AF56" i="47"/>
  <c r="B483" i="61"/>
  <c r="W130" i="47"/>
  <c r="D483" i="61" s="1"/>
  <c r="Y130" i="47"/>
  <c r="Z130"/>
  <c r="AP130"/>
  <c r="N99"/>
  <c r="F93" i="63" s="1"/>
  <c r="M99" i="47"/>
  <c r="J99"/>
  <c r="AN99"/>
  <c r="AR99" s="1"/>
  <c r="K99"/>
  <c r="A93" i="63"/>
  <c r="L99" i="47"/>
  <c r="B357" i="61"/>
  <c r="A110" i="63"/>
  <c r="AN116" i="47"/>
  <c r="K116"/>
  <c r="N116"/>
  <c r="F110" i="63" s="1"/>
  <c r="M116" i="47"/>
  <c r="B425" i="61"/>
  <c r="J116" i="47"/>
  <c r="L116"/>
  <c r="W247"/>
  <c r="Z247"/>
  <c r="Y247"/>
  <c r="AP247"/>
  <c r="Z96"/>
  <c r="B347" i="61"/>
  <c r="W96" i="47"/>
  <c r="D347" i="61" s="1"/>
  <c r="Y96" i="47"/>
  <c r="AP96"/>
  <c r="AB57"/>
  <c r="C192" i="61" s="1"/>
  <c r="AE57" i="47"/>
  <c r="AD57"/>
  <c r="E192" i="61" s="1"/>
  <c r="AF57" i="47"/>
  <c r="B192" i="61"/>
  <c r="AC57" i="47"/>
  <c r="D192" i="61" s="1"/>
  <c r="AQ57" i="47"/>
  <c r="Z159"/>
  <c r="W159"/>
  <c r="AP159"/>
  <c r="Y159"/>
  <c r="AQ171"/>
  <c r="AB171"/>
  <c r="AF171"/>
  <c r="AD171"/>
  <c r="AE171"/>
  <c r="AC171"/>
  <c r="AP82"/>
  <c r="W82"/>
  <c r="D291" i="61" s="1"/>
  <c r="Y82" i="47"/>
  <c r="B291" i="61"/>
  <c r="Z82" i="47"/>
  <c r="B85" i="61"/>
  <c r="N31" i="47"/>
  <c r="F25" i="63" s="1"/>
  <c r="AN31" i="47"/>
  <c r="L31"/>
  <c r="A25" i="63"/>
  <c r="K31" i="47"/>
  <c r="M31"/>
  <c r="J31"/>
  <c r="A267" i="63"/>
  <c r="S135" i="47"/>
  <c r="E267" i="63" s="1"/>
  <c r="T135" i="47"/>
  <c r="F267" i="63" s="1"/>
  <c r="AO135" i="47"/>
  <c r="B502" i="61"/>
  <c r="Q135" i="47"/>
  <c r="N224"/>
  <c r="K224"/>
  <c r="M224"/>
  <c r="E224" s="1"/>
  <c r="AN224"/>
  <c r="T171"/>
  <c r="F303" i="63" s="1"/>
  <c r="S171" i="47"/>
  <c r="E303" i="63" s="1"/>
  <c r="Q171" i="47"/>
  <c r="C303" i="63" s="1"/>
  <c r="AO171" i="47"/>
  <c r="A303" i="63"/>
  <c r="N194" i="47"/>
  <c r="M194"/>
  <c r="AN194"/>
  <c r="K194"/>
  <c r="B332" i="61"/>
  <c r="AD92" i="47"/>
  <c r="E332" i="61" s="1"/>
  <c r="AB92" i="47"/>
  <c r="C332" i="61" s="1"/>
  <c r="AQ92" i="47"/>
  <c r="AE92"/>
  <c r="AC92"/>
  <c r="D332" i="61" s="1"/>
  <c r="AF92" i="47"/>
  <c r="B343" i="61"/>
  <c r="W95" i="47"/>
  <c r="D343" i="61" s="1"/>
  <c r="Y95" i="47"/>
  <c r="AP95"/>
  <c r="Z95"/>
  <c r="Z236"/>
  <c r="Y236"/>
  <c r="W236"/>
  <c r="AP236"/>
  <c r="AF64"/>
  <c r="AQ64"/>
  <c r="AC64"/>
  <c r="D220" i="61" s="1"/>
  <c r="AB64" i="47"/>
  <c r="C220" i="61" s="1"/>
  <c r="B220"/>
  <c r="AD64" i="47"/>
  <c r="E220" i="61" s="1"/>
  <c r="AE64" i="47"/>
  <c r="A71" i="63"/>
  <c r="L77" i="47"/>
  <c r="AN77"/>
  <c r="B269" i="61"/>
  <c r="K77" i="47"/>
  <c r="N77"/>
  <c r="F71" i="63" s="1"/>
  <c r="M77" i="47"/>
  <c r="J77"/>
  <c r="Y195"/>
  <c r="Z195"/>
  <c r="W195"/>
  <c r="AP195"/>
  <c r="T168"/>
  <c r="F300" i="63" s="1"/>
  <c r="Q168" i="47"/>
  <c r="C300" i="63" s="1"/>
  <c r="A300"/>
  <c r="AO168" i="47"/>
  <c r="S168"/>
  <c r="E300" i="63" s="1"/>
  <c r="A35"/>
  <c r="B125" i="61"/>
  <c r="L41" i="47"/>
  <c r="K41"/>
  <c r="J41"/>
  <c r="N41"/>
  <c r="F35" i="63" s="1"/>
  <c r="AN41" i="47"/>
  <c r="M41"/>
  <c r="B128" i="61"/>
  <c r="AF41" i="47"/>
  <c r="AB41"/>
  <c r="C128" i="61" s="1"/>
  <c r="AQ41" i="47"/>
  <c r="AC41"/>
  <c r="D128" i="61" s="1"/>
  <c r="AD41" i="47"/>
  <c r="E128" i="61" s="1"/>
  <c r="AE41" i="47"/>
  <c r="N94"/>
  <c r="F88" i="63" s="1"/>
  <c r="J94" i="47"/>
  <c r="M94"/>
  <c r="B337" i="61"/>
  <c r="L94" i="47"/>
  <c r="AN94"/>
  <c r="K94"/>
  <c r="A88" i="63"/>
  <c r="AE184" i="47"/>
  <c r="AB184"/>
  <c r="AC184"/>
  <c r="AQ184"/>
  <c r="AF184"/>
  <c r="AD184"/>
  <c r="AN190"/>
  <c r="N190"/>
  <c r="M190"/>
  <c r="K190"/>
  <c r="N234"/>
  <c r="M234"/>
  <c r="AN234"/>
  <c r="K234"/>
  <c r="AF22"/>
  <c r="AB22"/>
  <c r="C52" i="61" s="1"/>
  <c r="AE22" i="47"/>
  <c r="B52" i="61"/>
  <c r="AC22" i="47"/>
  <c r="D52" i="61" s="1"/>
  <c r="AQ22" i="47"/>
  <c r="AD22"/>
  <c r="E52" i="61" s="1"/>
  <c r="M256" i="47"/>
  <c r="E256" s="1"/>
  <c r="AN256"/>
  <c r="AR256" s="1"/>
  <c r="N256"/>
  <c r="K256"/>
  <c r="AD155"/>
  <c r="AB155"/>
  <c r="AE155"/>
  <c r="AF155"/>
  <c r="AQ155"/>
  <c r="AC155"/>
  <c r="S186"/>
  <c r="E318" i="63" s="1"/>
  <c r="Q186" i="47"/>
  <c r="C318" i="63" s="1"/>
  <c r="A318"/>
  <c r="T186" i="47"/>
  <c r="F318" i="63" s="1"/>
  <c r="AO186" i="47"/>
  <c r="AF226"/>
  <c r="AB226"/>
  <c r="AQ226"/>
  <c r="AD226"/>
  <c r="AE226"/>
  <c r="AC226"/>
  <c r="W59"/>
  <c r="D199" i="61" s="1"/>
  <c r="Y59" i="47"/>
  <c r="AP59"/>
  <c r="Z59"/>
  <c r="B199" i="61"/>
  <c r="AN16" i="47"/>
  <c r="N16"/>
  <c r="F10" i="63" s="1"/>
  <c r="A10"/>
  <c r="J16" i="47"/>
  <c r="K16"/>
  <c r="L16"/>
  <c r="B25" i="61"/>
  <c r="M16" i="47"/>
  <c r="T169"/>
  <c r="F301" i="63" s="1"/>
  <c r="S169" i="47"/>
  <c r="E301" i="63" s="1"/>
  <c r="Q169" i="47"/>
  <c r="C301" i="63" s="1"/>
  <c r="A301"/>
  <c r="AO169" i="47"/>
  <c r="K236"/>
  <c r="M236"/>
  <c r="N236"/>
  <c r="AN236"/>
  <c r="Z162"/>
  <c r="W162"/>
  <c r="AP162"/>
  <c r="Y162"/>
  <c r="B402" i="61"/>
  <c r="S110" i="47"/>
  <c r="E242" i="63" s="1"/>
  <c r="A242"/>
  <c r="AO110" i="47"/>
  <c r="T110"/>
  <c r="F242" i="63" s="1"/>
  <c r="Q110" i="47"/>
  <c r="AF215"/>
  <c r="AD215"/>
  <c r="AE215"/>
  <c r="AQ215"/>
  <c r="AC215"/>
  <c r="AB215"/>
  <c r="AD97"/>
  <c r="E352" i="61" s="1"/>
  <c r="AB97" i="47"/>
  <c r="C352" i="61" s="1"/>
  <c r="AE97" i="47"/>
  <c r="AC97"/>
  <c r="D352" i="61" s="1"/>
  <c r="B352"/>
  <c r="AQ97" i="47"/>
  <c r="AF97"/>
  <c r="T33"/>
  <c r="F165" i="63" s="1"/>
  <c r="S33" i="47"/>
  <c r="E165" i="63" s="1"/>
  <c r="A165"/>
  <c r="B94" i="61"/>
  <c r="AO33" i="47"/>
  <c r="Q33"/>
  <c r="A363" i="63"/>
  <c r="T231" i="47"/>
  <c r="F363" i="63" s="1"/>
  <c r="AO231" i="47"/>
  <c r="S231"/>
  <c r="E363" i="63" s="1"/>
  <c r="Q231" i="47"/>
  <c r="C363" i="63" s="1"/>
  <c r="AP136" i="47"/>
  <c r="B507" i="61"/>
  <c r="W136" i="47"/>
  <c r="D507" i="61" s="1"/>
  <c r="Z136" i="47"/>
  <c r="Y136"/>
  <c r="Z168"/>
  <c r="Y168"/>
  <c r="AP168"/>
  <c r="W168"/>
  <c r="AF93"/>
  <c r="AE93"/>
  <c r="AB93"/>
  <c r="C336" i="61" s="1"/>
  <c r="AC93" i="47"/>
  <c r="D336" i="61" s="1"/>
  <c r="AQ93" i="47"/>
  <c r="AD93"/>
  <c r="E336" i="61" s="1"/>
  <c r="B336"/>
  <c r="B462"/>
  <c r="S125" i="47"/>
  <c r="E257" i="63" s="1"/>
  <c r="AO125" i="47"/>
  <c r="T125"/>
  <c r="F257" i="63" s="1"/>
  <c r="Q125" i="47"/>
  <c r="A257" i="63"/>
  <c r="W222" i="47"/>
  <c r="AP222"/>
  <c r="Y222"/>
  <c r="Z222"/>
  <c r="W47"/>
  <c r="D151" i="61" s="1"/>
  <c r="Z47" i="47"/>
  <c r="AP47"/>
  <c r="Y47"/>
  <c r="B151" i="61"/>
  <c r="AP203" i="47"/>
  <c r="Y203"/>
  <c r="W203"/>
  <c r="Z203"/>
  <c r="AE65"/>
  <c r="AB65"/>
  <c r="C224" i="61" s="1"/>
  <c r="AD65" i="47"/>
  <c r="E224" i="61" s="1"/>
  <c r="AC65" i="47"/>
  <c r="D224" i="61" s="1"/>
  <c r="AQ65" i="47"/>
  <c r="AF65"/>
  <c r="B224" i="61"/>
  <c r="Z38" i="47"/>
  <c r="AP38"/>
  <c r="Y38"/>
  <c r="W38"/>
  <c r="D115" i="61" s="1"/>
  <c r="B115"/>
  <c r="AD132" i="47"/>
  <c r="E492" i="61" s="1"/>
  <c r="AF132" i="47"/>
  <c r="AQ132"/>
  <c r="B492" i="61"/>
  <c r="AE132" i="47"/>
  <c r="AC132"/>
  <c r="D492" i="61" s="1"/>
  <c r="AB132" i="47"/>
  <c r="C492" i="61" s="1"/>
  <c r="AQ240" i="47"/>
  <c r="AC240"/>
  <c r="AB240"/>
  <c r="AD240"/>
  <c r="AE240"/>
  <c r="AF240"/>
  <c r="M237"/>
  <c r="E237" s="1"/>
  <c r="K237"/>
  <c r="N237"/>
  <c r="AN237"/>
  <c r="AR237" s="1"/>
  <c r="A241" i="63"/>
  <c r="AO109" i="47"/>
  <c r="T109"/>
  <c r="F241" i="63" s="1"/>
  <c r="Q109" i="47"/>
  <c r="S109"/>
  <c r="E241" i="63" s="1"/>
  <c r="B398" i="61"/>
  <c r="AN249" i="47"/>
  <c r="K249"/>
  <c r="M249"/>
  <c r="N249"/>
  <c r="AQ254"/>
  <c r="AB254"/>
  <c r="AF254"/>
  <c r="AD254"/>
  <c r="AE254"/>
  <c r="AC254"/>
  <c r="S52"/>
  <c r="E184" i="63" s="1"/>
  <c r="Q52" i="47"/>
  <c r="A184" i="63"/>
  <c r="AO52" i="47"/>
  <c r="T52"/>
  <c r="F184" i="63" s="1"/>
  <c r="B170" i="61"/>
  <c r="AE260" i="47"/>
  <c r="AF260"/>
  <c r="AC260"/>
  <c r="AB260"/>
  <c r="AQ260"/>
  <c r="AD260"/>
  <c r="M136"/>
  <c r="K136"/>
  <c r="A130" i="63"/>
  <c r="N136" i="47"/>
  <c r="F130" i="63" s="1"/>
  <c r="B505" i="61"/>
  <c r="J136" i="47"/>
  <c r="L136"/>
  <c r="AN136"/>
  <c r="AQ122"/>
  <c r="AE122"/>
  <c r="AC122"/>
  <c r="D452" i="61" s="1"/>
  <c r="AB122" i="47"/>
  <c r="C452" i="61" s="1"/>
  <c r="AF122" i="47"/>
  <c r="AD122"/>
  <c r="E452" i="61" s="1"/>
  <c r="B452"/>
  <c r="K109" i="47"/>
  <c r="B397" i="61"/>
  <c r="J109" i="47"/>
  <c r="M109"/>
  <c r="N109"/>
  <c r="F103" i="63" s="1"/>
  <c r="AN109" i="47"/>
  <c r="A103" i="63"/>
  <c r="L109" i="47"/>
  <c r="AB94"/>
  <c r="C340" i="61" s="1"/>
  <c r="AD94" i="47"/>
  <c r="E340" i="61" s="1"/>
  <c r="AF94" i="47"/>
  <c r="AE94"/>
  <c r="AC94"/>
  <c r="D340" i="61" s="1"/>
  <c r="AQ94" i="47"/>
  <c r="B340" i="61"/>
  <c r="Y202" i="47"/>
  <c r="W202"/>
  <c r="Z202"/>
  <c r="AP202"/>
  <c r="B366" i="61"/>
  <c r="Q101" i="47"/>
  <c r="T101"/>
  <c r="F233" i="63" s="1"/>
  <c r="S101" i="47"/>
  <c r="E233" i="63" s="1"/>
  <c r="AO101" i="47"/>
  <c r="A233" i="63"/>
  <c r="Y141" i="47"/>
  <c r="AP141"/>
  <c r="Z141"/>
  <c r="W141"/>
  <c r="W250"/>
  <c r="Y250"/>
  <c r="Z250"/>
  <c r="AP250"/>
  <c r="A72" i="63"/>
  <c r="AN78" i="47"/>
  <c r="B273" i="61"/>
  <c r="M78" i="47"/>
  <c r="N78"/>
  <c r="F72" i="63" s="1"/>
  <c r="L78" i="47"/>
  <c r="K78"/>
  <c r="J78"/>
  <c r="AP243"/>
  <c r="Z243"/>
  <c r="Y243"/>
  <c r="W243"/>
  <c r="AD206"/>
  <c r="AB206"/>
  <c r="AF206"/>
  <c r="AE206"/>
  <c r="AQ206"/>
  <c r="AC206"/>
  <c r="S150"/>
  <c r="E282" i="63" s="1"/>
  <c r="T150" i="47"/>
  <c r="F282" i="63" s="1"/>
  <c r="A282"/>
  <c r="Q150" i="47"/>
  <c r="C282" i="63" s="1"/>
  <c r="AO150" i="47"/>
  <c r="AQ16"/>
  <c r="AC16"/>
  <c r="D28" i="61" s="1"/>
  <c r="B28"/>
  <c r="AD16" i="47"/>
  <c r="E28" i="61" s="1"/>
  <c r="AB16" i="47"/>
  <c r="C28" i="61" s="1"/>
  <c r="AE16" i="47"/>
  <c r="AF16"/>
  <c r="N67"/>
  <c r="F61" i="63" s="1"/>
  <c r="A61"/>
  <c r="AN67" i="47"/>
  <c r="M67"/>
  <c r="K67"/>
  <c r="J67"/>
  <c r="L67"/>
  <c r="B229" i="61"/>
  <c r="W102" i="47"/>
  <c r="D371" i="61" s="1"/>
  <c r="B371"/>
  <c r="Y102" i="47"/>
  <c r="Z102"/>
  <c r="AP102"/>
  <c r="K218"/>
  <c r="AN218"/>
  <c r="AR218" s="1"/>
  <c r="M218"/>
  <c r="E218" s="1"/>
  <c r="N218"/>
  <c r="S261"/>
  <c r="E393" i="63" s="1"/>
  <c r="T261" i="47"/>
  <c r="F393" i="63" s="1"/>
  <c r="Q261" i="47"/>
  <c r="C393" i="63" s="1"/>
  <c r="A393"/>
  <c r="AO261" i="47"/>
  <c r="AB95"/>
  <c r="C344" i="61" s="1"/>
  <c r="AE95" i="47"/>
  <c r="B344" i="61"/>
  <c r="AQ95" i="47"/>
  <c r="AD95"/>
  <c r="E344" i="61" s="1"/>
  <c r="AC95" i="47"/>
  <c r="D344" i="61" s="1"/>
  <c r="AF95" i="47"/>
  <c r="T167"/>
  <c r="F299" i="63" s="1"/>
  <c r="AO167" i="47"/>
  <c r="Q167"/>
  <c r="C299" i="63" s="1"/>
  <c r="S167" i="47"/>
  <c r="E299" i="63" s="1"/>
  <c r="A299"/>
  <c r="J126" i="47"/>
  <c r="AN126"/>
  <c r="M126"/>
  <c r="A120" i="63"/>
  <c r="N126" i="47"/>
  <c r="F120" i="63" s="1"/>
  <c r="L126" i="47"/>
  <c r="K126"/>
  <c r="B465" i="61"/>
  <c r="Y165" i="47"/>
  <c r="Z165"/>
  <c r="W165"/>
  <c r="AP165"/>
  <c r="W63"/>
  <c r="D215" i="61" s="1"/>
  <c r="AP63" i="47"/>
  <c r="Z63"/>
  <c r="Y63"/>
  <c r="B215" i="61"/>
  <c r="N145" i="47"/>
  <c r="F139" i="63" s="1"/>
  <c r="L145" i="47"/>
  <c r="D139" i="63" s="1"/>
  <c r="J145" i="47"/>
  <c r="K145"/>
  <c r="C139" i="63" s="1"/>
  <c r="AN145" i="47"/>
  <c r="M145"/>
  <c r="A139" i="63"/>
  <c r="AN71" i="47"/>
  <c r="B245" i="61"/>
  <c r="N71" i="47"/>
  <c r="F65" i="63" s="1"/>
  <c r="A65"/>
  <c r="L71" i="47"/>
  <c r="M71"/>
  <c r="J71"/>
  <c r="K71"/>
  <c r="Z77"/>
  <c r="W77"/>
  <c r="D271" i="61" s="1"/>
  <c r="B271"/>
  <c r="Y77" i="47"/>
  <c r="AP77"/>
  <c r="W265"/>
  <c r="Z265"/>
  <c r="Y265"/>
  <c r="AP265"/>
  <c r="N220"/>
  <c r="M220"/>
  <c r="E220" s="1"/>
  <c r="AN220"/>
  <c r="AR220" s="1"/>
  <c r="K220"/>
  <c r="T46"/>
  <c r="F178" i="63" s="1"/>
  <c r="S46" i="47"/>
  <c r="E178" i="63" s="1"/>
  <c r="B146" i="61"/>
  <c r="Q46" i="47"/>
  <c r="AO46"/>
  <c r="A178" i="63"/>
  <c r="AP114" i="47"/>
  <c r="B419" i="61"/>
  <c r="W114" i="47"/>
  <c r="D419" i="61" s="1"/>
  <c r="Z114" i="47"/>
  <c r="Y114"/>
  <c r="B97" i="61"/>
  <c r="AN34" i="47"/>
  <c r="AR34" s="1"/>
  <c r="J34"/>
  <c r="M34"/>
  <c r="L34"/>
  <c r="N34"/>
  <c r="F28" i="63" s="1"/>
  <c r="A28"/>
  <c r="K34" i="47"/>
  <c r="AC143"/>
  <c r="AD143"/>
  <c r="AB143"/>
  <c r="AQ143"/>
  <c r="AF143"/>
  <c r="AE143"/>
  <c r="AD66"/>
  <c r="E228" i="61" s="1"/>
  <c r="AC66" i="47"/>
  <c r="D228" i="61" s="1"/>
  <c r="AF66" i="47"/>
  <c r="AB66"/>
  <c r="C228" i="61" s="1"/>
  <c r="AQ66" i="47"/>
  <c r="B228" i="61"/>
  <c r="AE66" i="47"/>
  <c r="W94"/>
  <c r="D339" i="61" s="1"/>
  <c r="AP94" i="47"/>
  <c r="B339" i="61"/>
  <c r="Y94" i="47"/>
  <c r="Z94"/>
  <c r="W143"/>
  <c r="Y143"/>
  <c r="Z143"/>
  <c r="AP143"/>
  <c r="AN204"/>
  <c r="M204"/>
  <c r="N204"/>
  <c r="K204"/>
  <c r="A128" i="63"/>
  <c r="N134" i="47"/>
  <c r="F128" i="63" s="1"/>
  <c r="L134" i="47"/>
  <c r="B497" i="61"/>
  <c r="AN134" i="47"/>
  <c r="K134"/>
  <c r="J134"/>
  <c r="M134"/>
  <c r="AQ24"/>
  <c r="AC24"/>
  <c r="D60" i="61" s="1"/>
  <c r="AE24" i="47"/>
  <c r="AB24"/>
  <c r="C60" i="61" s="1"/>
  <c r="AF24" i="47"/>
  <c r="AD24"/>
  <c r="E60" i="61" s="1"/>
  <c r="B60"/>
  <c r="AD212" i="47"/>
  <c r="AC212"/>
  <c r="AB212"/>
  <c r="AF212"/>
  <c r="AQ212"/>
  <c r="AE212"/>
  <c r="AN15"/>
  <c r="AR15" s="1"/>
  <c r="J15"/>
  <c r="L15"/>
  <c r="N15"/>
  <c r="F9" i="63" s="1"/>
  <c r="A9"/>
  <c r="B21" i="61"/>
  <c r="M15" i="47"/>
  <c r="K15"/>
  <c r="AB214"/>
  <c r="AE214"/>
  <c r="AD214"/>
  <c r="AF214"/>
  <c r="AQ214"/>
  <c r="AC214"/>
  <c r="AE116"/>
  <c r="AC116"/>
  <c r="D428" i="61" s="1"/>
  <c r="AB116" i="47"/>
  <c r="C428" i="61" s="1"/>
  <c r="AF116" i="47"/>
  <c r="AD116"/>
  <c r="E428" i="61" s="1"/>
  <c r="AQ116" i="47"/>
  <c r="B428" i="61"/>
  <c r="AF156" i="47"/>
  <c r="AQ156"/>
  <c r="AC156"/>
  <c r="AE156"/>
  <c r="AB156"/>
  <c r="AD156"/>
  <c r="AD134"/>
  <c r="E500" i="61" s="1"/>
  <c r="B500"/>
  <c r="AQ134" i="47"/>
  <c r="AB134"/>
  <c r="C500" i="61" s="1"/>
  <c r="AC134" i="47"/>
  <c r="D500" i="61" s="1"/>
  <c r="AF134" i="47"/>
  <c r="AE134"/>
  <c r="Y128"/>
  <c r="AP128"/>
  <c r="Z128"/>
  <c r="W128"/>
  <c r="D475" i="61" s="1"/>
  <c r="B475"/>
  <c r="A142" i="63"/>
  <c r="AN148" i="47"/>
  <c r="N148"/>
  <c r="F142" i="63" s="1"/>
  <c r="K148" i="47"/>
  <c r="C142" i="63" s="1"/>
  <c r="J148" i="47"/>
  <c r="L148"/>
  <c r="D142" i="63" s="1"/>
  <c r="M148" i="47"/>
  <c r="M245"/>
  <c r="E245" s="1"/>
  <c r="N245"/>
  <c r="K245"/>
  <c r="AN245"/>
  <c r="AR245" s="1"/>
  <c r="AC118"/>
  <c r="D436" i="61" s="1"/>
  <c r="AF118" i="47"/>
  <c r="AD118"/>
  <c r="E436" i="61" s="1"/>
  <c r="AE118" i="47"/>
  <c r="AB118"/>
  <c r="C436" i="61" s="1"/>
  <c r="B436"/>
  <c r="AQ118" i="47"/>
  <c r="AC262"/>
  <c r="AD262"/>
  <c r="AF262"/>
  <c r="AQ262"/>
  <c r="AE262"/>
  <c r="AB262"/>
  <c r="AN191"/>
  <c r="K191"/>
  <c r="N191"/>
  <c r="M191"/>
  <c r="W138"/>
  <c r="D515" i="61" s="1"/>
  <c r="AP138" i="47"/>
  <c r="Z138"/>
  <c r="B515" i="61"/>
  <c r="Y138" i="47"/>
  <c r="A207" i="63"/>
  <c r="Q75" i="47"/>
  <c r="B262" i="61"/>
  <c r="S75" i="47"/>
  <c r="E207" i="63" s="1"/>
  <c r="T75" i="47"/>
  <c r="F207" i="63" s="1"/>
  <c r="AO75" i="47"/>
  <c r="AC58"/>
  <c r="D196" i="61" s="1"/>
  <c r="AF58" i="47"/>
  <c r="AQ58"/>
  <c r="AE58"/>
  <c r="AB58"/>
  <c r="C196" i="61" s="1"/>
  <c r="AD58" i="47"/>
  <c r="E196" i="61" s="1"/>
  <c r="B196"/>
  <c r="AQ146" i="47"/>
  <c r="AB146"/>
  <c r="AD146"/>
  <c r="AF146"/>
  <c r="AE146"/>
  <c r="AC146"/>
  <c r="T194"/>
  <c r="F326" i="63" s="1"/>
  <c r="S194" i="47"/>
  <c r="E326" i="63" s="1"/>
  <c r="Q194" i="47"/>
  <c r="C326" i="63" s="1"/>
  <c r="A326"/>
  <c r="AO194" i="47"/>
  <c r="AP123"/>
  <c r="B455" i="61"/>
  <c r="Z123" i="47"/>
  <c r="W123"/>
  <c r="D455" i="61" s="1"/>
  <c r="Y123" i="47"/>
  <c r="AP169"/>
  <c r="W169"/>
  <c r="Y169"/>
  <c r="Z169"/>
  <c r="AB151"/>
  <c r="AD151"/>
  <c r="AE151"/>
  <c r="AQ151"/>
  <c r="AF151"/>
  <c r="AC151"/>
  <c r="S236"/>
  <c r="E368" i="63" s="1"/>
  <c r="T236" i="47"/>
  <c r="F368" i="63" s="1"/>
  <c r="A368"/>
  <c r="Q236" i="47"/>
  <c r="C368" i="63" s="1"/>
  <c r="AO236" i="47"/>
  <c r="N184"/>
  <c r="M184"/>
  <c r="AN184"/>
  <c r="K184"/>
  <c r="AD177"/>
  <c r="AQ177"/>
  <c r="AC177"/>
  <c r="AE177"/>
  <c r="AB177"/>
  <c r="AF177"/>
  <c r="Z204"/>
  <c r="W204"/>
  <c r="AP204"/>
  <c r="Y204"/>
  <c r="A16" i="63"/>
  <c r="B49" i="61"/>
  <c r="K22" i="47"/>
  <c r="N22"/>
  <c r="F16" i="63" s="1"/>
  <c r="L22" i="47"/>
  <c r="AN22"/>
  <c r="AR22" s="1"/>
  <c r="M22"/>
  <c r="J22"/>
  <c r="T79"/>
  <c r="F211" i="63" s="1"/>
  <c r="AO79" i="47"/>
  <c r="Q79"/>
  <c r="S79"/>
  <c r="E211" i="63" s="1"/>
  <c r="A211"/>
  <c r="B278" i="61"/>
  <c r="AC189" i="47"/>
  <c r="AE189"/>
  <c r="AF189"/>
  <c r="AB189"/>
  <c r="AQ189"/>
  <c r="AD189"/>
  <c r="S44"/>
  <c r="E176" i="63" s="1"/>
  <c r="A176"/>
  <c r="B138" i="61"/>
  <c r="T44" i="47"/>
  <c r="F176" i="63" s="1"/>
  <c r="Q44" i="47"/>
  <c r="AO44"/>
  <c r="Y79"/>
  <c r="Z79"/>
  <c r="W79"/>
  <c r="D279" i="61" s="1"/>
  <c r="AP79" i="47"/>
  <c r="B279" i="61"/>
  <c r="M244" i="47"/>
  <c r="N244"/>
  <c r="K244"/>
  <c r="AN244"/>
  <c r="S20"/>
  <c r="E152" i="63" s="1"/>
  <c r="B42" i="61"/>
  <c r="Q20" i="47"/>
  <c r="T20"/>
  <c r="F152" i="63" s="1"/>
  <c r="AO20" i="47"/>
  <c r="A152" i="63"/>
  <c r="Y69" i="47"/>
  <c r="B239" i="61"/>
  <c r="AP69" i="47"/>
  <c r="W69"/>
  <c r="D239" i="61" s="1"/>
  <c r="Z69" i="47"/>
  <c r="M208"/>
  <c r="AN208"/>
  <c r="N208"/>
  <c r="K208"/>
  <c r="M265"/>
  <c r="N265"/>
  <c r="K265"/>
  <c r="AN265"/>
  <c r="M176"/>
  <c r="K176"/>
  <c r="AN176"/>
  <c r="N176"/>
  <c r="AF140"/>
  <c r="AE140"/>
  <c r="AQ140"/>
  <c r="AB140"/>
  <c r="AD140"/>
  <c r="AC140"/>
  <c r="Q202"/>
  <c r="C334" i="63" s="1"/>
  <c r="AO202" i="47"/>
  <c r="S202"/>
  <c r="E334" i="63" s="1"/>
  <c r="T202" i="47"/>
  <c r="F334" i="63" s="1"/>
  <c r="A334"/>
  <c r="M200" i="47"/>
  <c r="AN200"/>
  <c r="N200"/>
  <c r="K200"/>
  <c r="S161"/>
  <c r="E293" i="63" s="1"/>
  <c r="A293"/>
  <c r="T161" i="47"/>
  <c r="F293" i="63" s="1"/>
  <c r="Q161" i="47"/>
  <c r="C293" i="63" s="1"/>
  <c r="AO161" i="47"/>
  <c r="T204"/>
  <c r="F336" i="63" s="1"/>
  <c r="AO204" i="47"/>
  <c r="Q204"/>
  <c r="C336" i="63" s="1"/>
  <c r="S204" i="47"/>
  <c r="E336" i="63" s="1"/>
  <c r="A336"/>
  <c r="Y246" i="47"/>
  <c r="W246"/>
  <c r="Z246"/>
  <c r="AP246"/>
  <c r="L27"/>
  <c r="M27"/>
  <c r="N27"/>
  <c r="F21" i="63" s="1"/>
  <c r="AN27" i="47"/>
  <c r="A21" i="63"/>
  <c r="B69" i="61"/>
  <c r="K27" i="47"/>
  <c r="J27"/>
  <c r="AN215"/>
  <c r="K215"/>
  <c r="N215"/>
  <c r="M215"/>
  <c r="AD191"/>
  <c r="AQ191"/>
  <c r="AE191"/>
  <c r="AB191"/>
  <c r="AF191"/>
  <c r="AC191"/>
  <c r="S139"/>
  <c r="E271" i="63" s="1"/>
  <c r="T139" i="47"/>
  <c r="F271" i="63" s="1"/>
  <c r="AO139" i="47"/>
  <c r="Q139"/>
  <c r="C271" i="63" s="1"/>
  <c r="A271"/>
  <c r="J110" i="47"/>
  <c r="A104" i="63"/>
  <c r="N110" i="47"/>
  <c r="F104" i="63" s="1"/>
  <c r="K110" i="47"/>
  <c r="B401" i="61"/>
  <c r="M110" i="47"/>
  <c r="AN110"/>
  <c r="AR110" s="1"/>
  <c r="L110"/>
  <c r="Q176"/>
  <c r="C308" i="63" s="1"/>
  <c r="AO176" i="47"/>
  <c r="S176"/>
  <c r="E308" i="63" s="1"/>
  <c r="A308"/>
  <c r="T176" i="47"/>
  <c r="F308" i="63" s="1"/>
  <c r="A42"/>
  <c r="AN48" i="47"/>
  <c r="N48"/>
  <c r="F42" i="63" s="1"/>
  <c r="M48" i="47"/>
  <c r="K48"/>
  <c r="J48"/>
  <c r="L48"/>
  <c r="B153" i="61"/>
  <c r="Y214" i="47"/>
  <c r="AP214"/>
  <c r="Z214"/>
  <c r="W214"/>
  <c r="AN175"/>
  <c r="M175"/>
  <c r="N175"/>
  <c r="K175"/>
  <c r="T115"/>
  <c r="F247" i="63" s="1"/>
  <c r="A247"/>
  <c r="Q115" i="47"/>
  <c r="S115"/>
  <c r="E247" i="63" s="1"/>
  <c r="B422" i="61"/>
  <c r="AO115" i="47"/>
  <c r="J93"/>
  <c r="N93"/>
  <c r="F87" i="63" s="1"/>
  <c r="AN93" i="47"/>
  <c r="AR93" s="1"/>
  <c r="K93"/>
  <c r="B333" i="61"/>
  <c r="A87" i="63"/>
  <c r="L93" i="47"/>
  <c r="M93"/>
  <c r="AP117"/>
  <c r="Y117"/>
  <c r="Z117"/>
  <c r="W117"/>
  <c r="D431" i="61" s="1"/>
  <c r="B431"/>
  <c r="T59" i="47"/>
  <c r="F191" i="63" s="1"/>
  <c r="B198" i="61"/>
  <c r="Q59" i="47"/>
  <c r="AO59"/>
  <c r="S59"/>
  <c r="E191" i="63" s="1"/>
  <c r="A191"/>
  <c r="Z35" i="47"/>
  <c r="Y35"/>
  <c r="B103" i="61"/>
  <c r="AP35" i="47"/>
  <c r="W35"/>
  <c r="D103" i="61" s="1"/>
  <c r="A155" i="63"/>
  <c r="T23" i="47"/>
  <c r="F155" i="63" s="1"/>
  <c r="Q23" i="47"/>
  <c r="AO23"/>
  <c r="S23"/>
  <c r="E155" i="63" s="1"/>
  <c r="B54" i="61"/>
  <c r="B46"/>
  <c r="AO21" i="47"/>
  <c r="S21"/>
  <c r="E153" i="63" s="1"/>
  <c r="T21" i="47"/>
  <c r="F153" i="63" s="1"/>
  <c r="Q21" i="47"/>
  <c r="A153" i="63"/>
  <c r="AC119" i="47"/>
  <c r="D440" i="61" s="1"/>
  <c r="AF119" i="47"/>
  <c r="AE119"/>
  <c r="B440" i="61"/>
  <c r="AD119" i="47"/>
  <c r="E440" i="61" s="1"/>
  <c r="AB119" i="47"/>
  <c r="C440" i="61" s="1"/>
  <c r="AQ119" i="47"/>
  <c r="B258" i="61"/>
  <c r="T74" i="47"/>
  <c r="F206" i="63" s="1"/>
  <c r="AO74" i="47"/>
  <c r="Q74"/>
  <c r="S74"/>
  <c r="E206" i="63" s="1"/>
  <c r="A206"/>
  <c r="J51" i="47"/>
  <c r="L51"/>
  <c r="AN51"/>
  <c r="B165" i="61"/>
  <c r="N51" i="47"/>
  <c r="F45" i="63" s="1"/>
  <c r="M51" i="47"/>
  <c r="A45" i="63"/>
  <c r="K51" i="47"/>
  <c r="AP266"/>
  <c r="Z266"/>
  <c r="W266"/>
  <c r="Y266"/>
  <c r="AD108"/>
  <c r="E396" i="61" s="1"/>
  <c r="AE108" i="47"/>
  <c r="AB108"/>
  <c r="C396" i="61" s="1"/>
  <c r="AC108" i="47"/>
  <c r="D396" i="61" s="1"/>
  <c r="B396"/>
  <c r="AF108" i="47"/>
  <c r="AQ108"/>
  <c r="B184" i="61"/>
  <c r="AB55" i="47"/>
  <c r="C184" i="61" s="1"/>
  <c r="AC55" i="47"/>
  <c r="D184" i="61" s="1"/>
  <c r="AQ55" i="47"/>
  <c r="AD55"/>
  <c r="E184" i="61" s="1"/>
  <c r="AE55" i="47"/>
  <c r="AF55"/>
  <c r="L38"/>
  <c r="AN38"/>
  <c r="N38"/>
  <c r="F32" i="63" s="1"/>
  <c r="M38" i="47"/>
  <c r="K38"/>
  <c r="A32" i="63"/>
  <c r="J38" i="47"/>
  <c r="B113" i="61"/>
  <c r="K213" i="47"/>
  <c r="M213"/>
  <c r="AN213"/>
  <c r="N213"/>
  <c r="B212" i="61"/>
  <c r="AC62" i="47"/>
  <c r="D212" i="61" s="1"/>
  <c r="AB62" i="47"/>
  <c r="C212" i="61" s="1"/>
  <c r="AE62" i="47"/>
  <c r="AD62"/>
  <c r="E212" i="61" s="1"/>
  <c r="AF62" i="47"/>
  <c r="AQ62"/>
  <c r="B71" i="61"/>
  <c r="W27" i="47"/>
  <c r="D71" i="61" s="1"/>
  <c r="Y27" i="47"/>
  <c r="Z27"/>
  <c r="AP27"/>
  <c r="T225"/>
  <c r="F357" i="63" s="1"/>
  <c r="Q225" i="47"/>
  <c r="C357" i="63" s="1"/>
  <c r="AO225" i="47"/>
  <c r="S225"/>
  <c r="E357" i="63" s="1"/>
  <c r="A357"/>
  <c r="AB244" i="47"/>
  <c r="AQ244"/>
  <c r="AE244"/>
  <c r="AC244"/>
  <c r="AF244"/>
  <c r="AD244"/>
  <c r="K259"/>
  <c r="AN259"/>
  <c r="M259"/>
  <c r="N259"/>
  <c r="AD174"/>
  <c r="AF174"/>
  <c r="AB174"/>
  <c r="AE174"/>
  <c r="AC174"/>
  <c r="AQ174"/>
  <c r="J127"/>
  <c r="K127"/>
  <c r="N127"/>
  <c r="F121" i="63" s="1"/>
  <c r="M127" i="47"/>
  <c r="AN127"/>
  <c r="AR127" s="1"/>
  <c r="A121" i="63"/>
  <c r="L127" i="47"/>
  <c r="B469" i="61"/>
  <c r="AC21" i="47"/>
  <c r="D48" i="61" s="1"/>
  <c r="AE21" i="47"/>
  <c r="AD21"/>
  <c r="E48" i="61" s="1"/>
  <c r="AQ21" i="47"/>
  <c r="AB21"/>
  <c r="C48" i="61" s="1"/>
  <c r="AF21" i="47"/>
  <c r="B48" i="61"/>
  <c r="L83" i="47"/>
  <c r="K83"/>
  <c r="A77" i="63"/>
  <c r="N83" i="47"/>
  <c r="F77" i="63" s="1"/>
  <c r="AN83" i="47"/>
  <c r="B293" i="61"/>
  <c r="M83" i="47"/>
  <c r="J83"/>
  <c r="AN199"/>
  <c r="K199"/>
  <c r="M199"/>
  <c r="N199"/>
  <c r="AD105"/>
  <c r="E384" i="61" s="1"/>
  <c r="AB105" i="47"/>
  <c r="C384" i="61" s="1"/>
  <c r="B384"/>
  <c r="AE105" i="47"/>
  <c r="AC105"/>
  <c r="D384" i="61" s="1"/>
  <c r="AQ105" i="47"/>
  <c r="AF105"/>
  <c r="W75"/>
  <c r="D263" i="61" s="1"/>
  <c r="AP75" i="47"/>
  <c r="B263" i="61"/>
  <c r="Z75" i="47"/>
  <c r="Y75"/>
  <c r="AP149"/>
  <c r="Y149"/>
  <c r="W149"/>
  <c r="Z149"/>
  <c r="AB266"/>
  <c r="AE266"/>
  <c r="AQ266"/>
  <c r="AF266"/>
  <c r="AC266"/>
  <c r="AD266"/>
  <c r="Y244"/>
  <c r="W244"/>
  <c r="AP244"/>
  <c r="Z244"/>
  <c r="S18"/>
  <c r="E150" i="63" s="1"/>
  <c r="A150"/>
  <c r="AO18" i="47"/>
  <c r="T18"/>
  <c r="F150" i="63" s="1"/>
  <c r="Q18" i="47"/>
  <c r="B34" i="61"/>
  <c r="AO205" i="47"/>
  <c r="T205"/>
  <c r="F337" i="63" s="1"/>
  <c r="Q205" i="47"/>
  <c r="C337" i="63" s="1"/>
  <c r="S205" i="47"/>
  <c r="E337" i="63" s="1"/>
  <c r="A337"/>
  <c r="Y160" i="47"/>
  <c r="Z160"/>
  <c r="W160"/>
  <c r="AP160"/>
  <c r="B374" i="61"/>
  <c r="S103" i="47"/>
  <c r="E235" i="63" s="1"/>
  <c r="Q103" i="47"/>
  <c r="T103"/>
  <c r="F235" i="63" s="1"/>
  <c r="AO103" i="47"/>
  <c r="A235" i="63"/>
  <c r="AD176" i="47"/>
  <c r="AF176"/>
  <c r="AQ176"/>
  <c r="AC176"/>
  <c r="AB176"/>
  <c r="AE176"/>
  <c r="AN179"/>
  <c r="AR179" s="1"/>
  <c r="N179"/>
  <c r="M179"/>
  <c r="E179" s="1"/>
  <c r="K179"/>
  <c r="N11"/>
  <c r="F5" i="63" s="1"/>
  <c r="A5"/>
  <c r="M11" i="47"/>
  <c r="J11"/>
  <c r="K11"/>
  <c r="L11"/>
  <c r="AN11"/>
  <c r="AR11" s="1"/>
  <c r="B5" i="61"/>
  <c r="Y221" i="47"/>
  <c r="AP221"/>
  <c r="Z221"/>
  <c r="W221"/>
  <c r="M155"/>
  <c r="AN155"/>
  <c r="K155"/>
  <c r="N155"/>
  <c r="M165"/>
  <c r="E165" s="1"/>
  <c r="K165"/>
  <c r="N165"/>
  <c r="AN165"/>
  <c r="B242" i="61"/>
  <c r="AO70" i="47"/>
  <c r="T70"/>
  <c r="F202" i="63" s="1"/>
  <c r="A202"/>
  <c r="S70" i="47"/>
  <c r="E202" i="63" s="1"/>
  <c r="Q70" i="47"/>
  <c r="S207"/>
  <c r="E339" i="63" s="1"/>
  <c r="T207" i="47"/>
  <c r="F339" i="63" s="1"/>
  <c r="A339"/>
  <c r="AO207" i="47"/>
  <c r="Q207"/>
  <c r="C339" i="63" s="1"/>
  <c r="AD75" i="47"/>
  <c r="E264" i="61" s="1"/>
  <c r="B264"/>
  <c r="AB75" i="47"/>
  <c r="C264" i="61" s="1"/>
  <c r="AE75" i="47"/>
  <c r="AQ75"/>
  <c r="AF75"/>
  <c r="AC75"/>
  <c r="D264" i="61" s="1"/>
  <c r="Y72" i="47"/>
  <c r="AP72"/>
  <c r="W72"/>
  <c r="D251" i="61" s="1"/>
  <c r="B251"/>
  <c r="Z72" i="47"/>
  <c r="T170"/>
  <c r="F302" i="63" s="1"/>
  <c r="A302"/>
  <c r="AO170" i="47"/>
  <c r="S170"/>
  <c r="E302" i="63" s="1"/>
  <c r="Q170" i="47"/>
  <c r="C302" i="63" s="1"/>
  <c r="B236" i="61"/>
  <c r="AB68" i="47"/>
  <c r="C236" i="61" s="1"/>
  <c r="AQ68" i="47"/>
  <c r="AC68"/>
  <c r="D236" i="61" s="1"/>
  <c r="AE68" i="47"/>
  <c r="AD68"/>
  <c r="E236" i="61" s="1"/>
  <c r="AF68" i="47"/>
  <c r="AB32"/>
  <c r="C92" i="61" s="1"/>
  <c r="AE32" i="47"/>
  <c r="AC32"/>
  <c r="D92" i="61" s="1"/>
  <c r="B92"/>
  <c r="AQ32" i="47"/>
  <c r="AF32"/>
  <c r="AD32"/>
  <c r="E92" i="61" s="1"/>
  <c r="Y152" i="47"/>
  <c r="Z152"/>
  <c r="W152"/>
  <c r="AP152"/>
  <c r="AC138"/>
  <c r="D516" i="61" s="1"/>
  <c r="AB138" i="47"/>
  <c r="C516" i="61" s="1"/>
  <c r="AQ138" i="47"/>
  <c r="AD138"/>
  <c r="E516" i="61" s="1"/>
  <c r="AE138" i="47"/>
  <c r="B516" i="61"/>
  <c r="AF138" i="47"/>
  <c r="N182"/>
  <c r="AN182"/>
  <c r="M182"/>
  <c r="K182"/>
  <c r="Y137"/>
  <c r="AP137"/>
  <c r="Z137"/>
  <c r="W137"/>
  <c r="D511" i="61" s="1"/>
  <c r="B511"/>
  <c r="K177" i="47"/>
  <c r="M177"/>
  <c r="E177" s="1"/>
  <c r="N177"/>
  <c r="AN177"/>
  <c r="AR177" s="1"/>
  <c r="W44"/>
  <c r="D139" i="61" s="1"/>
  <c r="Y44" i="47"/>
  <c r="Z44"/>
  <c r="AP44"/>
  <c r="B139" i="61"/>
  <c r="N238" i="47"/>
  <c r="M238"/>
  <c r="E238" s="1"/>
  <c r="AN238"/>
  <c r="AR238" s="1"/>
  <c r="K238"/>
  <c r="AO164"/>
  <c r="Q164"/>
  <c r="C296" i="63" s="1"/>
  <c r="A296"/>
  <c r="T164" i="47"/>
  <c r="F296" i="63" s="1"/>
  <c r="S164" i="47"/>
  <c r="E296" i="63" s="1"/>
  <c r="B116" i="61"/>
  <c r="AE38" i="47"/>
  <c r="AC38"/>
  <c r="D116" i="61" s="1"/>
  <c r="AB38" i="47"/>
  <c r="C116" i="61" s="1"/>
  <c r="AQ38" i="47"/>
  <c r="AD38"/>
  <c r="E116" i="61" s="1"/>
  <c r="AF38" i="47"/>
  <c r="T247"/>
  <c r="F379" i="63" s="1"/>
  <c r="AO247" i="47"/>
  <c r="Q247"/>
  <c r="C379" i="63" s="1"/>
  <c r="A379"/>
  <c r="S247" i="47"/>
  <c r="E379" i="63" s="1"/>
  <c r="AF144" i="47"/>
  <c r="AQ144"/>
  <c r="AD144"/>
  <c r="AE144"/>
  <c r="AB144"/>
  <c r="AC144"/>
  <c r="B434" i="61"/>
  <c r="AO118" i="47"/>
  <c r="S118"/>
  <c r="E250" i="63" s="1"/>
  <c r="T118" i="47"/>
  <c r="F250" i="63" s="1"/>
  <c r="Q118" i="47"/>
  <c r="A250" i="63"/>
  <c r="AC39" i="47"/>
  <c r="D120" i="61" s="1"/>
  <c r="AE39" i="47"/>
  <c r="AQ39"/>
  <c r="B120" i="61"/>
  <c r="AD39" i="47"/>
  <c r="E120" i="61" s="1"/>
  <c r="AB39" i="47"/>
  <c r="C120" i="61" s="1"/>
  <c r="AF39" i="47"/>
  <c r="A144" i="63"/>
  <c r="Q12" i="47"/>
  <c r="AO12"/>
  <c r="S12"/>
  <c r="E144" i="63" s="1"/>
  <c r="B10" i="61"/>
  <c r="T12" i="47"/>
  <c r="F144" i="63" s="1"/>
  <c r="T149" i="47"/>
  <c r="F281" i="63" s="1"/>
  <c r="A281"/>
  <c r="S149" i="47"/>
  <c r="E281" i="63" s="1"/>
  <c r="Q149" i="47"/>
  <c r="C281" i="63" s="1"/>
  <c r="AO149" i="47"/>
  <c r="AN111"/>
  <c r="M111"/>
  <c r="J111"/>
  <c r="A105" i="63"/>
  <c r="L111" i="47"/>
  <c r="N111"/>
  <c r="F105" i="63" s="1"/>
  <c r="K111" i="47"/>
  <c r="B405" i="61"/>
  <c r="AO249" i="47"/>
  <c r="S249"/>
  <c r="E381" i="63" s="1"/>
  <c r="Q249" i="47"/>
  <c r="C381" i="63" s="1"/>
  <c r="T249" i="47"/>
  <c r="F381" i="63" s="1"/>
  <c r="A381"/>
  <c r="Q91" i="47"/>
  <c r="S91"/>
  <c r="E223" i="63" s="1"/>
  <c r="B326" i="61"/>
  <c r="T91" i="47"/>
  <c r="F223" i="63" s="1"/>
  <c r="AO91" i="47"/>
  <c r="A223" i="63"/>
  <c r="Z199" i="47"/>
  <c r="AP199"/>
  <c r="W199"/>
  <c r="Y199"/>
  <c r="AF235"/>
  <c r="AD235"/>
  <c r="AB235"/>
  <c r="AQ235"/>
  <c r="AE235"/>
  <c r="AC235"/>
  <c r="AP87"/>
  <c r="Y87"/>
  <c r="B311" i="61"/>
  <c r="W87" i="47"/>
  <c r="D311" i="61" s="1"/>
  <c r="Z87" i="47"/>
  <c r="AB111"/>
  <c r="C408" i="61" s="1"/>
  <c r="AE111" i="47"/>
  <c r="AQ111"/>
  <c r="AC111"/>
  <c r="D408" i="61" s="1"/>
  <c r="B408"/>
  <c r="AD111" i="47"/>
  <c r="E408" i="61" s="1"/>
  <c r="AF111" i="47"/>
  <c r="AE208"/>
  <c r="AQ208"/>
  <c r="AF208"/>
  <c r="AD208"/>
  <c r="AB208"/>
  <c r="AC208"/>
  <c r="AP252"/>
  <c r="W252"/>
  <c r="Y252"/>
  <c r="Z252"/>
  <c r="T126"/>
  <c r="F258" i="63" s="1"/>
  <c r="S126" i="47"/>
  <c r="E258" i="63" s="1"/>
  <c r="AO126" i="47"/>
  <c r="B466" i="61"/>
  <c r="Q126" i="47"/>
  <c r="A258" i="63"/>
  <c r="Z248" i="47"/>
  <c r="AP248"/>
  <c r="Y248"/>
  <c r="W248"/>
  <c r="W78"/>
  <c r="D275" i="61" s="1"/>
  <c r="Y78" i="47"/>
  <c r="B275" i="61"/>
  <c r="AP78" i="47"/>
  <c r="Z78"/>
  <c r="AP30"/>
  <c r="Z30"/>
  <c r="W30"/>
  <c r="D83" i="61" s="1"/>
  <c r="Y30" i="47"/>
  <c r="B83" i="61"/>
  <c r="K241" i="47"/>
  <c r="AN241"/>
  <c r="N241"/>
  <c r="M241"/>
  <c r="M17"/>
  <c r="N17"/>
  <c r="F11" i="63" s="1"/>
  <c r="B29" i="61"/>
  <c r="AN17" i="47"/>
  <c r="AR17" s="1"/>
  <c r="K17"/>
  <c r="J17"/>
  <c r="L17"/>
  <c r="A11" i="63"/>
  <c r="K64" i="47"/>
  <c r="J64"/>
  <c r="A58" i="63"/>
  <c r="M64" i="47"/>
  <c r="AN64"/>
  <c r="L64"/>
  <c r="N64"/>
  <c r="F58" i="63" s="1"/>
  <c r="B217" i="61"/>
  <c r="AE160" i="47"/>
  <c r="AD160"/>
  <c r="AQ160"/>
  <c r="AB160"/>
  <c r="AF160"/>
  <c r="AC160"/>
  <c r="K159"/>
  <c r="AN159"/>
  <c r="AR159" s="1"/>
  <c r="N159"/>
  <c r="M159"/>
  <c r="E159" s="1"/>
  <c r="S14"/>
  <c r="E146" i="63" s="1"/>
  <c r="T14" i="47"/>
  <c r="F146" i="63" s="1"/>
  <c r="Q14" i="47"/>
  <c r="AO14"/>
  <c r="B18" i="61"/>
  <c r="A146" i="63"/>
  <c r="AE233" i="47"/>
  <c r="AC233"/>
  <c r="AB233"/>
  <c r="AF233"/>
  <c r="AQ233"/>
  <c r="AD233"/>
  <c r="W139"/>
  <c r="Y139"/>
  <c r="AP139"/>
  <c r="Z139"/>
  <c r="W259"/>
  <c r="Z259"/>
  <c r="AP259"/>
  <c r="Y259"/>
  <c r="M219"/>
  <c r="E219" s="1"/>
  <c r="N219"/>
  <c r="K219"/>
  <c r="AN219"/>
  <c r="AR219" s="1"/>
  <c r="N128"/>
  <c r="F122" i="63" s="1"/>
  <c r="M128" i="47"/>
  <c r="L128"/>
  <c r="K128"/>
  <c r="A122" i="63"/>
  <c r="J128" i="47"/>
  <c r="B473" i="61"/>
  <c r="AN128" i="47"/>
  <c r="Q250"/>
  <c r="C382" i="63" s="1"/>
  <c r="AO250" i="47"/>
  <c r="S250"/>
  <c r="E382" i="63" s="1"/>
  <c r="T250" i="47"/>
  <c r="F382" i="63" s="1"/>
  <c r="A382"/>
  <c r="W213" i="47"/>
  <c r="AP213"/>
  <c r="Z213"/>
  <c r="Y213"/>
  <c r="AP76"/>
  <c r="Z76"/>
  <c r="W76"/>
  <c r="D267" i="61" s="1"/>
  <c r="B267"/>
  <c r="Y76" i="47"/>
  <c r="A198" i="63"/>
  <c r="S66" i="47"/>
  <c r="E198" i="63" s="1"/>
  <c r="T66" i="47"/>
  <c r="F198" i="63" s="1"/>
  <c r="Q66" i="47"/>
  <c r="AO66"/>
  <c r="B226" i="61"/>
  <c r="K181" i="47"/>
  <c r="M181"/>
  <c r="E181" s="1"/>
  <c r="N181"/>
  <c r="AN181"/>
  <c r="AQ90"/>
  <c r="AD90"/>
  <c r="E324" i="61" s="1"/>
  <c r="AE90" i="47"/>
  <c r="AB90"/>
  <c r="C324" i="61" s="1"/>
  <c r="AC90" i="47"/>
  <c r="D324" i="61" s="1"/>
  <c r="AF90" i="47"/>
  <c r="B324" i="61"/>
  <c r="N186" i="47"/>
  <c r="M186"/>
  <c r="E186" s="1"/>
  <c r="K186"/>
  <c r="AN186"/>
  <c r="AR186" s="1"/>
  <c r="B168" i="61"/>
  <c r="AF51" i="47"/>
  <c r="AQ51"/>
  <c r="AC51"/>
  <c r="D168" i="61" s="1"/>
  <c r="AB51" i="47"/>
  <c r="C168" i="61" s="1"/>
  <c r="AD51" i="47"/>
  <c r="E168" i="61" s="1"/>
  <c r="AE51" i="47"/>
  <c r="Y48"/>
  <c r="AP48"/>
  <c r="W48"/>
  <c r="D155" i="61" s="1"/>
  <c r="Z48" i="47"/>
  <c r="B155" i="61"/>
  <c r="L80" i="47"/>
  <c r="K80"/>
  <c r="J80"/>
  <c r="M80"/>
  <c r="B281" i="61"/>
  <c r="N80" i="47"/>
  <c r="F74" i="63" s="1"/>
  <c r="AN80" i="47"/>
  <c r="A74" i="63"/>
  <c r="AO246" i="47"/>
  <c r="S246"/>
  <c r="E378" i="63" s="1"/>
  <c r="T246" i="47"/>
  <c r="F378" i="63" s="1"/>
  <c r="Q246" i="47"/>
  <c r="C378" i="63" s="1"/>
  <c r="A378"/>
  <c r="AQ44" i="47"/>
  <c r="AD44"/>
  <c r="E140" i="61" s="1"/>
  <c r="AB44" i="47"/>
  <c r="C140" i="61" s="1"/>
  <c r="AF44" i="47"/>
  <c r="B140" i="61"/>
  <c r="AC44" i="47"/>
  <c r="D140" i="61" s="1"/>
  <c r="AE44" i="47"/>
  <c r="T64"/>
  <c r="F196" i="63" s="1"/>
  <c r="B218" i="61"/>
  <c r="Q64" i="47"/>
  <c r="AO64"/>
  <c r="S64"/>
  <c r="E196" i="63" s="1"/>
  <c r="A196"/>
  <c r="S266" i="47"/>
  <c r="E398" i="63" s="1"/>
  <c r="Q266" i="47"/>
  <c r="C398" i="63" s="1"/>
  <c r="AO266" i="47"/>
  <c r="T266"/>
  <c r="F398" i="63" s="1"/>
  <c r="A398"/>
  <c r="AB145" i="47"/>
  <c r="AE145"/>
  <c r="AC145"/>
  <c r="AQ145"/>
  <c r="AF145"/>
  <c r="AD145"/>
  <c r="AN201"/>
  <c r="AR201" s="1"/>
  <c r="N201"/>
  <c r="M201"/>
  <c r="E201" s="1"/>
  <c r="K201"/>
  <c r="AB48"/>
  <c r="C156" i="61" s="1"/>
  <c r="AD48" i="47"/>
  <c r="E156" i="61" s="1"/>
  <c r="B156"/>
  <c r="AC48" i="47"/>
  <c r="D156" i="61" s="1"/>
  <c r="AQ48" i="47"/>
  <c r="AE48"/>
  <c r="AF48"/>
  <c r="AF147"/>
  <c r="AE147"/>
  <c r="AQ147"/>
  <c r="AD147"/>
  <c r="AC147"/>
  <c r="AB147"/>
  <c r="Z74"/>
  <c r="W74"/>
  <c r="D259" i="61" s="1"/>
  <c r="Y74" i="47"/>
  <c r="AP74"/>
  <c r="B259" i="61"/>
  <c r="S239" i="47"/>
  <c r="E371" i="63" s="1"/>
  <c r="AO239" i="47"/>
  <c r="T239"/>
  <c r="F371" i="63" s="1"/>
  <c r="Q239" i="47"/>
  <c r="C371" i="63" s="1"/>
  <c r="A371"/>
  <c r="AD255" i="47"/>
  <c r="AC255"/>
  <c r="AF255"/>
  <c r="AQ255"/>
  <c r="AE255"/>
  <c r="AB255"/>
  <c r="AP190"/>
  <c r="Z190"/>
  <c r="Y190"/>
  <c r="W190"/>
  <c r="AC181"/>
  <c r="AQ181"/>
  <c r="AE181"/>
  <c r="AD181"/>
  <c r="AF181"/>
  <c r="AB181"/>
  <c r="AB165"/>
  <c r="AD165"/>
  <c r="AF165"/>
  <c r="AE165"/>
  <c r="AQ165"/>
  <c r="AC165"/>
  <c r="Y264"/>
  <c r="Z264"/>
  <c r="AP264"/>
  <c r="W264"/>
  <c r="T106"/>
  <c r="F238" i="63" s="1"/>
  <c r="A238"/>
  <c r="Q106" i="47"/>
  <c r="B386" i="61"/>
  <c r="S106" i="47"/>
  <c r="E238" i="63" s="1"/>
  <c r="AO106" i="47"/>
  <c r="AP229"/>
  <c r="W229"/>
  <c r="Y229"/>
  <c r="Z229"/>
  <c r="AP29"/>
  <c r="W29"/>
  <c r="D79" i="61" s="1"/>
  <c r="Y29" i="47"/>
  <c r="Z29"/>
  <c r="B79" i="61"/>
  <c r="N84" i="47"/>
  <c r="F78" i="63" s="1"/>
  <c r="AN84" i="47"/>
  <c r="A78" i="63"/>
  <c r="K84" i="47"/>
  <c r="B297" i="61"/>
  <c r="M84" i="47"/>
  <c r="J84"/>
  <c r="L84"/>
  <c r="AD241"/>
  <c r="AB241"/>
  <c r="AQ241"/>
  <c r="AC241"/>
  <c r="AE241"/>
  <c r="AF241"/>
  <c r="AQ80"/>
  <c r="AC80"/>
  <c r="D284" i="61" s="1"/>
  <c r="AB80" i="47"/>
  <c r="C284" i="61" s="1"/>
  <c r="AE80" i="47"/>
  <c r="AF80"/>
  <c r="AD80"/>
  <c r="E284" i="61" s="1"/>
  <c r="B284"/>
  <c r="T234" i="47"/>
  <c r="F366" i="63" s="1"/>
  <c r="AO234" i="47"/>
  <c r="Q234"/>
  <c r="C366" i="63" s="1"/>
  <c r="S234" i="47"/>
  <c r="E366" i="63" s="1"/>
  <c r="A366"/>
  <c r="B193" i="61"/>
  <c r="N58" i="47"/>
  <c r="F52" i="63" s="1"/>
  <c r="M58" i="47"/>
  <c r="L58"/>
  <c r="J58"/>
  <c r="K58"/>
  <c r="A52" i="63"/>
  <c r="AN58" i="47"/>
  <c r="AR58" s="1"/>
  <c r="Z144"/>
  <c r="W144"/>
  <c r="AP144"/>
  <c r="Y144"/>
  <c r="A30" i="63"/>
  <c r="B105" i="61"/>
  <c r="AN36" i="47"/>
  <c r="L36"/>
  <c r="K36"/>
  <c r="M36"/>
  <c r="J36"/>
  <c r="N36"/>
  <c r="F30" i="63" s="1"/>
  <c r="AC182" i="47"/>
  <c r="AE182"/>
  <c r="AQ182"/>
  <c r="AF182"/>
  <c r="AB182"/>
  <c r="AD182"/>
  <c r="Y91"/>
  <c r="W91"/>
  <c r="D327" i="61" s="1"/>
  <c r="AP91" i="47"/>
  <c r="B327" i="61"/>
  <c r="Z91" i="47"/>
  <c r="AO39"/>
  <c r="T39"/>
  <c r="F171" i="63" s="1"/>
  <c r="Q39" i="47"/>
  <c r="S39"/>
  <c r="E171" i="63" s="1"/>
  <c r="B118" i="61"/>
  <c r="A171" i="63"/>
  <c r="K59" i="47"/>
  <c r="AN59"/>
  <c r="AR59" s="1"/>
  <c r="J59"/>
  <c r="L59"/>
  <c r="A53" i="63"/>
  <c r="B197" i="61"/>
  <c r="N59" i="47"/>
  <c r="F53" i="63" s="1"/>
  <c r="M59" i="47"/>
  <c r="T154"/>
  <c r="F286" i="63" s="1"/>
  <c r="S154" i="47"/>
  <c r="E286" i="63" s="1"/>
  <c r="AO154" i="47"/>
  <c r="Q154"/>
  <c r="C286" i="63" s="1"/>
  <c r="A286"/>
  <c r="AE139" i="47"/>
  <c r="AB139"/>
  <c r="AF139"/>
  <c r="AC139"/>
  <c r="AD139"/>
  <c r="AQ139"/>
  <c r="AC91"/>
  <c r="D328" i="61" s="1"/>
  <c r="AB91" i="47"/>
  <c r="C328" i="61" s="1"/>
  <c r="AD91" i="47"/>
  <c r="E328" i="61" s="1"/>
  <c r="AF91" i="47"/>
  <c r="AE91"/>
  <c r="B328" i="61"/>
  <c r="AQ91" i="47"/>
  <c r="J137"/>
  <c r="L137"/>
  <c r="B509" i="61"/>
  <c r="K137" i="47"/>
  <c r="A131" i="63"/>
  <c r="AN137" i="47"/>
  <c r="M137"/>
  <c r="N137"/>
  <c r="F131" i="63" s="1"/>
  <c r="S89" i="47"/>
  <c r="E221" i="63" s="1"/>
  <c r="B318" i="61"/>
  <c r="Q89" i="47"/>
  <c r="AO89"/>
  <c r="T89"/>
  <c r="F221" i="63" s="1"/>
  <c r="A221"/>
  <c r="Q137" i="47"/>
  <c r="AO137"/>
  <c r="S137"/>
  <c r="E269" i="63" s="1"/>
  <c r="A269"/>
  <c r="B510" i="61"/>
  <c r="T137" i="47"/>
  <c r="F269" i="63" s="1"/>
  <c r="Q208" i="47"/>
  <c r="C340" i="63" s="1"/>
  <c r="T208" i="47"/>
  <c r="F340" i="63" s="1"/>
  <c r="A340"/>
  <c r="AO208" i="47"/>
  <c r="S208"/>
  <c r="E340" i="63" s="1"/>
  <c r="AQ175" i="47"/>
  <c r="AE175"/>
  <c r="AB175"/>
  <c r="AF175"/>
  <c r="AD175"/>
  <c r="AC175"/>
  <c r="N32"/>
  <c r="F26" i="63" s="1"/>
  <c r="AN32" i="47"/>
  <c r="AR32" s="1"/>
  <c r="K32"/>
  <c r="J32"/>
  <c r="M32"/>
  <c r="B89" i="61"/>
  <c r="L32" i="47"/>
  <c r="A26" i="63"/>
  <c r="Q26" i="47"/>
  <c r="A158" i="63"/>
  <c r="S26" i="47"/>
  <c r="E158" i="63" s="1"/>
  <c r="T26" i="47"/>
  <c r="F158" i="63" s="1"/>
  <c r="B66" i="61"/>
  <c r="AO26" i="47"/>
  <c r="T199"/>
  <c r="F331" i="63" s="1"/>
  <c r="A331"/>
  <c r="S199" i="47"/>
  <c r="E331" i="63" s="1"/>
  <c r="AO199" i="47"/>
  <c r="Q199"/>
  <c r="C331" i="63" s="1"/>
  <c r="AF137" i="47"/>
  <c r="B512" i="61"/>
  <c r="AC137" i="47"/>
  <c r="D512" i="61" s="1"/>
  <c r="AQ137" i="47"/>
  <c r="AB137"/>
  <c r="C512" i="61" s="1"/>
  <c r="AD137" i="47"/>
  <c r="E512" i="61" s="1"/>
  <c r="AE137" i="47"/>
  <c r="AN158"/>
  <c r="M158"/>
  <c r="E158" s="1"/>
  <c r="K158"/>
  <c r="N158"/>
  <c r="M117"/>
  <c r="B429" i="61"/>
  <c r="N117" i="47"/>
  <c r="F111" i="63" s="1"/>
  <c r="K117" i="47"/>
  <c r="L117"/>
  <c r="AN117"/>
  <c r="AR117" s="1"/>
  <c r="J117"/>
  <c r="A111" i="63"/>
  <c r="N227" i="47"/>
  <c r="AN227"/>
  <c r="AR227" s="1"/>
  <c r="M227"/>
  <c r="E227" s="1"/>
  <c r="K227"/>
  <c r="Q264"/>
  <c r="C396" i="63" s="1"/>
  <c r="T264" i="47"/>
  <c r="F396" i="63" s="1"/>
  <c r="S264" i="47"/>
  <c r="E396" i="63" s="1"/>
  <c r="A396"/>
  <c r="AO264" i="47"/>
  <c r="W215"/>
  <c r="Z215"/>
  <c r="Y215"/>
  <c r="AP215"/>
  <c r="AN228"/>
  <c r="AR228" s="1"/>
  <c r="K228"/>
  <c r="M228"/>
  <c r="E228" s="1"/>
  <c r="N228"/>
  <c r="Z194"/>
  <c r="Y194"/>
  <c r="W194"/>
  <c r="AP194"/>
  <c r="AD193"/>
  <c r="AQ193"/>
  <c r="AB193"/>
  <c r="AF193"/>
  <c r="AE193"/>
  <c r="AC193"/>
  <c r="AP216"/>
  <c r="Y216"/>
  <c r="Z216"/>
  <c r="W216"/>
  <c r="T28"/>
  <c r="F160" i="63" s="1"/>
  <c r="AO28" i="47"/>
  <c r="S28"/>
  <c r="E160" i="63" s="1"/>
  <c r="Q28" i="47"/>
  <c r="A160" i="63"/>
  <c r="B74" i="61"/>
  <c r="AP207" i="47"/>
  <c r="Y207"/>
  <c r="Z207"/>
  <c r="W207"/>
  <c r="Q83"/>
  <c r="S83"/>
  <c r="E215" i="63" s="1"/>
  <c r="AO83" i="47"/>
  <c r="A215" i="63"/>
  <c r="T83" i="47"/>
  <c r="F215" i="63" s="1"/>
  <c r="B294" i="61"/>
  <c r="B363"/>
  <c r="W100" i="47"/>
  <c r="D363" i="61" s="1"/>
  <c r="Y100" i="47"/>
  <c r="AP100"/>
  <c r="Z100"/>
  <c r="B307" i="61"/>
  <c r="W86" i="47"/>
  <c r="D307" i="61" s="1"/>
  <c r="Y86" i="47"/>
  <c r="AP86"/>
  <c r="Z86"/>
  <c r="B163" i="61"/>
  <c r="W50" i="47"/>
  <c r="D163" i="61" s="1"/>
  <c r="Y50" i="47"/>
  <c r="AP50"/>
  <c r="Z50"/>
  <c r="M192"/>
  <c r="E192" s="1"/>
  <c r="K192"/>
  <c r="AN192"/>
  <c r="AR192" s="1"/>
  <c r="N192"/>
  <c r="Y206"/>
  <c r="Z206"/>
  <c r="W206"/>
  <c r="AP206"/>
  <c r="AF202"/>
  <c r="AB202"/>
  <c r="AD202"/>
  <c r="AC202"/>
  <c r="AQ202"/>
  <c r="AE202"/>
  <c r="S13"/>
  <c r="E145" i="63" s="1"/>
  <c r="AO13" i="47"/>
  <c r="B14" i="61"/>
  <c r="T13" i="47"/>
  <c r="F145" i="63" s="1"/>
  <c r="Q13" i="47"/>
  <c r="A145" i="63"/>
  <c r="A92"/>
  <c r="J98" i="47"/>
  <c r="N98"/>
  <c r="F92" i="63" s="1"/>
  <c r="K98" i="47"/>
  <c r="L98"/>
  <c r="B353" i="61"/>
  <c r="AN98" i="47"/>
  <c r="M98"/>
  <c r="N14"/>
  <c r="F8" i="63" s="1"/>
  <c r="L14" i="47"/>
  <c r="M14"/>
  <c r="AN14"/>
  <c r="A8" i="63"/>
  <c r="B17" i="61"/>
  <c r="J14" i="47"/>
  <c r="K14"/>
  <c r="K72"/>
  <c r="B249" i="61"/>
  <c r="AN72" i="47"/>
  <c r="AR72" s="1"/>
  <c r="L72"/>
  <c r="M72"/>
  <c r="J72"/>
  <c r="N72"/>
  <c r="F66" i="63" s="1"/>
  <c r="A66"/>
  <c r="AP225" i="47"/>
  <c r="Y225"/>
  <c r="W225"/>
  <c r="Z225"/>
  <c r="M211"/>
  <c r="AN211"/>
  <c r="K211"/>
  <c r="N211"/>
  <c r="B424" i="61"/>
  <c r="AQ115" i="47"/>
  <c r="AE115"/>
  <c r="AD115"/>
  <c r="E424" i="61" s="1"/>
  <c r="AB115" i="47"/>
  <c r="C424" i="61" s="1"/>
  <c r="AC115" i="47"/>
  <c r="D424" i="61" s="1"/>
  <c r="AF115" i="47"/>
  <c r="K212"/>
  <c r="M212"/>
  <c r="N212"/>
  <c r="AN212"/>
  <c r="Y196"/>
  <c r="W196"/>
  <c r="Z196"/>
  <c r="AP196"/>
  <c r="AC225"/>
  <c r="AF225"/>
  <c r="AE225"/>
  <c r="AQ225"/>
  <c r="AB225"/>
  <c r="AD225"/>
  <c r="Y31"/>
  <c r="W31"/>
  <c r="D87" i="61" s="1"/>
  <c r="Z31" i="47"/>
  <c r="AP31"/>
  <c r="B87" i="61"/>
  <c r="M168" i="47"/>
  <c r="E168" s="1"/>
  <c r="N168"/>
  <c r="AN168"/>
  <c r="AR168" s="1"/>
  <c r="K168"/>
  <c r="J54"/>
  <c r="AN54"/>
  <c r="AR54" s="1"/>
  <c r="L54"/>
  <c r="K54"/>
  <c r="B177" i="61"/>
  <c r="A48" i="63"/>
  <c r="M54" i="47"/>
  <c r="N54"/>
  <c r="F48" i="63" s="1"/>
  <c r="M150" i="47"/>
  <c r="E150" s="1"/>
  <c r="L150"/>
  <c r="J150"/>
  <c r="AN150"/>
  <c r="AR150" s="1"/>
  <c r="N150"/>
  <c r="K150"/>
  <c r="K231"/>
  <c r="AN231"/>
  <c r="AR231" s="1"/>
  <c r="M231"/>
  <c r="E231" s="1"/>
  <c r="N231"/>
  <c r="Z188"/>
  <c r="AP188"/>
  <c r="Y188"/>
  <c r="W188"/>
  <c r="T230"/>
  <c r="F362" i="63" s="1"/>
  <c r="A362"/>
  <c r="Q230" i="47"/>
  <c r="C362" i="63" s="1"/>
  <c r="S230" i="47"/>
  <c r="E362" i="63" s="1"/>
  <c r="AO230" i="47"/>
  <c r="Y262"/>
  <c r="W262"/>
  <c r="Z262"/>
  <c r="AP262"/>
  <c r="T45"/>
  <c r="F177" i="63" s="1"/>
  <c r="B142" i="61"/>
  <c r="A177" i="63"/>
  <c r="S45" i="47"/>
  <c r="E177" i="63" s="1"/>
  <c r="Q45" i="47"/>
  <c r="AO45"/>
  <c r="K246"/>
  <c r="N246"/>
  <c r="AN246"/>
  <c r="M246"/>
  <c r="E246" s="1"/>
  <c r="Y230"/>
  <c r="W230"/>
  <c r="AP230"/>
  <c r="Z230"/>
  <c r="AB71"/>
  <c r="C248" i="61" s="1"/>
  <c r="B248"/>
  <c r="AC71" i="47"/>
  <c r="D248" i="61" s="1"/>
  <c r="AF71" i="47"/>
  <c r="AD71"/>
  <c r="E248" i="61" s="1"/>
  <c r="AQ71" i="47"/>
  <c r="AE71"/>
  <c r="AD157"/>
  <c r="AB157"/>
  <c r="AC157"/>
  <c r="AF157"/>
  <c r="AE157"/>
  <c r="AQ157"/>
  <c r="Q138"/>
  <c r="S138"/>
  <c r="E270" i="63" s="1"/>
  <c r="T138" i="47"/>
  <c r="F270" i="63" s="1"/>
  <c r="AO138" i="47"/>
  <c r="A270" i="63"/>
  <c r="B514" i="61"/>
  <c r="S57" i="47"/>
  <c r="E189" i="63" s="1"/>
  <c r="Q57" i="47"/>
  <c r="B190" i="61"/>
  <c r="T57" i="47"/>
  <c r="F189" i="63" s="1"/>
  <c r="A189"/>
  <c r="AO57" i="47"/>
  <c r="AN203"/>
  <c r="AR203" s="1"/>
  <c r="M203"/>
  <c r="E203" s="1"/>
  <c r="K203"/>
  <c r="N203"/>
  <c r="M242"/>
  <c r="N242"/>
  <c r="AN242"/>
  <c r="K242"/>
  <c r="AO197"/>
  <c r="Q197"/>
  <c r="C329" i="63" s="1"/>
  <c r="T197" i="47"/>
  <c r="F329" i="63" s="1"/>
  <c r="A329"/>
  <c r="S197" i="47"/>
  <c r="E329" i="63" s="1"/>
  <c r="T241" i="47"/>
  <c r="F373" i="63" s="1"/>
  <c r="Q241" i="47"/>
  <c r="C373" i="63" s="1"/>
  <c r="S241" i="47"/>
  <c r="E373" i="63" s="1"/>
  <c r="A373"/>
  <c r="AO241" i="47"/>
  <c r="T175"/>
  <c r="F307" i="63" s="1"/>
  <c r="AO175" i="47"/>
  <c r="S175"/>
  <c r="E307" i="63" s="1"/>
  <c r="Q175" i="47"/>
  <c r="C307" i="63" s="1"/>
  <c r="A307"/>
  <c r="AN252" i="47"/>
  <c r="AR252" s="1"/>
  <c r="K252"/>
  <c r="N252"/>
  <c r="M252"/>
  <c r="E252" s="1"/>
  <c r="T105"/>
  <c r="F237" i="63" s="1"/>
  <c r="Q105" i="47"/>
  <c r="B382" i="61"/>
  <c r="A237" i="63"/>
  <c r="S105" i="47"/>
  <c r="E237" i="63" s="1"/>
  <c r="AO105" i="47"/>
  <c r="AQ204"/>
  <c r="AC204"/>
  <c r="AD204"/>
  <c r="AF204"/>
  <c r="AE204"/>
  <c r="AB204"/>
  <c r="AQ82"/>
  <c r="AE82"/>
  <c r="B292" i="61"/>
  <c r="AD82" i="47"/>
  <c r="E292" i="61" s="1"/>
  <c r="AC82" i="47"/>
  <c r="D292" i="61" s="1"/>
  <c r="AB82" i="47"/>
  <c r="C292" i="61" s="1"/>
  <c r="AF82" i="47"/>
  <c r="B364" i="61"/>
  <c r="AB100" i="47"/>
  <c r="C364" i="61" s="1"/>
  <c r="AF100" i="47"/>
  <c r="AD100"/>
  <c r="E364" i="61" s="1"/>
  <c r="AC100" i="47"/>
  <c r="D364" i="61" s="1"/>
  <c r="AE100" i="47"/>
  <c r="AQ100"/>
  <c r="B451" i="61"/>
  <c r="Y122" i="47"/>
  <c r="AP122"/>
  <c r="W122"/>
  <c r="D451" i="61" s="1"/>
  <c r="Z122" i="47"/>
  <c r="Z200"/>
  <c r="AP200"/>
  <c r="Y200"/>
  <c r="W200"/>
  <c r="T200"/>
  <c r="F332" i="63" s="1"/>
  <c r="AO200" i="47"/>
  <c r="Q200"/>
  <c r="C332" i="63" s="1"/>
  <c r="S200" i="47"/>
  <c r="E332" i="63" s="1"/>
  <c r="A332"/>
  <c r="N172" i="47"/>
  <c r="AN172"/>
  <c r="AR172" s="1"/>
  <c r="M172"/>
  <c r="E172" s="1"/>
  <c r="K172"/>
  <c r="AP37"/>
  <c r="W37"/>
  <c r="D111" i="61" s="1"/>
  <c r="B111"/>
  <c r="Y37" i="47"/>
  <c r="Z37"/>
  <c r="AC128"/>
  <c r="D476" i="61" s="1"/>
  <c r="AQ128" i="47"/>
  <c r="AF128"/>
  <c r="AB128"/>
  <c r="C476" i="61" s="1"/>
  <c r="AE128" i="47"/>
  <c r="AD128"/>
  <c r="E476" i="61" s="1"/>
  <c r="B476"/>
  <c r="S233" i="47"/>
  <c r="E365" i="63" s="1"/>
  <c r="Q233" i="47"/>
  <c r="C365" i="63" s="1"/>
  <c r="T233" i="47"/>
  <c r="F365" i="63" s="1"/>
  <c r="A365"/>
  <c r="AO233" i="47"/>
  <c r="B300" i="61"/>
  <c r="AF84" i="47"/>
  <c r="AQ84"/>
  <c r="AB84"/>
  <c r="C300" i="61" s="1"/>
  <c r="AD84" i="47"/>
  <c r="E300" i="61" s="1"/>
  <c r="AC84" i="47"/>
  <c r="D300" i="61" s="1"/>
  <c r="AE84" i="47"/>
  <c r="W23"/>
  <c r="D55" i="61" s="1"/>
  <c r="Y23" i="47"/>
  <c r="B55" i="61"/>
  <c r="Z23" i="47"/>
  <c r="AP23"/>
  <c r="K248"/>
  <c r="AN248"/>
  <c r="AR248" s="1"/>
  <c r="M248"/>
  <c r="E248" s="1"/>
  <c r="N248"/>
  <c r="K170"/>
  <c r="N170"/>
  <c r="AN170"/>
  <c r="AR170" s="1"/>
  <c r="M170"/>
  <c r="E170" s="1"/>
  <c r="N146"/>
  <c r="F140" i="63" s="1"/>
  <c r="J146" i="47"/>
  <c r="K146"/>
  <c r="C140" i="63" s="1"/>
  <c r="L146" i="47"/>
  <c r="D140" i="63" s="1"/>
  <c r="AN146" i="47"/>
  <c r="AR146" s="1"/>
  <c r="M146"/>
  <c r="A140" i="63"/>
  <c r="AD259" i="47"/>
  <c r="AF259"/>
  <c r="AE259"/>
  <c r="AQ259"/>
  <c r="AC259"/>
  <c r="AB259"/>
  <c r="Q49"/>
  <c r="B158" i="61"/>
  <c r="T49" i="47"/>
  <c r="F181" i="63" s="1"/>
  <c r="S49" i="47"/>
  <c r="E181" i="63" s="1"/>
  <c r="AO49" i="47"/>
  <c r="A181" i="63"/>
  <c r="AO27" i="47"/>
  <c r="S27"/>
  <c r="E159" i="63" s="1"/>
  <c r="A159"/>
  <c r="B70" i="61"/>
  <c r="T27" i="47"/>
  <c r="F159" i="63" s="1"/>
  <c r="Q27" i="47"/>
  <c r="K125"/>
  <c r="AN125"/>
  <c r="AR125" s="1"/>
  <c r="L125"/>
  <c r="M125"/>
  <c r="N125"/>
  <c r="F119" i="63" s="1"/>
  <c r="B461" i="61"/>
  <c r="A119" i="63"/>
  <c r="J125" i="47"/>
  <c r="AE158"/>
  <c r="AQ158"/>
  <c r="AB158"/>
  <c r="AF158"/>
  <c r="AC158"/>
  <c r="AD158"/>
  <c r="A275" i="63"/>
  <c r="T143" i="47"/>
  <c r="F275" i="63" s="1"/>
  <c r="S143" i="47"/>
  <c r="E275" i="63" s="1"/>
  <c r="Q143" i="47"/>
  <c r="C275" i="63" s="1"/>
  <c r="AO143" i="47"/>
  <c r="A168" i="63"/>
  <c r="Q36" i="47"/>
  <c r="T36"/>
  <c r="F168" i="63" s="1"/>
  <c r="S36" i="47"/>
  <c r="E168" i="63" s="1"/>
  <c r="AO36" i="47"/>
  <c r="B106" i="61"/>
  <c r="Z111" i="47"/>
  <c r="B407" i="61"/>
  <c r="W111" i="47"/>
  <c r="D407" i="61" s="1"/>
  <c r="AP111" i="47"/>
  <c r="Y111"/>
  <c r="N264"/>
  <c r="M264"/>
  <c r="E264" s="1"/>
  <c r="AN264"/>
  <c r="AR264" s="1"/>
  <c r="K264"/>
  <c r="W184"/>
  <c r="Z184"/>
  <c r="Y184"/>
  <c r="AP184"/>
  <c r="AF18"/>
  <c r="AC18"/>
  <c r="D36" i="61" s="1"/>
  <c r="AB18" i="47"/>
  <c r="C36" i="61" s="1"/>
  <c r="B36"/>
  <c r="AD18" i="47"/>
  <c r="E36" i="61" s="1"/>
  <c r="AE18" i="47"/>
  <c r="AQ18"/>
  <c r="L29"/>
  <c r="M29"/>
  <c r="N29"/>
  <c r="F23" i="63" s="1"/>
  <c r="A23"/>
  <c r="AN29" i="47"/>
  <c r="AR29" s="1"/>
  <c r="J29"/>
  <c r="K29"/>
  <c r="B77" i="61"/>
  <c r="W115" i="47"/>
  <c r="D423" i="61" s="1"/>
  <c r="AP115" i="47"/>
  <c r="Y115"/>
  <c r="Z115"/>
  <c r="B423" i="61"/>
  <c r="W260" i="47"/>
  <c r="Z260"/>
  <c r="Y260"/>
  <c r="AP260"/>
  <c r="K223"/>
  <c r="AN223"/>
  <c r="AR223" s="1"/>
  <c r="M223"/>
  <c r="E223" s="1"/>
  <c r="N223"/>
  <c r="N205"/>
  <c r="K205"/>
  <c r="AN205"/>
  <c r="AR205" s="1"/>
  <c r="M205"/>
  <c r="E205" s="1"/>
  <c r="Z187"/>
  <c r="AP187"/>
  <c r="Y187"/>
  <c r="W187"/>
  <c r="AO174"/>
  <c r="S174"/>
  <c r="E306" i="63" s="1"/>
  <c r="Q174" i="47"/>
  <c r="C306" i="63" s="1"/>
  <c r="T174" i="47"/>
  <c r="F306" i="63" s="1"/>
  <c r="A306"/>
  <c r="N195" i="47"/>
  <c r="AN195"/>
  <c r="AR195" s="1"/>
  <c r="M195"/>
  <c r="E195" s="1"/>
  <c r="K195"/>
  <c r="W232"/>
  <c r="AP232"/>
  <c r="Y232"/>
  <c r="Z232"/>
  <c r="AN47"/>
  <c r="AR47" s="1"/>
  <c r="B149" i="61"/>
  <c r="K47" i="47"/>
  <c r="L47"/>
  <c r="J47"/>
  <c r="N47"/>
  <c r="F41" i="63" s="1"/>
  <c r="A41"/>
  <c r="M47" i="47"/>
  <c r="W239"/>
  <c r="Z239"/>
  <c r="AP239"/>
  <c r="Y239"/>
  <c r="S212"/>
  <c r="E344" i="63" s="1"/>
  <c r="T212" i="47"/>
  <c r="F344" i="63" s="1"/>
  <c r="A344"/>
  <c r="AO212" i="47"/>
  <c r="Q212"/>
  <c r="C344" i="63" s="1"/>
  <c r="N76" i="47"/>
  <c r="F70" i="63" s="1"/>
  <c r="L76" i="47"/>
  <c r="K76"/>
  <c r="A70" i="63"/>
  <c r="M76" i="47"/>
  <c r="AN76"/>
  <c r="AR76" s="1"/>
  <c r="B265" i="61"/>
  <c r="J76" i="47"/>
  <c r="W135"/>
  <c r="D503" i="61" s="1"/>
  <c r="AP135" i="47"/>
  <c r="Z135"/>
  <c r="Y135"/>
  <c r="B503" i="61"/>
  <c r="A185" i="63"/>
  <c r="T53" i="47"/>
  <c r="F185" i="63" s="1"/>
  <c r="Q53" i="47"/>
  <c r="S53"/>
  <c r="E185" i="63" s="1"/>
  <c r="B174" i="61"/>
  <c r="AO53" i="47"/>
  <c r="K131"/>
  <c r="N131"/>
  <c r="F125" i="63" s="1"/>
  <c r="A125"/>
  <c r="B485" i="61"/>
  <c r="AN131" i="47"/>
  <c r="AR131" s="1"/>
  <c r="L131"/>
  <c r="J131"/>
  <c r="M131"/>
  <c r="L87"/>
  <c r="N87"/>
  <c r="F81" i="63" s="1"/>
  <c r="A81"/>
  <c r="J87" i="47"/>
  <c r="K87"/>
  <c r="B309" i="61"/>
  <c r="M87" i="47"/>
  <c r="AN87"/>
  <c r="AR87" s="1"/>
  <c r="AF106"/>
  <c r="AB106"/>
  <c r="C388" i="61" s="1"/>
  <c r="AD106" i="47"/>
  <c r="E388" i="61" s="1"/>
  <c r="B388"/>
  <c r="AE106" i="47"/>
  <c r="AQ106"/>
  <c r="AC106"/>
  <c r="D388" i="61" s="1"/>
  <c r="AC104" i="47"/>
  <c r="D380" i="61" s="1"/>
  <c r="AF104" i="47"/>
  <c r="AQ104"/>
  <c r="B380" i="61"/>
  <c r="AE104" i="47"/>
  <c r="AB104"/>
  <c r="C380" i="61" s="1"/>
  <c r="AD104" i="47"/>
  <c r="E380" i="61" s="1"/>
  <c r="AQ265" i="47"/>
  <c r="AF265"/>
  <c r="AC265"/>
  <c r="AD265"/>
  <c r="AB265"/>
  <c r="AE265"/>
  <c r="S173"/>
  <c r="E305" i="63" s="1"/>
  <c r="T173" i="47"/>
  <c r="F305" i="63" s="1"/>
  <c r="AO173" i="47"/>
  <c r="A305" i="63"/>
  <c r="Q173" i="47"/>
  <c r="C305" i="63" s="1"/>
  <c r="AD133" i="47"/>
  <c r="E496" i="61" s="1"/>
  <c r="AC133" i="47"/>
  <c r="D496" i="61" s="1"/>
  <c r="AF133" i="47"/>
  <c r="B496" i="61"/>
  <c r="AQ133" i="47"/>
  <c r="AE133"/>
  <c r="AB133"/>
  <c r="C496" i="61" s="1"/>
  <c r="A387" i="63"/>
  <c r="Q255" i="47"/>
  <c r="C387" i="63" s="1"/>
  <c r="T255" i="47"/>
  <c r="F387" i="63" s="1"/>
  <c r="S255" i="47"/>
  <c r="E387" i="63" s="1"/>
  <c r="AO255" i="47"/>
  <c r="AC246"/>
  <c r="AQ246"/>
  <c r="AE246"/>
  <c r="AD246"/>
  <c r="AF246"/>
  <c r="AB246"/>
  <c r="J106"/>
  <c r="A100" i="63"/>
  <c r="N106" i="47"/>
  <c r="F100" i="63" s="1"/>
  <c r="K106" i="47"/>
  <c r="L106"/>
  <c r="M106"/>
  <c r="AN106"/>
  <c r="AR106" s="1"/>
  <c r="B385" i="61"/>
  <c r="W242" i="47"/>
  <c r="Z242"/>
  <c r="Y242"/>
  <c r="AP242"/>
  <c r="Y198"/>
  <c r="Z198"/>
  <c r="AP198"/>
  <c r="W198"/>
  <c r="AD63"/>
  <c r="E216" i="61" s="1"/>
  <c r="AE63" i="47"/>
  <c r="B216" i="61"/>
  <c r="AB63" i="47"/>
  <c r="C216" i="61" s="1"/>
  <c r="AC63" i="47"/>
  <c r="D216" i="61" s="1"/>
  <c r="AF63" i="47"/>
  <c r="AQ63"/>
  <c r="B213" i="61"/>
  <c r="K63" i="47"/>
  <c r="A57" i="63"/>
  <c r="N63" i="47"/>
  <c r="F57" i="63" s="1"/>
  <c r="AN63" i="47"/>
  <c r="L63"/>
  <c r="M63"/>
  <c r="J63"/>
  <c r="Q217"/>
  <c r="C349" i="63" s="1"/>
  <c r="T217" i="47"/>
  <c r="F349" i="63" s="1"/>
  <c r="S217" i="47"/>
  <c r="E349" i="63" s="1"/>
  <c r="AO217" i="47"/>
  <c r="A349" i="63"/>
  <c r="AF148" i="47"/>
  <c r="AB148"/>
  <c r="AC148"/>
  <c r="AE148"/>
  <c r="AQ148"/>
  <c r="AD148"/>
  <c r="AE45"/>
  <c r="AD45"/>
  <c r="E144" i="61" s="1"/>
  <c r="B144"/>
  <c r="AB45" i="47"/>
  <c r="C144" i="61" s="1"/>
  <c r="AQ45" i="47"/>
  <c r="AC45"/>
  <c r="D144" i="61" s="1"/>
  <c r="AF45" i="47"/>
  <c r="AP14"/>
  <c r="Z14"/>
  <c r="Y14"/>
  <c r="W14"/>
  <c r="D19" i="61" s="1"/>
  <c r="B19"/>
  <c r="W211" i="47"/>
  <c r="Z211"/>
  <c r="Y211"/>
  <c r="AP211"/>
  <c r="W98"/>
  <c r="D355" i="61" s="1"/>
  <c r="Y98" i="47"/>
  <c r="Z98"/>
  <c r="B355" i="61"/>
  <c r="AP98" i="47"/>
  <c r="AB217"/>
  <c r="AD217"/>
  <c r="AQ217"/>
  <c r="AC217"/>
  <c r="AF217"/>
  <c r="AE217"/>
  <c r="AN164"/>
  <c r="K164"/>
  <c r="M164"/>
  <c r="E164" s="1"/>
  <c r="N164"/>
  <c r="S68"/>
  <c r="E200" i="63" s="1"/>
  <c r="A200"/>
  <c r="Q68" i="47"/>
  <c r="AO68"/>
  <c r="T68"/>
  <c r="F200" i="63" s="1"/>
  <c r="B234" i="61"/>
  <c r="AD164" i="47"/>
  <c r="AF164"/>
  <c r="AC164"/>
  <c r="AB164"/>
  <c r="AE164"/>
  <c r="AQ164"/>
  <c r="Z191"/>
  <c r="AP191"/>
  <c r="W191"/>
  <c r="Y191"/>
  <c r="N56"/>
  <c r="F50" i="63" s="1"/>
  <c r="K56" i="47"/>
  <c r="J56"/>
  <c r="L56"/>
  <c r="A50" i="63"/>
  <c r="AN56" i="47"/>
  <c r="AR56" s="1"/>
  <c r="B185" i="61"/>
  <c r="M56" i="47"/>
  <c r="M160"/>
  <c r="E160" s="1"/>
  <c r="AN160"/>
  <c r="AR160" s="1"/>
  <c r="K160"/>
  <c r="N160"/>
  <c r="AD200"/>
  <c r="AF200"/>
  <c r="AE200"/>
  <c r="AQ200"/>
  <c r="AB200"/>
  <c r="AC200"/>
  <c r="T265"/>
  <c r="F397" i="63" s="1"/>
  <c r="AO265" i="47"/>
  <c r="S265"/>
  <c r="E397" i="63" s="1"/>
  <c r="Q265" i="47"/>
  <c r="C397" i="63" s="1"/>
  <c r="A397"/>
  <c r="AO240" i="47"/>
  <c r="T240"/>
  <c r="F372" i="63" s="1"/>
  <c r="S240" i="47"/>
  <c r="E372" i="63" s="1"/>
  <c r="Q240" i="47"/>
  <c r="C372" i="63" s="1"/>
  <c r="A372"/>
  <c r="AD114" i="47"/>
  <c r="E420" i="61" s="1"/>
  <c r="AB114" i="47"/>
  <c r="C420" i="61" s="1"/>
  <c r="AC114" i="47"/>
  <c r="D420" i="61" s="1"/>
  <c r="AQ114" i="47"/>
  <c r="AF114"/>
  <c r="B420" i="61"/>
  <c r="AE114" i="47"/>
  <c r="M68"/>
  <c r="B233" i="61"/>
  <c r="J68" i="47"/>
  <c r="AN68"/>
  <c r="L68"/>
  <c r="N68"/>
  <c r="F62" i="63" s="1"/>
  <c r="A62"/>
  <c r="K68" i="47"/>
  <c r="A199" i="63"/>
  <c r="T67" i="47"/>
  <c r="F199" i="63" s="1"/>
  <c r="B230" i="61"/>
  <c r="Q67" i="47"/>
  <c r="S67"/>
  <c r="E199" i="63" s="1"/>
  <c r="AO67" i="47"/>
  <c r="Y182"/>
  <c r="W182"/>
  <c r="Z182"/>
  <c r="AP182"/>
  <c r="Z263"/>
  <c r="AP263"/>
  <c r="Y263"/>
  <c r="W263"/>
  <c r="Q155"/>
  <c r="C287" i="63" s="1"/>
  <c r="T155" i="47"/>
  <c r="F287" i="63" s="1"/>
  <c r="A287"/>
  <c r="S155" i="47"/>
  <c r="E287" i="63" s="1"/>
  <c r="AO155" i="47"/>
  <c r="AD224"/>
  <c r="AC224"/>
  <c r="AF224"/>
  <c r="AE224"/>
  <c r="AB224"/>
  <c r="AQ224"/>
  <c r="X151"/>
  <c r="V254"/>
  <c r="X197"/>
  <c r="P209"/>
  <c r="V161"/>
  <c r="V120"/>
  <c r="V131"/>
  <c r="P50"/>
  <c r="P60"/>
  <c r="V164"/>
  <c r="V121"/>
  <c r="R133"/>
  <c r="J188"/>
  <c r="J254"/>
  <c r="X237"/>
  <c r="V235"/>
  <c r="R47"/>
  <c r="V180"/>
  <c r="R166"/>
  <c r="P56"/>
  <c r="P116"/>
  <c r="X134"/>
  <c r="R195"/>
  <c r="P94"/>
  <c r="P263"/>
  <c r="P210"/>
  <c r="V173"/>
  <c r="X172"/>
  <c r="X22"/>
  <c r="P71"/>
  <c r="P163"/>
  <c r="P55"/>
  <c r="X189"/>
  <c r="X146"/>
  <c r="R188"/>
  <c r="R86"/>
  <c r="P222"/>
  <c r="J185"/>
  <c r="X186"/>
  <c r="J233"/>
  <c r="R156"/>
  <c r="P130"/>
  <c r="V101"/>
  <c r="V43"/>
  <c r="J189"/>
  <c r="R98"/>
  <c r="R81"/>
  <c r="P221"/>
  <c r="X116"/>
  <c r="R43"/>
  <c r="P29"/>
  <c r="J156"/>
  <c r="X41"/>
  <c r="J243"/>
  <c r="R257"/>
  <c r="X21"/>
  <c r="R146"/>
  <c r="V261"/>
  <c r="J216"/>
  <c r="P78"/>
  <c r="P223"/>
  <c r="P25"/>
  <c r="X11"/>
  <c r="V12"/>
  <c r="R242"/>
  <c r="P190"/>
  <c r="L163"/>
  <c r="L250"/>
  <c r="J222"/>
  <c r="V153"/>
  <c r="R198"/>
  <c r="X45"/>
  <c r="L161"/>
  <c r="X24"/>
  <c r="X57"/>
  <c r="P129"/>
  <c r="X158"/>
  <c r="V20"/>
  <c r="P219"/>
  <c r="V224"/>
  <c r="V106"/>
  <c r="X175"/>
  <c r="J206"/>
  <c r="P87"/>
  <c r="P19"/>
  <c r="R24"/>
  <c r="R108"/>
  <c r="R183"/>
  <c r="L209"/>
  <c r="P243"/>
  <c r="P82"/>
  <c r="R72"/>
  <c r="X15"/>
  <c r="R182"/>
  <c r="P114"/>
  <c r="X142"/>
  <c r="R179"/>
  <c r="X238"/>
  <c r="V157"/>
  <c r="P34"/>
  <c r="J187"/>
  <c r="P258"/>
  <c r="V124"/>
  <c r="X208"/>
  <c r="V209"/>
  <c r="V176"/>
  <c r="X148"/>
  <c r="P224"/>
  <c r="V16"/>
  <c r="X34"/>
  <c r="R141"/>
  <c r="R90"/>
  <c r="V112"/>
  <c r="V17"/>
  <c r="V140"/>
  <c r="V110"/>
  <c r="P196"/>
  <c r="X83"/>
  <c r="X183"/>
  <c r="P95"/>
  <c r="V25"/>
  <c r="P193"/>
  <c r="V66"/>
  <c r="V90"/>
  <c r="R254"/>
  <c r="R111"/>
  <c r="V93"/>
  <c r="V84"/>
  <c r="L240"/>
  <c r="P226"/>
  <c r="R122"/>
  <c r="P180"/>
  <c r="V218"/>
  <c r="L202"/>
  <c r="X85"/>
  <c r="X71"/>
  <c r="P134"/>
  <c r="R32"/>
  <c r="R259"/>
  <c r="R260"/>
  <c r="R245"/>
  <c r="J266"/>
  <c r="J262"/>
  <c r="V109"/>
  <c r="V132"/>
  <c r="R54"/>
  <c r="R15"/>
  <c r="L173"/>
  <c r="P187"/>
  <c r="X58"/>
  <c r="J210"/>
  <c r="P112"/>
  <c r="R84"/>
  <c r="P228"/>
  <c r="P132"/>
  <c r="X223"/>
  <c r="J263"/>
  <c r="X61"/>
  <c r="P235"/>
  <c r="R117"/>
  <c r="V245"/>
  <c r="L230"/>
  <c r="X205"/>
  <c r="X54"/>
  <c r="P16"/>
  <c r="J260"/>
  <c r="X150"/>
  <c r="V170"/>
  <c r="P248"/>
  <c r="L229"/>
  <c r="V226"/>
  <c r="V92"/>
  <c r="R192"/>
  <c r="V179"/>
  <c r="L258"/>
  <c r="V154"/>
  <c r="J166"/>
  <c r="X108"/>
  <c r="V125"/>
  <c r="V67"/>
  <c r="L207"/>
  <c r="P38"/>
  <c r="V39"/>
  <c r="P63"/>
  <c r="R51"/>
  <c r="X178"/>
  <c r="X64"/>
  <c r="R61"/>
  <c r="X249"/>
  <c r="P178"/>
  <c r="R178"/>
  <c r="P77"/>
  <c r="X28"/>
  <c r="V13"/>
  <c r="X52"/>
  <c r="P80"/>
  <c r="X89"/>
  <c r="R157"/>
  <c r="R203"/>
  <c r="X113"/>
  <c r="X257"/>
  <c r="R147"/>
  <c r="R252"/>
  <c r="V220"/>
  <c r="X65"/>
  <c r="R136"/>
  <c r="X103"/>
  <c r="X88"/>
  <c r="V201"/>
  <c r="L198"/>
  <c r="P238"/>
  <c r="P119"/>
  <c r="R48"/>
  <c r="P142"/>
  <c r="V255"/>
  <c r="P22"/>
  <c r="V26"/>
  <c r="R127"/>
  <c r="R184"/>
  <c r="R145"/>
  <c r="V53"/>
  <c r="L261"/>
  <c r="R159"/>
  <c r="X133"/>
  <c r="X99"/>
  <c r="R102"/>
  <c r="J232"/>
  <c r="X251"/>
  <c r="V126"/>
  <c r="X185"/>
  <c r="V105"/>
  <c r="P262"/>
  <c r="X210"/>
  <c r="R65"/>
  <c r="J196"/>
  <c r="V145"/>
  <c r="R214"/>
  <c r="P160"/>
  <c r="P165"/>
  <c r="V181"/>
  <c r="R251"/>
  <c r="P100"/>
  <c r="X241"/>
  <c r="R113"/>
  <c r="X256"/>
  <c r="R220"/>
  <c r="X258"/>
  <c r="J214"/>
  <c r="X233"/>
  <c r="V104"/>
  <c r="X42"/>
  <c r="X68"/>
  <c r="V231"/>
  <c r="J157"/>
  <c r="V36"/>
  <c r="J193"/>
  <c r="P201"/>
  <c r="P215"/>
  <c r="R229"/>
  <c r="R128"/>
  <c r="J225"/>
  <c r="X32"/>
  <c r="V40"/>
  <c r="P92"/>
  <c r="L169"/>
  <c r="X228"/>
  <c r="R40"/>
  <c r="X119"/>
  <c r="V217"/>
  <c r="V56"/>
  <c r="V212"/>
  <c r="R206"/>
  <c r="P181"/>
  <c r="P211"/>
  <c r="P151"/>
  <c r="R140"/>
  <c r="R152"/>
  <c r="P69"/>
  <c r="P216"/>
  <c r="J154"/>
  <c r="V70"/>
  <c r="V192"/>
  <c r="R237"/>
  <c r="R213"/>
  <c r="V147"/>
  <c r="R191"/>
  <c r="J255"/>
  <c r="X227"/>
  <c r="X156"/>
  <c r="R37"/>
  <c r="X18"/>
  <c r="R185"/>
  <c r="P121"/>
  <c r="J247"/>
  <c r="R144"/>
  <c r="V240"/>
  <c r="V167"/>
  <c r="V80"/>
  <c r="V193"/>
  <c r="P31"/>
  <c r="R232"/>
  <c r="P218"/>
  <c r="L257"/>
  <c r="R153"/>
  <c r="J217"/>
  <c r="V19"/>
  <c r="R96"/>
  <c r="V55"/>
  <c r="R104"/>
  <c r="L178"/>
  <c r="R17"/>
  <c r="X73"/>
  <c r="X81"/>
  <c r="P85"/>
  <c r="V171"/>
  <c r="V234"/>
  <c r="X118"/>
  <c r="P177"/>
  <c r="J167"/>
  <c r="R244"/>
  <c r="X155"/>
  <c r="V127"/>
  <c r="L180"/>
  <c r="P172"/>
  <c r="P62"/>
  <c r="P148"/>
  <c r="J221"/>
  <c r="P11"/>
  <c r="L226"/>
  <c r="J251"/>
  <c r="P41"/>
  <c r="R93"/>
  <c r="P93"/>
  <c r="V49"/>
  <c r="X253"/>
  <c r="L171"/>
  <c r="V46"/>
  <c r="X46"/>
  <c r="V107"/>
  <c r="R227"/>
  <c r="P99"/>
  <c r="R99"/>
  <c r="R76"/>
  <c r="R42"/>
  <c r="P58"/>
  <c r="R73"/>
  <c r="R88"/>
  <c r="V62"/>
  <c r="X62"/>
  <c r="X163"/>
  <c r="X177"/>
  <c r="J197"/>
  <c r="V60"/>
  <c r="R120"/>
  <c r="P256"/>
  <c r="P30"/>
  <c r="R123"/>
  <c r="P189"/>
  <c r="J239"/>
  <c r="L183"/>
  <c r="J162"/>
  <c r="P158"/>
  <c r="R124"/>
  <c r="P97"/>
  <c r="X129"/>
  <c r="J174"/>
  <c r="R162"/>
  <c r="P162"/>
  <c r="X219"/>
  <c r="J253"/>
  <c r="X166"/>
  <c r="X174"/>
  <c r="R131"/>
  <c r="P253"/>
  <c r="V130"/>
  <c r="X247"/>
  <c r="X96"/>
  <c r="X159"/>
  <c r="V82"/>
  <c r="P135"/>
  <c r="L224"/>
  <c r="R171"/>
  <c r="J194"/>
  <c r="V95"/>
  <c r="V236"/>
  <c r="V195"/>
  <c r="R168"/>
  <c r="J190"/>
  <c r="L234"/>
  <c r="R186"/>
  <c r="V59"/>
  <c r="R169"/>
  <c r="P169"/>
  <c r="L236"/>
  <c r="V162"/>
  <c r="P110"/>
  <c r="R33"/>
  <c r="P231"/>
  <c r="X136"/>
  <c r="V168"/>
  <c r="P125"/>
  <c r="R125"/>
  <c r="V222"/>
  <c r="X47"/>
  <c r="X203"/>
  <c r="J237"/>
  <c r="R109"/>
  <c r="J249"/>
  <c r="P52"/>
  <c r="V202"/>
  <c r="P101"/>
  <c r="V141"/>
  <c r="V250"/>
  <c r="V243"/>
  <c r="R150"/>
  <c r="X102"/>
  <c r="J218"/>
  <c r="P261"/>
  <c r="R167"/>
  <c r="V165"/>
  <c r="V63"/>
  <c r="V77"/>
  <c r="X265"/>
  <c r="J220"/>
  <c r="P46"/>
  <c r="V114"/>
  <c r="V94"/>
  <c r="X143"/>
  <c r="J204"/>
  <c r="V151"/>
  <c r="X254"/>
  <c r="V197"/>
  <c r="R209"/>
  <c r="X161"/>
  <c r="X120"/>
  <c r="X131"/>
  <c r="R50"/>
  <c r="R60"/>
  <c r="X164"/>
  <c r="X121"/>
  <c r="P133"/>
  <c r="L188"/>
  <c r="L254"/>
  <c r="V237"/>
  <c r="X235"/>
  <c r="P47"/>
  <c r="X180"/>
  <c r="P166"/>
  <c r="R56"/>
  <c r="R116"/>
  <c r="V134"/>
  <c r="P195"/>
  <c r="R94"/>
  <c r="R263"/>
  <c r="R210"/>
  <c r="X173"/>
  <c r="V172"/>
  <c r="V22"/>
  <c r="R71"/>
  <c r="R163"/>
  <c r="R55"/>
  <c r="V189"/>
  <c r="V146"/>
  <c r="P188"/>
  <c r="P86"/>
  <c r="R222"/>
  <c r="L185"/>
  <c r="V186"/>
  <c r="L233"/>
  <c r="P156"/>
  <c r="R130"/>
  <c r="X101"/>
  <c r="X43"/>
  <c r="L189"/>
  <c r="P98"/>
  <c r="P81"/>
  <c r="R221"/>
  <c r="V116"/>
  <c r="P43"/>
  <c r="R29"/>
  <c r="L156"/>
  <c r="V41"/>
  <c r="L243"/>
  <c r="P257"/>
  <c r="V21"/>
  <c r="P146"/>
  <c r="X261"/>
  <c r="L216"/>
  <c r="R78"/>
  <c r="R223"/>
  <c r="R25"/>
  <c r="V11"/>
  <c r="X12"/>
  <c r="P242"/>
  <c r="R190"/>
  <c r="J163"/>
  <c r="J250"/>
  <c r="L222"/>
  <c r="X153"/>
  <c r="P198"/>
  <c r="V45"/>
  <c r="J161"/>
  <c r="V24"/>
  <c r="V57"/>
  <c r="R129"/>
  <c r="V158"/>
  <c r="X20"/>
  <c r="R219"/>
  <c r="X224"/>
  <c r="X106"/>
  <c r="V175"/>
  <c r="L206"/>
  <c r="R87"/>
  <c r="R19"/>
  <c r="P24"/>
  <c r="P108"/>
  <c r="P183"/>
  <c r="J209"/>
  <c r="R243"/>
  <c r="R82"/>
  <c r="P72"/>
  <c r="V15"/>
  <c r="P182"/>
  <c r="R114"/>
  <c r="V142"/>
  <c r="P179"/>
  <c r="V238"/>
  <c r="X157"/>
  <c r="R34"/>
  <c r="L187"/>
  <c r="R258"/>
  <c r="X124"/>
  <c r="V208"/>
  <c r="X209"/>
  <c r="X176"/>
  <c r="V148"/>
  <c r="R224"/>
  <c r="X16"/>
  <c r="V34"/>
  <c r="P141"/>
  <c r="P90"/>
  <c r="X112"/>
  <c r="X17"/>
  <c r="X140"/>
  <c r="X110"/>
  <c r="R196"/>
  <c r="V83"/>
  <c r="V183"/>
  <c r="R95"/>
  <c r="X25"/>
  <c r="R193"/>
  <c r="X66"/>
  <c r="X90"/>
  <c r="P254"/>
  <c r="P111"/>
  <c r="X93"/>
  <c r="X84"/>
  <c r="J240"/>
  <c r="R226"/>
  <c r="P122"/>
  <c r="R180"/>
  <c r="X218"/>
  <c r="J202"/>
  <c r="V85"/>
  <c r="V71"/>
  <c r="R134"/>
  <c r="P32"/>
  <c r="P259"/>
  <c r="P260"/>
  <c r="P245"/>
  <c r="L266"/>
  <c r="L262"/>
  <c r="X109"/>
  <c r="X132"/>
  <c r="P54"/>
  <c r="P15"/>
  <c r="J173"/>
  <c r="R187"/>
  <c r="V58"/>
  <c r="L210"/>
  <c r="R112"/>
  <c r="P84"/>
  <c r="R228"/>
  <c r="R132"/>
  <c r="V223"/>
  <c r="L263"/>
  <c r="V61"/>
  <c r="R235"/>
  <c r="P117"/>
  <c r="X245"/>
  <c r="J230"/>
  <c r="V205"/>
  <c r="V54"/>
  <c r="R16"/>
  <c r="L260"/>
  <c r="V150"/>
  <c r="X170"/>
  <c r="R248"/>
  <c r="J229"/>
  <c r="X226"/>
  <c r="X92"/>
  <c r="P192"/>
  <c r="X179"/>
  <c r="J258"/>
  <c r="X154"/>
  <c r="L166"/>
  <c r="V108"/>
  <c r="X125"/>
  <c r="X67"/>
  <c r="J207"/>
  <c r="R38"/>
  <c r="X39"/>
  <c r="R63"/>
  <c r="P51"/>
  <c r="V178"/>
  <c r="V64"/>
  <c r="P61"/>
  <c r="V249"/>
  <c r="X97"/>
  <c r="V97"/>
  <c r="R77"/>
  <c r="V28"/>
  <c r="X13"/>
  <c r="V52"/>
  <c r="R80"/>
  <c r="V89"/>
  <c r="P157"/>
  <c r="P203"/>
  <c r="V113"/>
  <c r="V257"/>
  <c r="P147"/>
  <c r="P252"/>
  <c r="X220"/>
  <c r="V65"/>
  <c r="P136"/>
  <c r="V103"/>
  <c r="V88"/>
  <c r="X201"/>
  <c r="J198"/>
  <c r="R238"/>
  <c r="R119"/>
  <c r="P48"/>
  <c r="R142"/>
  <c r="X255"/>
  <c r="R22"/>
  <c r="X26"/>
  <c r="P127"/>
  <c r="P184"/>
  <c r="P145"/>
  <c r="X53"/>
  <c r="J261"/>
  <c r="P159"/>
  <c r="V133"/>
  <c r="V99"/>
  <c r="P102"/>
  <c r="L232"/>
  <c r="V251"/>
  <c r="X126"/>
  <c r="V185"/>
  <c r="X105"/>
  <c r="R262"/>
  <c r="V210"/>
  <c r="P65"/>
  <c r="L196"/>
  <c r="X145"/>
  <c r="P214"/>
  <c r="R160"/>
  <c r="R165"/>
  <c r="X181"/>
  <c r="P251"/>
  <c r="R100"/>
  <c r="V241"/>
  <c r="P113"/>
  <c r="V256"/>
  <c r="P220"/>
  <c r="V258"/>
  <c r="L214"/>
  <c r="V233"/>
  <c r="X104"/>
  <c r="V42"/>
  <c r="V68"/>
  <c r="X231"/>
  <c r="L157"/>
  <c r="X36"/>
  <c r="L193"/>
  <c r="R201"/>
  <c r="R215"/>
  <c r="P229"/>
  <c r="P128"/>
  <c r="L225"/>
  <c r="V32"/>
  <c r="X40"/>
  <c r="R92"/>
  <c r="J169"/>
  <c r="V228"/>
  <c r="P40"/>
  <c r="V119"/>
  <c r="X217"/>
  <c r="X56"/>
  <c r="X212"/>
  <c r="P206"/>
  <c r="R181"/>
  <c r="R211"/>
  <c r="R151"/>
  <c r="P140"/>
  <c r="P152"/>
  <c r="R69"/>
  <c r="R216"/>
  <c r="L154"/>
  <c r="X70"/>
  <c r="X192"/>
  <c r="P237"/>
  <c r="P213"/>
  <c r="X147"/>
  <c r="P191"/>
  <c r="L255"/>
  <c r="V227"/>
  <c r="V156"/>
  <c r="P37"/>
  <c r="V18"/>
  <c r="P185"/>
  <c r="R121"/>
  <c r="L247"/>
  <c r="P144"/>
  <c r="X240"/>
  <c r="X167"/>
  <c r="X80"/>
  <c r="X193"/>
  <c r="R31"/>
  <c r="P232"/>
  <c r="R218"/>
  <c r="J257"/>
  <c r="P153"/>
  <c r="L217"/>
  <c r="X19"/>
  <c r="P96"/>
  <c r="X55"/>
  <c r="P104"/>
  <c r="J178"/>
  <c r="P17"/>
  <c r="V73"/>
  <c r="V81"/>
  <c r="R85"/>
  <c r="X171"/>
  <c r="X234"/>
  <c r="V118"/>
  <c r="R177"/>
  <c r="L167"/>
  <c r="P244"/>
  <c r="V155"/>
  <c r="X127"/>
  <c r="J180"/>
  <c r="R172"/>
  <c r="R62"/>
  <c r="R148"/>
  <c r="L221"/>
  <c r="R11"/>
  <c r="J226"/>
  <c r="L251"/>
  <c r="R41"/>
  <c r="X49"/>
  <c r="V253"/>
  <c r="J171"/>
  <c r="X107"/>
  <c r="P227"/>
  <c r="P76"/>
  <c r="P42"/>
  <c r="R58"/>
  <c r="P73"/>
  <c r="P88"/>
  <c r="V163"/>
  <c r="V177"/>
  <c r="L197"/>
  <c r="X60"/>
  <c r="P120"/>
  <c r="R256"/>
  <c r="R30"/>
  <c r="P123"/>
  <c r="R189"/>
  <c r="L239"/>
  <c r="J183"/>
  <c r="L162"/>
  <c r="R158"/>
  <c r="P124"/>
  <c r="J235"/>
  <c r="L235"/>
  <c r="R97"/>
  <c r="V129"/>
  <c r="V51"/>
  <c r="X51"/>
  <c r="L174"/>
  <c r="X33"/>
  <c r="V33"/>
  <c r="V219"/>
  <c r="P107"/>
  <c r="R107"/>
  <c r="P35"/>
  <c r="R35"/>
  <c r="L253"/>
  <c r="V166"/>
  <c r="V174"/>
  <c r="P131"/>
  <c r="R253"/>
  <c r="X130"/>
  <c r="V247"/>
  <c r="V96"/>
  <c r="V159"/>
  <c r="X82"/>
  <c r="R135"/>
  <c r="J224"/>
  <c r="P171"/>
  <c r="L194"/>
  <c r="X95"/>
  <c r="X236"/>
  <c r="X195"/>
  <c r="P168"/>
  <c r="L190"/>
  <c r="J234"/>
  <c r="L256"/>
  <c r="J256"/>
  <c r="P186"/>
  <c r="X59"/>
  <c r="J236"/>
  <c r="X162"/>
  <c r="R110"/>
  <c r="P33"/>
  <c r="R231"/>
  <c r="V136"/>
  <c r="X168"/>
  <c r="X222"/>
  <c r="V47"/>
  <c r="V203"/>
  <c r="V38"/>
  <c r="X38"/>
  <c r="L237"/>
  <c r="P109"/>
  <c r="L249"/>
  <c r="R52"/>
  <c r="X202"/>
  <c r="R101"/>
  <c r="X141"/>
  <c r="X250"/>
  <c r="X243"/>
  <c r="P150"/>
  <c r="V102"/>
  <c r="L218"/>
  <c r="R261"/>
  <c r="P167"/>
  <c r="X165"/>
  <c r="X63"/>
  <c r="X77"/>
  <c r="V265"/>
  <c r="L220"/>
  <c r="R46"/>
  <c r="X114"/>
  <c r="X94"/>
  <c r="V143"/>
  <c r="L204"/>
  <c r="V128"/>
  <c r="L245"/>
  <c r="L191"/>
  <c r="V138"/>
  <c r="R75"/>
  <c r="R194"/>
  <c r="V123"/>
  <c r="X169"/>
  <c r="R236"/>
  <c r="L184"/>
  <c r="V204"/>
  <c r="P79"/>
  <c r="P44"/>
  <c r="X79"/>
  <c r="L244"/>
  <c r="R20"/>
  <c r="V69"/>
  <c r="J208"/>
  <c r="L265"/>
  <c r="L176"/>
  <c r="P202"/>
  <c r="J200"/>
  <c r="P161"/>
  <c r="P204"/>
  <c r="X246"/>
  <c r="J215"/>
  <c r="P139"/>
  <c r="R176"/>
  <c r="X128"/>
  <c r="J245"/>
  <c r="J191"/>
  <c r="X138"/>
  <c r="P194"/>
  <c r="X123"/>
  <c r="J184"/>
  <c r="R79"/>
  <c r="J244"/>
  <c r="L208"/>
  <c r="J176"/>
  <c r="R202"/>
  <c r="V246"/>
  <c r="L215"/>
  <c r="R139"/>
  <c r="P176"/>
  <c r="V214"/>
  <c r="L175"/>
  <c r="R115"/>
  <c r="V117"/>
  <c r="P59"/>
  <c r="X35"/>
  <c r="R23"/>
  <c r="R21"/>
  <c r="P74"/>
  <c r="X266"/>
  <c r="J213"/>
  <c r="V27"/>
  <c r="R225"/>
  <c r="L259"/>
  <c r="L199"/>
  <c r="X75"/>
  <c r="X149"/>
  <c r="X244"/>
  <c r="P18"/>
  <c r="P205"/>
  <c r="V160"/>
  <c r="R103"/>
  <c r="J179"/>
  <c r="X221"/>
  <c r="J155"/>
  <c r="J165"/>
  <c r="P70"/>
  <c r="P207"/>
  <c r="X72"/>
  <c r="P170"/>
  <c r="X152"/>
  <c r="L182"/>
  <c r="X44"/>
  <c r="L238"/>
  <c r="R164"/>
  <c r="R118"/>
  <c r="R12"/>
  <c r="R149"/>
  <c r="R249"/>
  <c r="R91"/>
  <c r="X199"/>
  <c r="V87"/>
  <c r="X252"/>
  <c r="R126"/>
  <c r="X248"/>
  <c r="V78"/>
  <c r="V30"/>
  <c r="L241"/>
  <c r="L159"/>
  <c r="P14"/>
  <c r="V139"/>
  <c r="V259"/>
  <c r="L219"/>
  <c r="R250"/>
  <c r="X213"/>
  <c r="V76"/>
  <c r="P66"/>
  <c r="L181"/>
  <c r="L186"/>
  <c r="X48"/>
  <c r="P246"/>
  <c r="R64"/>
  <c r="R266"/>
  <c r="J201"/>
  <c r="X74"/>
  <c r="P239"/>
  <c r="X190"/>
  <c r="X264"/>
  <c r="P106"/>
  <c r="R106"/>
  <c r="X229"/>
  <c r="V29"/>
  <c r="X144"/>
  <c r="X91"/>
  <c r="P39"/>
  <c r="P154"/>
  <c r="R89"/>
  <c r="R137"/>
  <c r="R208"/>
  <c r="R26"/>
  <c r="R199"/>
  <c r="J158"/>
  <c r="J227"/>
  <c r="R264"/>
  <c r="V215"/>
  <c r="L228"/>
  <c r="V194"/>
  <c r="X216"/>
  <c r="P28"/>
  <c r="X207"/>
  <c r="R83"/>
  <c r="V100"/>
  <c r="V86"/>
  <c r="V50"/>
  <c r="J192"/>
  <c r="X206"/>
  <c r="R13"/>
  <c r="V225"/>
  <c r="J211"/>
  <c r="J212"/>
  <c r="V196"/>
  <c r="V31"/>
  <c r="J168"/>
  <c r="J231"/>
  <c r="V188"/>
  <c r="R230"/>
  <c r="V262"/>
  <c r="P45"/>
  <c r="L246"/>
  <c r="V230"/>
  <c r="P138"/>
  <c r="P57"/>
  <c r="J203"/>
  <c r="J242"/>
  <c r="R197"/>
  <c r="R241"/>
  <c r="R175"/>
  <c r="L252"/>
  <c r="R105"/>
  <c r="V122"/>
  <c r="V200"/>
  <c r="R200"/>
  <c r="J172"/>
  <c r="V37"/>
  <c r="R233"/>
  <c r="V23"/>
  <c r="L248"/>
  <c r="L170"/>
  <c r="R49"/>
  <c r="P27"/>
  <c r="P143"/>
  <c r="R36"/>
  <c r="X111"/>
  <c r="J264"/>
  <c r="V184"/>
  <c r="X115"/>
  <c r="V260"/>
  <c r="L223"/>
  <c r="J205"/>
  <c r="V187"/>
  <c r="R174"/>
  <c r="L195"/>
  <c r="V232"/>
  <c r="X239"/>
  <c r="R212"/>
  <c r="X135"/>
  <c r="P53"/>
  <c r="P173"/>
  <c r="R255"/>
  <c r="V242"/>
  <c r="V198"/>
  <c r="R217"/>
  <c r="X14"/>
  <c r="X211"/>
  <c r="V98"/>
  <c r="J164"/>
  <c r="P68"/>
  <c r="V191"/>
  <c r="L160"/>
  <c r="R265"/>
  <c r="R67"/>
  <c r="P75"/>
  <c r="V169"/>
  <c r="P236"/>
  <c r="X204"/>
  <c r="R44"/>
  <c r="V79"/>
  <c r="P20"/>
  <c r="X69"/>
  <c r="J265"/>
  <c r="L200"/>
  <c r="R161"/>
  <c r="R204"/>
  <c r="X214"/>
  <c r="J175"/>
  <c r="P115"/>
  <c r="X117"/>
  <c r="R59"/>
  <c r="V35"/>
  <c r="P23"/>
  <c r="P21"/>
  <c r="R74"/>
  <c r="V266"/>
  <c r="L213"/>
  <c r="X27"/>
  <c r="P225"/>
  <c r="J259"/>
  <c r="J199"/>
  <c r="V75"/>
  <c r="V149"/>
  <c r="V244"/>
  <c r="R18"/>
  <c r="R205"/>
  <c r="X160"/>
  <c r="P103"/>
  <c r="L179"/>
  <c r="V221"/>
  <c r="L155"/>
  <c r="L165"/>
  <c r="R70"/>
  <c r="R207"/>
  <c r="V72"/>
  <c r="R170"/>
  <c r="V152"/>
  <c r="J182"/>
  <c r="V137"/>
  <c r="X137"/>
  <c r="L177"/>
  <c r="J177"/>
  <c r="V44"/>
  <c r="J238"/>
  <c r="P164"/>
  <c r="P247"/>
  <c r="R247"/>
  <c r="P118"/>
  <c r="P12"/>
  <c r="P149"/>
  <c r="P249"/>
  <c r="P91"/>
  <c r="V199"/>
  <c r="X87"/>
  <c r="V252"/>
  <c r="P126"/>
  <c r="V248"/>
  <c r="X78"/>
  <c r="X30"/>
  <c r="J241"/>
  <c r="J159"/>
  <c r="R14"/>
  <c r="X139"/>
  <c r="X259"/>
  <c r="J219"/>
  <c r="P250"/>
  <c r="V213"/>
  <c r="X76"/>
  <c r="R66"/>
  <c r="J181"/>
  <c r="J186"/>
  <c r="V48"/>
  <c r="R246"/>
  <c r="P64"/>
  <c r="P266"/>
  <c r="L201"/>
  <c r="V74"/>
  <c r="R239"/>
  <c r="V190"/>
  <c r="V264"/>
  <c r="V229"/>
  <c r="X29"/>
  <c r="P234"/>
  <c r="R234"/>
  <c r="V144"/>
  <c r="V91"/>
  <c r="R39"/>
  <c r="R154"/>
  <c r="P89"/>
  <c r="P137"/>
  <c r="P208"/>
  <c r="P26"/>
  <c r="P199"/>
  <c r="L158"/>
  <c r="L227"/>
  <c r="P264"/>
  <c r="X215"/>
  <c r="J228"/>
  <c r="X194"/>
  <c r="V216"/>
  <c r="R28"/>
  <c r="V207"/>
  <c r="P83"/>
  <c r="X100"/>
  <c r="X86"/>
  <c r="X50"/>
  <c r="L192"/>
  <c r="V206"/>
  <c r="P13"/>
  <c r="X225"/>
  <c r="L211"/>
  <c r="L212"/>
  <c r="X196"/>
  <c r="X31"/>
  <c r="L168"/>
  <c r="L231"/>
  <c r="X188"/>
  <c r="P230"/>
  <c r="X262"/>
  <c r="R45"/>
  <c r="J246"/>
  <c r="X230"/>
  <c r="R138"/>
  <c r="R57"/>
  <c r="L203"/>
  <c r="L242"/>
  <c r="P197"/>
  <c r="P241"/>
  <c r="P175"/>
  <c r="J252"/>
  <c r="P105"/>
  <c r="X122"/>
  <c r="X200"/>
  <c r="P200"/>
  <c r="L172"/>
  <c r="X37"/>
  <c r="P233"/>
  <c r="X23"/>
  <c r="J248"/>
  <c r="J170"/>
  <c r="P49"/>
  <c r="R27"/>
  <c r="R143"/>
  <c r="P36"/>
  <c r="V111"/>
  <c r="L264"/>
  <c r="X184"/>
  <c r="V115"/>
  <c r="X260"/>
  <c r="J223"/>
  <c r="L205"/>
  <c r="X187"/>
  <c r="P174"/>
  <c r="J195"/>
  <c r="X232"/>
  <c r="V239"/>
  <c r="P212"/>
  <c r="V135"/>
  <c r="R53"/>
  <c r="R173"/>
  <c r="P255"/>
  <c r="X242"/>
  <c r="X198"/>
  <c r="P217"/>
  <c r="V14"/>
  <c r="V211"/>
  <c r="X98"/>
  <c r="L164"/>
  <c r="R68"/>
  <c r="X191"/>
  <c r="J160"/>
  <c r="P265"/>
  <c r="R240"/>
  <c r="P67"/>
  <c r="V182"/>
  <c r="X263"/>
  <c r="R155"/>
  <c r="P240"/>
  <c r="X182"/>
  <c r="V263"/>
  <c r="P155"/>
  <c r="AR68" l="1"/>
  <c r="AR136"/>
  <c r="AR41"/>
  <c r="AR134"/>
  <c r="AR109"/>
  <c r="B287" i="63"/>
  <c r="B372"/>
  <c r="D287"/>
  <c r="B199"/>
  <c r="C230" i="61"/>
  <c r="D372" i="63"/>
  <c r="B397"/>
  <c r="A160" i="47"/>
  <c r="G160" s="1"/>
  <c r="B160" s="1"/>
  <c r="D200" i="63"/>
  <c r="E234" i="61"/>
  <c r="E355"/>
  <c r="C19"/>
  <c r="B349" i="63"/>
  <c r="B387"/>
  <c r="D305"/>
  <c r="D185"/>
  <c r="E174" i="61"/>
  <c r="C503"/>
  <c r="B344" i="63"/>
  <c r="A195" i="47"/>
  <c r="G195" s="1"/>
  <c r="B195" s="1"/>
  <c r="B306" i="63"/>
  <c r="A223" i="47"/>
  <c r="G223" s="1"/>
  <c r="B223" s="1"/>
  <c r="C423" i="61"/>
  <c r="C407"/>
  <c r="C106"/>
  <c r="B168" i="63"/>
  <c r="D275"/>
  <c r="D159"/>
  <c r="E70" i="61"/>
  <c r="B181" i="63"/>
  <c r="C158" i="61"/>
  <c r="A170" i="47"/>
  <c r="G170" s="1"/>
  <c r="B170" s="1"/>
  <c r="A248"/>
  <c r="G248" s="1"/>
  <c r="B248" s="1"/>
  <c r="E55" i="61"/>
  <c r="B365" i="63"/>
  <c r="E111" i="61"/>
  <c r="B332" i="63"/>
  <c r="E451" i="61"/>
  <c r="C382"/>
  <c r="B237" i="63"/>
  <c r="A252" i="47"/>
  <c r="G252" s="1"/>
  <c r="B252" s="1"/>
  <c r="B307" i="63"/>
  <c r="B373"/>
  <c r="B329"/>
  <c r="D189"/>
  <c r="E190" i="61"/>
  <c r="D270" i="63"/>
  <c r="E514" i="61"/>
  <c r="A246" i="47"/>
  <c r="D177" i="63"/>
  <c r="E142" i="61"/>
  <c r="B362" i="63"/>
  <c r="E87" i="61"/>
  <c r="B145" i="63"/>
  <c r="C14" i="61"/>
  <c r="E163"/>
  <c r="E307"/>
  <c r="E363"/>
  <c r="B215" i="63"/>
  <c r="C294" i="61"/>
  <c r="E74"/>
  <c r="D160" i="63"/>
  <c r="A228" i="47"/>
  <c r="G228" s="1"/>
  <c r="B228" s="1"/>
  <c r="B396" i="63"/>
  <c r="B331"/>
  <c r="C66" i="61"/>
  <c r="B158" i="63"/>
  <c r="B340"/>
  <c r="B269"/>
  <c r="C510" i="61"/>
  <c r="C318"/>
  <c r="B221" i="63"/>
  <c r="D286"/>
  <c r="D171"/>
  <c r="E118" i="61"/>
  <c r="C327"/>
  <c r="D366" i="63"/>
  <c r="B366"/>
  <c r="E79" i="61"/>
  <c r="D371" i="63"/>
  <c r="C259" i="61"/>
  <c r="B398" i="63"/>
  <c r="B196"/>
  <c r="C218" i="61"/>
  <c r="D378" i="63"/>
  <c r="C155" i="61"/>
  <c r="A186" i="47"/>
  <c r="G186" s="1"/>
  <c r="B186" s="1"/>
  <c r="A181"/>
  <c r="E226" i="61"/>
  <c r="D198" i="63"/>
  <c r="E267" i="61"/>
  <c r="B382" i="63"/>
  <c r="A219" i="47"/>
  <c r="G219" s="1"/>
  <c r="B219" s="1"/>
  <c r="D146" i="63"/>
  <c r="E18" i="61"/>
  <c r="A159" i="47"/>
  <c r="G159" s="1"/>
  <c r="B159" s="1"/>
  <c r="A241"/>
  <c r="E83" i="61"/>
  <c r="E275"/>
  <c r="C466"/>
  <c r="B258" i="63"/>
  <c r="E311" i="61"/>
  <c r="B223" i="63"/>
  <c r="C326" i="61"/>
  <c r="B381" i="63"/>
  <c r="B281"/>
  <c r="B144"/>
  <c r="C10" i="61"/>
  <c r="B250" i="63"/>
  <c r="C434" i="61"/>
  <c r="D379" i="63"/>
  <c r="B379"/>
  <c r="B296"/>
  <c r="A238" i="47"/>
  <c r="G238" s="1"/>
  <c r="B238" s="1"/>
  <c r="C139" i="61"/>
  <c r="A177" i="47"/>
  <c r="G177" s="1"/>
  <c r="B177" s="1"/>
  <c r="E511" i="61"/>
  <c r="C511"/>
  <c r="A182" i="47"/>
  <c r="D302" i="63"/>
  <c r="C251" i="61"/>
  <c r="D339" i="63"/>
  <c r="E242" i="61"/>
  <c r="D202" i="63"/>
  <c r="B235"/>
  <c r="C374" i="61"/>
  <c r="D337" i="63"/>
  <c r="E34" i="61"/>
  <c r="D150" i="63"/>
  <c r="C263" i="61"/>
  <c r="A199" i="47"/>
  <c r="A259"/>
  <c r="B357" i="63"/>
  <c r="E71" i="61"/>
  <c r="E258"/>
  <c r="D206" i="63"/>
  <c r="C46" i="61"/>
  <c r="B153" i="63"/>
  <c r="C54" i="61"/>
  <c r="B155" i="63"/>
  <c r="C103" i="61"/>
  <c r="D191" i="63"/>
  <c r="E198" i="61"/>
  <c r="E431"/>
  <c r="B247" i="63"/>
  <c r="C422" i="61"/>
  <c r="A175" i="47"/>
  <c r="D336" i="63"/>
  <c r="D293"/>
  <c r="A265" i="47"/>
  <c r="E239" i="61"/>
  <c r="C42"/>
  <c r="B152" i="63"/>
  <c r="C279" i="61"/>
  <c r="D176" i="63"/>
  <c r="E138" i="61"/>
  <c r="B368" i="63"/>
  <c r="C262" i="61"/>
  <c r="B207" i="63"/>
  <c r="E230" i="61"/>
  <c r="D199" i="63"/>
  <c r="D397"/>
  <c r="C234" i="61"/>
  <c r="B200" i="63"/>
  <c r="A164" i="47"/>
  <c r="C355" i="61"/>
  <c r="E19"/>
  <c r="D349" i="63"/>
  <c r="D387"/>
  <c r="B305"/>
  <c r="B185"/>
  <c r="C174" i="61"/>
  <c r="E503"/>
  <c r="D344" i="63"/>
  <c r="D306"/>
  <c r="A205" i="47"/>
  <c r="G205" s="1"/>
  <c r="B205" s="1"/>
  <c r="E423" i="61"/>
  <c r="A264" i="47"/>
  <c r="G264" s="1"/>
  <c r="B264" s="1"/>
  <c r="E407" i="61"/>
  <c r="D168" i="63"/>
  <c r="E106" i="61"/>
  <c r="B275" i="63"/>
  <c r="C70" i="61"/>
  <c r="B159" i="63"/>
  <c r="D181"/>
  <c r="E158" i="61"/>
  <c r="C55"/>
  <c r="D365" i="63"/>
  <c r="C111" i="61"/>
  <c r="A172" i="47"/>
  <c r="G172" s="1"/>
  <c r="B172" s="1"/>
  <c r="D332" i="63"/>
  <c r="C451" i="61"/>
  <c r="E382"/>
  <c r="D237" i="63"/>
  <c r="D307"/>
  <c r="D373"/>
  <c r="D329"/>
  <c r="A242" i="47"/>
  <c r="A203"/>
  <c r="G203" s="1"/>
  <c r="B203" s="1"/>
  <c r="C190" i="61"/>
  <c r="B189" i="63"/>
  <c r="C514" i="61"/>
  <c r="B270" i="63"/>
  <c r="C142" i="61"/>
  <c r="B177" i="63"/>
  <c r="D362"/>
  <c r="A231" i="47"/>
  <c r="G231" s="1"/>
  <c r="B231" s="1"/>
  <c r="A168"/>
  <c r="G168" s="1"/>
  <c r="B168" s="1"/>
  <c r="C87" i="61"/>
  <c r="A212" i="47"/>
  <c r="A211"/>
  <c r="E14" i="61"/>
  <c r="D145" i="63"/>
  <c r="A192" i="47"/>
  <c r="G192" s="1"/>
  <c r="B192" s="1"/>
  <c r="C163" i="61"/>
  <c r="C307"/>
  <c r="C363"/>
  <c r="E294"/>
  <c r="D215" i="63"/>
  <c r="B160"/>
  <c r="C74" i="61"/>
  <c r="D396" i="63"/>
  <c r="A227" i="47"/>
  <c r="G227" s="1"/>
  <c r="B227" s="1"/>
  <c r="A158"/>
  <c r="D331" i="63"/>
  <c r="E66" i="61"/>
  <c r="D158" i="63"/>
  <c r="D340"/>
  <c r="D269"/>
  <c r="E510" i="61"/>
  <c r="E318"/>
  <c r="D221" i="63"/>
  <c r="B286"/>
  <c r="B171"/>
  <c r="C118" i="61"/>
  <c r="E327"/>
  <c r="C79"/>
  <c r="D238" i="63"/>
  <c r="E386" i="61"/>
  <c r="B238" i="63"/>
  <c r="C386" i="61"/>
  <c r="B371" i="63"/>
  <c r="E259" i="61"/>
  <c r="A201" i="47"/>
  <c r="G201" s="1"/>
  <c r="B201" s="1"/>
  <c r="D398" i="63"/>
  <c r="D196"/>
  <c r="E218" i="61"/>
  <c r="B378" i="63"/>
  <c r="E155" i="61"/>
  <c r="B198" i="63"/>
  <c r="C226" i="61"/>
  <c r="C267"/>
  <c r="D382" i="63"/>
  <c r="C18" i="61"/>
  <c r="B146" i="63"/>
  <c r="C83" i="61"/>
  <c r="C275"/>
  <c r="D258" i="63"/>
  <c r="E466" i="61"/>
  <c r="C311"/>
  <c r="E326"/>
  <c r="D223" i="63"/>
  <c r="D381"/>
  <c r="D281"/>
  <c r="E10" i="61"/>
  <c r="D144" i="63"/>
  <c r="D250"/>
  <c r="E434" i="61"/>
  <c r="D296" i="63"/>
  <c r="E139" i="61"/>
  <c r="B302" i="63"/>
  <c r="E251" i="61"/>
  <c r="B339" i="63"/>
  <c r="B202"/>
  <c r="C242" i="61"/>
  <c r="A165" i="47"/>
  <c r="A155"/>
  <c r="A179"/>
  <c r="G179" s="1"/>
  <c r="B179" s="1"/>
  <c r="E374" i="61"/>
  <c r="D235" i="63"/>
  <c r="B337"/>
  <c r="C34" i="61"/>
  <c r="B150" i="63"/>
  <c r="E263" i="61"/>
  <c r="D357" i="63"/>
  <c r="C71" i="61"/>
  <c r="A213" i="47"/>
  <c r="C258" i="61"/>
  <c r="B206" i="63"/>
  <c r="E46" i="61"/>
  <c r="D153" i="63"/>
  <c r="D155"/>
  <c r="E54" i="61"/>
  <c r="E103"/>
  <c r="B191" i="63"/>
  <c r="C198" i="61"/>
  <c r="C431"/>
  <c r="E422"/>
  <c r="D247" i="63"/>
  <c r="B308"/>
  <c r="D271"/>
  <c r="D334"/>
  <c r="A176" i="47"/>
  <c r="A244"/>
  <c r="D211" i="63"/>
  <c r="E278" i="61"/>
  <c r="A184" i="47"/>
  <c r="E455" i="61"/>
  <c r="B326" i="63"/>
  <c r="E515" i="61"/>
  <c r="A191" i="47"/>
  <c r="A245"/>
  <c r="G245" s="1"/>
  <c r="B245" s="1"/>
  <c r="E475" i="61"/>
  <c r="D308" i="63"/>
  <c r="B271"/>
  <c r="A215" i="47"/>
  <c r="B336" i="63"/>
  <c r="B293"/>
  <c r="A200" i="47"/>
  <c r="B334" i="63"/>
  <c r="A208" i="47"/>
  <c r="C239" i="61"/>
  <c r="D152" i="63"/>
  <c r="E42" i="61"/>
  <c r="E279"/>
  <c r="C138"/>
  <c r="B176" i="63"/>
  <c r="C278" i="61"/>
  <c r="B211" i="63"/>
  <c r="D368"/>
  <c r="C455" i="61"/>
  <c r="D326" i="63"/>
  <c r="D207"/>
  <c r="E262" i="61"/>
  <c r="C515"/>
  <c r="C475"/>
  <c r="E339"/>
  <c r="E419"/>
  <c r="D178" i="63"/>
  <c r="E146" i="61"/>
  <c r="E271"/>
  <c r="E215"/>
  <c r="B299" i="63"/>
  <c r="D393"/>
  <c r="C371" i="61"/>
  <c r="B282" i="63"/>
  <c r="E366" i="61"/>
  <c r="D233" i="63"/>
  <c r="D184"/>
  <c r="E170" i="61"/>
  <c r="B241" i="63"/>
  <c r="C398" i="61"/>
  <c r="E115"/>
  <c r="C115"/>
  <c r="C151"/>
  <c r="C507"/>
  <c r="D363" i="63"/>
  <c r="C94" i="61"/>
  <c r="B165" i="63"/>
  <c r="D242"/>
  <c r="E402" i="61"/>
  <c r="A236" i="47"/>
  <c r="E199" i="61"/>
  <c r="B318" i="63"/>
  <c r="A256" i="47"/>
  <c r="G256" s="1"/>
  <c r="B256" s="1"/>
  <c r="A234"/>
  <c r="B300" i="63"/>
  <c r="E343" i="61"/>
  <c r="B303" i="63"/>
  <c r="A224" i="47"/>
  <c r="E502" i="61"/>
  <c r="D267" i="63"/>
  <c r="E291" i="61"/>
  <c r="C347"/>
  <c r="E483"/>
  <c r="D385" i="63"/>
  <c r="B263"/>
  <c r="C486" i="61"/>
  <c r="E102"/>
  <c r="D167" i="63"/>
  <c r="C102" i="61"/>
  <c r="B167" i="63"/>
  <c r="D239"/>
  <c r="E390" i="61"/>
  <c r="C390"/>
  <c r="B239" i="63"/>
  <c r="C95" i="61"/>
  <c r="E95"/>
  <c r="E167"/>
  <c r="C167"/>
  <c r="C479"/>
  <c r="E350"/>
  <c r="D229" i="63"/>
  <c r="A235" i="47"/>
  <c r="B256" i="63"/>
  <c r="C458" i="61"/>
  <c r="D290" i="63"/>
  <c r="A183" i="47"/>
  <c r="G183" s="1"/>
  <c r="B183" s="1"/>
  <c r="D321" i="63"/>
  <c r="B255"/>
  <c r="C454" i="61"/>
  <c r="D162" i="63"/>
  <c r="E82" i="61"/>
  <c r="D388" i="63"/>
  <c r="C442" i="61"/>
  <c r="B252" i="63"/>
  <c r="E203" i="61"/>
  <c r="B220" i="63"/>
  <c r="C314" i="61"/>
  <c r="C254"/>
  <c r="B205" i="63"/>
  <c r="E194" i="61"/>
  <c r="D190" i="63"/>
  <c r="B174"/>
  <c r="C130" i="61"/>
  <c r="C266"/>
  <c r="B208" i="63"/>
  <c r="B359"/>
  <c r="E391" i="61"/>
  <c r="A171" i="47"/>
  <c r="E159" i="61"/>
  <c r="D173" i="63"/>
  <c r="E126" i="61"/>
  <c r="A226" i="47"/>
  <c r="D143" i="63"/>
  <c r="E6" i="61"/>
  <c r="D280" i="63"/>
  <c r="D194"/>
  <c r="E210" i="61"/>
  <c r="D304" i="63"/>
  <c r="A180" i="47"/>
  <c r="E471" i="61"/>
  <c r="B376" i="63"/>
  <c r="D309"/>
  <c r="C435" i="61"/>
  <c r="E302"/>
  <c r="D217" i="63"/>
  <c r="C287" i="61"/>
  <c r="C255"/>
  <c r="C30"/>
  <c r="B149" i="63"/>
  <c r="A178" i="47"/>
  <c r="G178" s="1"/>
  <c r="B178" s="1"/>
  <c r="B236" i="63"/>
  <c r="C378" i="61"/>
  <c r="E183"/>
  <c r="B228" i="63"/>
  <c r="C346" i="61"/>
  <c r="E39"/>
  <c r="B285" i="63"/>
  <c r="A257" i="47"/>
  <c r="G257" s="1"/>
  <c r="B257" s="1"/>
  <c r="D350" i="63"/>
  <c r="B364"/>
  <c r="E86" i="61"/>
  <c r="D163" i="63"/>
  <c r="E283" i="61"/>
  <c r="B276" i="63"/>
  <c r="E446" i="61"/>
  <c r="D253" i="63"/>
  <c r="B317"/>
  <c r="C35" i="61"/>
  <c r="B169" i="63"/>
  <c r="C110" i="61"/>
  <c r="B323" i="63"/>
  <c r="B345"/>
  <c r="B369"/>
  <c r="E243" i="61"/>
  <c r="D348" i="63"/>
  <c r="D201"/>
  <c r="E238" i="61"/>
  <c r="B284" i="63"/>
  <c r="B272"/>
  <c r="D283"/>
  <c r="D343"/>
  <c r="D313"/>
  <c r="B338"/>
  <c r="E187" i="61"/>
  <c r="C439"/>
  <c r="C122"/>
  <c r="B172" i="63"/>
  <c r="A169" i="47"/>
  <c r="E330" i="61"/>
  <c r="D224" i="63"/>
  <c r="E123" i="61"/>
  <c r="C91"/>
  <c r="B260" i="63"/>
  <c r="C474" i="61"/>
  <c r="B361" i="63"/>
  <c r="D347"/>
  <c r="D333"/>
  <c r="E107" i="61"/>
  <c r="C235"/>
  <c r="C131"/>
  <c r="E379"/>
  <c r="B352" i="63"/>
  <c r="B245"/>
  <c r="C414" i="61"/>
  <c r="D232" i="63"/>
  <c r="E362" i="61"/>
  <c r="B383" i="63"/>
  <c r="D297"/>
  <c r="D292"/>
  <c r="B346"/>
  <c r="B197"/>
  <c r="C222" i="61"/>
  <c r="D394" i="63"/>
  <c r="E383" i="61"/>
  <c r="E467"/>
  <c r="C370"/>
  <c r="B234" i="63"/>
  <c r="C359" i="61"/>
  <c r="C495"/>
  <c r="B291" i="63"/>
  <c r="A261" i="47"/>
  <c r="E175" i="61"/>
  <c r="B277" i="63"/>
  <c r="B316"/>
  <c r="B259"/>
  <c r="C470" i="61"/>
  <c r="E67"/>
  <c r="E50"/>
  <c r="D154" i="63"/>
  <c r="D274"/>
  <c r="B180"/>
  <c r="C154" i="61"/>
  <c r="E438"/>
  <c r="D251" i="63"/>
  <c r="D370"/>
  <c r="A198" i="47"/>
  <c r="C315" i="61"/>
  <c r="C375"/>
  <c r="C506"/>
  <c r="B268" i="63"/>
  <c r="C223" i="61"/>
  <c r="B384" i="63"/>
  <c r="B279"/>
  <c r="C415" i="61"/>
  <c r="B335" i="63"/>
  <c r="B289"/>
  <c r="C319" i="61"/>
  <c r="E282"/>
  <c r="D212" i="63"/>
  <c r="C171" i="61"/>
  <c r="E15"/>
  <c r="C75"/>
  <c r="E270"/>
  <c r="D209" i="63"/>
  <c r="C351" i="61"/>
  <c r="E351"/>
  <c r="B193" i="63"/>
  <c r="C206" i="61"/>
  <c r="C219"/>
  <c r="B183" i="63"/>
  <c r="C166" i="61"/>
  <c r="E214"/>
  <c r="D195" i="63"/>
  <c r="E119" i="61"/>
  <c r="E114"/>
  <c r="D170" i="63"/>
  <c r="A207" i="47"/>
  <c r="E231" i="61"/>
  <c r="E463"/>
  <c r="C395"/>
  <c r="A258" i="47"/>
  <c r="B324" i="63"/>
  <c r="E331" i="61"/>
  <c r="A229" i="47"/>
  <c r="D380" i="63"/>
  <c r="D148"/>
  <c r="E26" i="61"/>
  <c r="C179"/>
  <c r="A230" i="47"/>
  <c r="C430" i="61"/>
  <c r="B249" i="63"/>
  <c r="D367"/>
  <c r="C207" i="61"/>
  <c r="D264" i="63"/>
  <c r="E490" i="61"/>
  <c r="D360" i="63"/>
  <c r="B216"/>
  <c r="C298" i="61"/>
  <c r="D244" i="63"/>
  <c r="E410" i="61"/>
  <c r="C195"/>
  <c r="D319" i="63"/>
  <c r="A173" i="47"/>
  <c r="C22" i="61"/>
  <c r="B147" i="63"/>
  <c r="C178" i="61"/>
  <c r="B186" i="63"/>
  <c r="E491" i="61"/>
  <c r="E399"/>
  <c r="B377" i="63"/>
  <c r="B392"/>
  <c r="B391"/>
  <c r="C90" i="61"/>
  <c r="B164" i="63"/>
  <c r="D266"/>
  <c r="E498" i="61"/>
  <c r="C247"/>
  <c r="C303"/>
  <c r="A202" i="47"/>
  <c r="D312" i="63"/>
  <c r="C450" i="61"/>
  <c r="B254" i="63"/>
  <c r="D358"/>
  <c r="A240" i="47"/>
  <c r="E299" i="61"/>
  <c r="E335"/>
  <c r="B243" i="63"/>
  <c r="C406" i="61"/>
  <c r="B386" i="63"/>
  <c r="E323" i="61"/>
  <c r="E227"/>
  <c r="D325" i="63"/>
  <c r="E63" i="61"/>
  <c r="E342"/>
  <c r="D227" i="63"/>
  <c r="C295" i="61"/>
  <c r="D328" i="63"/>
  <c r="E403" i="61"/>
  <c r="E31"/>
  <c r="E411"/>
  <c r="B222" i="63"/>
  <c r="C322" i="61"/>
  <c r="B273" i="63"/>
  <c r="C99" i="61"/>
  <c r="E27"/>
  <c r="D356" i="63"/>
  <c r="E459" i="61"/>
  <c r="D390" i="63"/>
  <c r="D166"/>
  <c r="E98" i="61"/>
  <c r="B311" i="63"/>
  <c r="E418" i="61"/>
  <c r="D246" i="63"/>
  <c r="B314"/>
  <c r="C23" i="61"/>
  <c r="B204" i="63"/>
  <c r="C250" i="61"/>
  <c r="E290"/>
  <c r="D214" i="63"/>
  <c r="D375"/>
  <c r="A209" i="47"/>
  <c r="B315" i="63"/>
  <c r="B240"/>
  <c r="C394" i="61"/>
  <c r="B156" i="63"/>
  <c r="C58" i="61"/>
  <c r="E38"/>
  <c r="D151" i="63"/>
  <c r="E310" i="61"/>
  <c r="D219" i="63"/>
  <c r="E387" i="61"/>
  <c r="D351" i="63"/>
  <c r="E43" i="61"/>
  <c r="D261" i="63"/>
  <c r="E478" i="61"/>
  <c r="C191"/>
  <c r="C59"/>
  <c r="A161" i="47"/>
  <c r="C143" i="61"/>
  <c r="B330" i="63"/>
  <c r="A250" i="47"/>
  <c r="A163"/>
  <c r="D322" i="63"/>
  <c r="B374"/>
  <c r="E11" i="61"/>
  <c r="C7"/>
  <c r="E62"/>
  <c r="D157" i="63"/>
  <c r="D355"/>
  <c r="D210"/>
  <c r="E274" i="61"/>
  <c r="B278" i="63"/>
  <c r="C47" i="61"/>
  <c r="B389" i="63"/>
  <c r="C127" i="61"/>
  <c r="D161" i="63"/>
  <c r="E78" i="61"/>
  <c r="B175" i="63"/>
  <c r="C134" i="61"/>
  <c r="C427"/>
  <c r="D353" i="63"/>
  <c r="C286" i="61"/>
  <c r="B213" i="63"/>
  <c r="C354" i="61"/>
  <c r="B230" i="63"/>
  <c r="E135" i="61"/>
  <c r="E367"/>
  <c r="E482"/>
  <c r="D262" i="63"/>
  <c r="B288"/>
  <c r="D354"/>
  <c r="C306" i="61"/>
  <c r="B218" i="63"/>
  <c r="B320"/>
  <c r="E182" i="61"/>
  <c r="D187" i="63"/>
  <c r="D295"/>
  <c r="E246" i="61"/>
  <c r="D203" i="63"/>
  <c r="C51" i="61"/>
  <c r="D342" i="63"/>
  <c r="D395"/>
  <c r="E338" i="61"/>
  <c r="D226" i="63"/>
  <c r="B327"/>
  <c r="C499" i="61"/>
  <c r="D248" i="63"/>
  <c r="E426" i="61"/>
  <c r="E186"/>
  <c r="D188" i="63"/>
  <c r="B298"/>
  <c r="B179"/>
  <c r="C150" i="61"/>
  <c r="B265" i="63"/>
  <c r="C494" i="61"/>
  <c r="E447"/>
  <c r="E202"/>
  <c r="D192" i="63"/>
  <c r="E162" i="61"/>
  <c r="D182" i="63"/>
  <c r="E487" i="61"/>
  <c r="E443"/>
  <c r="D341" i="63"/>
  <c r="A204" i="47"/>
  <c r="C339" i="61"/>
  <c r="C419"/>
  <c r="B178" i="63"/>
  <c r="C146" i="61"/>
  <c r="A220" i="47"/>
  <c r="G220" s="1"/>
  <c r="B220" s="1"/>
  <c r="C271" i="61"/>
  <c r="C215"/>
  <c r="D299" i="63"/>
  <c r="B393"/>
  <c r="A218" i="47"/>
  <c r="G218" s="1"/>
  <c r="B218" s="1"/>
  <c r="E371" i="61"/>
  <c r="D282" i="63"/>
  <c r="B233"/>
  <c r="C366" i="61"/>
  <c r="B184" i="63"/>
  <c r="C170" i="61"/>
  <c r="A249" i="47"/>
  <c r="E398" i="61"/>
  <c r="D241" i="63"/>
  <c r="A237" i="47"/>
  <c r="G237" s="1"/>
  <c r="B237" s="1"/>
  <c r="E151" i="61"/>
  <c r="E462"/>
  <c r="D257" i="63"/>
  <c r="C462" i="61"/>
  <c r="B257" i="63"/>
  <c r="E507" i="61"/>
  <c r="B363" i="63"/>
  <c r="E94" i="61"/>
  <c r="D165" i="63"/>
  <c r="B242"/>
  <c r="C402" i="61"/>
  <c r="B301" i="63"/>
  <c r="D301"/>
  <c r="C199" i="61"/>
  <c r="D318" i="63"/>
  <c r="A190" i="47"/>
  <c r="D300" i="63"/>
  <c r="C343" i="61"/>
  <c r="A194" i="47"/>
  <c r="D303" i="63"/>
  <c r="B267"/>
  <c r="C502" i="61"/>
  <c r="C291"/>
  <c r="E347"/>
  <c r="C483"/>
  <c r="B385" i="63"/>
  <c r="E486" i="61"/>
  <c r="D263" i="63"/>
  <c r="A253" i="47"/>
  <c r="B294" i="63"/>
  <c r="D294"/>
  <c r="A174" i="47"/>
  <c r="E479" i="61"/>
  <c r="B229" i="63"/>
  <c r="C350" i="61"/>
  <c r="E458"/>
  <c r="D256" i="63"/>
  <c r="B290"/>
  <c r="A162" i="47"/>
  <c r="A239"/>
  <c r="B321" i="63"/>
  <c r="E454" i="61"/>
  <c r="D255" i="63"/>
  <c r="C82" i="61"/>
  <c r="B162" i="63"/>
  <c r="B388"/>
  <c r="D252"/>
  <c r="E442" i="61"/>
  <c r="C203"/>
  <c r="A197" i="47"/>
  <c r="E211" i="61"/>
  <c r="C211"/>
  <c r="D220" i="63"/>
  <c r="E314" i="61"/>
  <c r="D205" i="63"/>
  <c r="E254" i="61"/>
  <c r="C194"/>
  <c r="B190" i="63"/>
  <c r="E130" i="61"/>
  <c r="D174" i="63"/>
  <c r="D208"/>
  <c r="E266" i="61"/>
  <c r="D231" i="63"/>
  <c r="E358" i="61"/>
  <c r="B231" i="63"/>
  <c r="C358" i="61"/>
  <c r="D359" i="63"/>
  <c r="C391" i="61"/>
  <c r="E147"/>
  <c r="C147"/>
  <c r="C159"/>
  <c r="B225" i="63"/>
  <c r="C334" i="61"/>
  <c r="D225" i="63"/>
  <c r="E334" i="61"/>
  <c r="B173" i="63"/>
  <c r="C126" i="61"/>
  <c r="A251" i="47"/>
  <c r="G251" s="1"/>
  <c r="B251" s="1"/>
  <c r="B143" i="63"/>
  <c r="C6" i="61"/>
  <c r="A221" i="47"/>
  <c r="B280" i="63"/>
  <c r="C210" i="61"/>
  <c r="B194" i="63"/>
  <c r="B304"/>
  <c r="C471" i="61"/>
  <c r="D376" i="63"/>
  <c r="A167" i="47"/>
  <c r="B309" i="63"/>
  <c r="E435" i="61"/>
  <c r="B217" i="63"/>
  <c r="C302" i="61"/>
  <c r="E287"/>
  <c r="E255"/>
  <c r="E30"/>
  <c r="D149" i="63"/>
  <c r="E378" i="61"/>
  <c r="D236" i="63"/>
  <c r="C183" i="61"/>
  <c r="D228" i="63"/>
  <c r="E346" i="61"/>
  <c r="C39"/>
  <c r="A217" i="47"/>
  <c r="D285" i="63"/>
  <c r="B350"/>
  <c r="D364"/>
  <c r="C86" i="61"/>
  <c r="B163" i="63"/>
  <c r="C283" i="61"/>
  <c r="D276" i="63"/>
  <c r="A247" i="47"/>
  <c r="B253" i="63"/>
  <c r="C446" i="61"/>
  <c r="D317" i="63"/>
  <c r="E35" i="61"/>
  <c r="E110"/>
  <c r="D169" i="63"/>
  <c r="A255" i="47"/>
  <c r="D323" i="63"/>
  <c r="D345"/>
  <c r="D369"/>
  <c r="C243" i="61"/>
  <c r="A154" i="47"/>
  <c r="B348" i="63"/>
  <c r="C238" i="61"/>
  <c r="B201" i="63"/>
  <c r="D284"/>
  <c r="D272"/>
  <c r="B283"/>
  <c r="B343"/>
  <c r="B313"/>
  <c r="D338"/>
  <c r="C187" i="61"/>
  <c r="E439"/>
  <c r="D172" i="63"/>
  <c r="E122" i="61"/>
  <c r="B224" i="63"/>
  <c r="C330" i="61"/>
  <c r="C123"/>
  <c r="E91"/>
  <c r="A225" i="47"/>
  <c r="D260" i="63"/>
  <c r="E474" i="61"/>
  <c r="D361" i="63"/>
  <c r="B347"/>
  <c r="B333"/>
  <c r="A193" i="47"/>
  <c r="C107" i="61"/>
  <c r="A157" i="47"/>
  <c r="E235" i="61"/>
  <c r="E131"/>
  <c r="C379"/>
  <c r="A214" i="47"/>
  <c r="D352" i="63"/>
  <c r="E414" i="61"/>
  <c r="D245" i="63"/>
  <c r="C362" i="61"/>
  <c r="B232" i="63"/>
  <c r="D383"/>
  <c r="B297"/>
  <c r="B292"/>
  <c r="D346"/>
  <c r="A196" i="47"/>
  <c r="D197" i="63"/>
  <c r="E222" i="61"/>
  <c r="B394" i="63"/>
  <c r="C383" i="61"/>
  <c r="C467"/>
  <c r="A232" i="47"/>
  <c r="D234" i="63"/>
  <c r="E370" i="61"/>
  <c r="E359"/>
  <c r="E495"/>
  <c r="D291" i="63"/>
  <c r="C175" i="61"/>
  <c r="D277" i="63"/>
  <c r="D316"/>
  <c r="E470" i="61"/>
  <c r="D259" i="63"/>
  <c r="C67" i="61"/>
  <c r="B154" i="63"/>
  <c r="C50" i="61"/>
  <c r="B274" i="63"/>
  <c r="E154" i="61"/>
  <c r="D180" i="63"/>
  <c r="C438" i="61"/>
  <c r="B251" i="63"/>
  <c r="B370"/>
  <c r="E315" i="61"/>
  <c r="E375"/>
  <c r="E506"/>
  <c r="D268" i="63"/>
  <c r="E223" i="61"/>
  <c r="D384" i="63"/>
  <c r="D279"/>
  <c r="E415" i="61"/>
  <c r="D335" i="63"/>
  <c r="D289"/>
  <c r="E319" i="61"/>
  <c r="B212" i="63"/>
  <c r="C282" i="61"/>
  <c r="E171"/>
  <c r="C15"/>
  <c r="E75"/>
  <c r="C270"/>
  <c r="B209" i="63"/>
  <c r="D310"/>
  <c r="B310"/>
  <c r="E206" i="61"/>
  <c r="D193" i="63"/>
  <c r="E219" i="61"/>
  <c r="D183" i="63"/>
  <c r="E166" i="61"/>
  <c r="C214"/>
  <c r="B195" i="63"/>
  <c r="C119" i="61"/>
  <c r="B170" i="63"/>
  <c r="C114" i="61"/>
  <c r="C231"/>
  <c r="C463"/>
  <c r="E395"/>
  <c r="A166" i="47"/>
  <c r="D324" i="63"/>
  <c r="C331" i="61"/>
  <c r="B380" i="63"/>
  <c r="A260" i="47"/>
  <c r="C26" i="61"/>
  <c r="B148" i="63"/>
  <c r="E179" i="61"/>
  <c r="D249" i="63"/>
  <c r="E430" i="61"/>
  <c r="B367" i="63"/>
  <c r="E207" i="61"/>
  <c r="A263" i="47"/>
  <c r="C490" i="61"/>
  <c r="B264" i="63"/>
  <c r="B360"/>
  <c r="E298" i="61"/>
  <c r="D216" i="63"/>
  <c r="C410" i="61"/>
  <c r="B244" i="63"/>
  <c r="A210" i="47"/>
  <c r="E195" i="61"/>
  <c r="B319" i="63"/>
  <c r="D147"/>
  <c r="E22" i="61"/>
  <c r="D186" i="63"/>
  <c r="E178" i="61"/>
  <c r="C491"/>
  <c r="C399"/>
  <c r="A262" i="47"/>
  <c r="A266"/>
  <c r="D377" i="63"/>
  <c r="D392"/>
  <c r="D391"/>
  <c r="E90" i="61"/>
  <c r="D164" i="63"/>
  <c r="C498" i="61"/>
  <c r="B266" i="63"/>
  <c r="E247" i="61"/>
  <c r="E303"/>
  <c r="B312" i="63"/>
  <c r="D254"/>
  <c r="E450" i="61"/>
  <c r="B358" i="63"/>
  <c r="C299" i="61"/>
  <c r="C335"/>
  <c r="D243" i="63"/>
  <c r="E406" i="61"/>
  <c r="D386" i="63"/>
  <c r="C323" i="61"/>
  <c r="C227"/>
  <c r="B325" i="63"/>
  <c r="C63" i="61"/>
  <c r="B227" i="63"/>
  <c r="C342" i="61"/>
  <c r="E295"/>
  <c r="B328" i="63"/>
  <c r="C403" i="61"/>
  <c r="C31"/>
  <c r="C411"/>
  <c r="E322"/>
  <c r="D222" i="63"/>
  <c r="D273"/>
  <c r="E99" i="61"/>
  <c r="C27"/>
  <c r="B356" i="63"/>
  <c r="C459" i="61"/>
  <c r="B390" i="63"/>
  <c r="A187" i="47"/>
  <c r="B166" i="63"/>
  <c r="C98" i="61"/>
  <c r="D311" i="63"/>
  <c r="B246"/>
  <c r="C418" i="61"/>
  <c r="D314" i="63"/>
  <c r="E23" i="61"/>
  <c r="D204" i="63"/>
  <c r="E250" i="61"/>
  <c r="C290"/>
  <c r="B214" i="63"/>
  <c r="B375"/>
  <c r="D315"/>
  <c r="D240"/>
  <c r="E394" i="61"/>
  <c r="E58"/>
  <c r="D156" i="63"/>
  <c r="C38" i="61"/>
  <c r="B151" i="63"/>
  <c r="C310" i="61"/>
  <c r="B219" i="63"/>
  <c r="A206" i="47"/>
  <c r="C387" i="61"/>
  <c r="B351" i="63"/>
  <c r="C43" i="61"/>
  <c r="C478"/>
  <c r="B261" i="63"/>
  <c r="E191" i="61"/>
  <c r="E59"/>
  <c r="E143"/>
  <c r="D330" i="63"/>
  <c r="A222" i="47"/>
  <c r="B322" i="63"/>
  <c r="D374"/>
  <c r="C11" i="61"/>
  <c r="E7"/>
  <c r="C62"/>
  <c r="B157" i="63"/>
  <c r="B355"/>
  <c r="B210"/>
  <c r="C274" i="61"/>
  <c r="A216" i="47"/>
  <c r="D278" i="63"/>
  <c r="E47" i="61"/>
  <c r="D389" i="63"/>
  <c r="A243" i="47"/>
  <c r="E127" i="61"/>
  <c r="A156" i="47"/>
  <c r="C78" i="61"/>
  <c r="B161" i="63"/>
  <c r="D175"/>
  <c r="E134" i="61"/>
  <c r="E427"/>
  <c r="B353" i="63"/>
  <c r="D213"/>
  <c r="E286" i="61"/>
  <c r="E354"/>
  <c r="D230" i="63"/>
  <c r="A189" i="47"/>
  <c r="C135" i="61"/>
  <c r="C367"/>
  <c r="C482"/>
  <c r="B262" i="63"/>
  <c r="D288"/>
  <c r="A233" i="47"/>
  <c r="A185"/>
  <c r="B354" i="63"/>
  <c r="D218"/>
  <c r="E306" i="61"/>
  <c r="D320" i="63"/>
  <c r="C182" i="61"/>
  <c r="B187" i="63"/>
  <c r="B295"/>
  <c r="C246" i="61"/>
  <c r="B203" i="63"/>
  <c r="E51" i="61"/>
  <c r="B342" i="63"/>
  <c r="B395"/>
  <c r="B226"/>
  <c r="C338" i="61"/>
  <c r="D327" i="63"/>
  <c r="E499" i="61"/>
  <c r="C426"/>
  <c r="B248" i="63"/>
  <c r="B188"/>
  <c r="C186" i="61"/>
  <c r="D298" i="63"/>
  <c r="D179"/>
  <c r="E150" i="61"/>
  <c r="A254" i="47"/>
  <c r="A188"/>
  <c r="E494" i="61"/>
  <c r="D265" i="63"/>
  <c r="C447" i="61"/>
  <c r="C202"/>
  <c r="B192" i="63"/>
  <c r="B182"/>
  <c r="C162" i="61"/>
  <c r="C487"/>
  <c r="C443"/>
  <c r="B341" i="63"/>
  <c r="C233" i="61"/>
  <c r="A68" i="47"/>
  <c r="G68" s="1"/>
  <c r="B68" s="1"/>
  <c r="B62" i="63"/>
  <c r="E68" i="47"/>
  <c r="E62" i="63"/>
  <c r="C199"/>
  <c r="D230" i="61"/>
  <c r="C62" i="63"/>
  <c r="D233" i="61"/>
  <c r="E50" i="63"/>
  <c r="E56" i="47"/>
  <c r="E185" i="61"/>
  <c r="D50" i="63"/>
  <c r="C50"/>
  <c r="D185" i="61"/>
  <c r="C200" i="63"/>
  <c r="D234" i="61"/>
  <c r="E63" i="47"/>
  <c r="E57" i="63"/>
  <c r="E106" i="47"/>
  <c r="E100" i="63"/>
  <c r="D385" i="61"/>
  <c r="C100" i="63"/>
  <c r="E81"/>
  <c r="E87" i="47"/>
  <c r="D309" i="61"/>
  <c r="C81" i="63"/>
  <c r="E309" i="61"/>
  <c r="D81" i="63"/>
  <c r="A131" i="47"/>
  <c r="G131" s="1"/>
  <c r="B131" s="1"/>
  <c r="B125" i="63"/>
  <c r="C485" i="61"/>
  <c r="D485"/>
  <c r="C125" i="63"/>
  <c r="C185"/>
  <c r="D174" i="61"/>
  <c r="A76" i="47"/>
  <c r="G76" s="1"/>
  <c r="B76" s="1"/>
  <c r="C265" i="61"/>
  <c r="B70" i="63"/>
  <c r="E265" i="61"/>
  <c r="D70" i="63"/>
  <c r="B41"/>
  <c r="C149" i="61"/>
  <c r="A47" i="47"/>
  <c r="G47" s="1"/>
  <c r="B47" s="1"/>
  <c r="C41" i="63"/>
  <c r="D149" i="61"/>
  <c r="D77"/>
  <c r="C23" i="63"/>
  <c r="D23"/>
  <c r="E77" i="61"/>
  <c r="B119" i="63"/>
  <c r="A125" i="47"/>
  <c r="G125" s="1"/>
  <c r="B125" s="1"/>
  <c r="C461" i="61"/>
  <c r="E119" i="63"/>
  <c r="E125" i="47"/>
  <c r="D70" i="61"/>
  <c r="C159" i="63"/>
  <c r="C270"/>
  <c r="D514" i="61"/>
  <c r="E48" i="63"/>
  <c r="E54" i="47"/>
  <c r="E177" i="61"/>
  <c r="D48" i="63"/>
  <c r="A54" i="47"/>
  <c r="G54" s="1"/>
  <c r="B54" s="1"/>
  <c r="B48" i="63"/>
  <c r="C177" i="61"/>
  <c r="A72" i="47"/>
  <c r="G72" s="1"/>
  <c r="B72" s="1"/>
  <c r="B66" i="63"/>
  <c r="C249" i="61"/>
  <c r="D66" i="63"/>
  <c r="E249" i="61"/>
  <c r="C8" i="63"/>
  <c r="D17" i="61"/>
  <c r="D8" i="63"/>
  <c r="E17" i="61"/>
  <c r="E98" i="47"/>
  <c r="E92" i="63"/>
  <c r="D353" i="61"/>
  <c r="C92" i="63"/>
  <c r="C353" i="61"/>
  <c r="B92" i="63"/>
  <c r="A98" i="47"/>
  <c r="C215" i="63"/>
  <c r="D294" i="61"/>
  <c r="D429"/>
  <c r="C111" i="63"/>
  <c r="A32" i="47"/>
  <c r="G32" s="1"/>
  <c r="B32" s="1"/>
  <c r="B26" i="63"/>
  <c r="C89" i="61"/>
  <c r="D510"/>
  <c r="C269" i="63"/>
  <c r="C221"/>
  <c r="D318" i="61"/>
  <c r="E131" i="63"/>
  <c r="E137" i="47"/>
  <c r="C509" i="61"/>
  <c r="A137" i="47"/>
  <c r="B131" i="63"/>
  <c r="C197" i="61"/>
  <c r="B53" i="63"/>
  <c r="A59" i="47"/>
  <c r="G59" s="1"/>
  <c r="B59" s="1"/>
  <c r="D197" i="61"/>
  <c r="C53" i="63"/>
  <c r="C171"/>
  <c r="D118" i="61"/>
  <c r="E30" i="63"/>
  <c r="E36" i="47"/>
  <c r="D30" i="63"/>
  <c r="E105" i="61"/>
  <c r="D193"/>
  <c r="C52" i="63"/>
  <c r="E193" i="61"/>
  <c r="D52" i="63"/>
  <c r="D78"/>
  <c r="E297" i="61"/>
  <c r="E84" i="47"/>
  <c r="E78" i="63"/>
  <c r="C78"/>
  <c r="D297" i="61"/>
  <c r="C238" i="63"/>
  <c r="D386" i="61"/>
  <c r="D218"/>
  <c r="C196" i="63"/>
  <c r="E80" i="47"/>
  <c r="E74" i="63"/>
  <c r="C74"/>
  <c r="D281" i="61"/>
  <c r="D122" i="63"/>
  <c r="E473" i="61"/>
  <c r="D18"/>
  <c r="C146" i="63"/>
  <c r="C58"/>
  <c r="D217" i="61"/>
  <c r="D11" i="63"/>
  <c r="E29" i="61"/>
  <c r="C11" i="63"/>
  <c r="D29" i="61"/>
  <c r="E11" i="63"/>
  <c r="E17" i="47"/>
  <c r="C258" i="63"/>
  <c r="D466" i="61"/>
  <c r="E111" i="47"/>
  <c r="E105" i="63"/>
  <c r="D242" i="61"/>
  <c r="C202" i="63"/>
  <c r="D5"/>
  <c r="E5" i="61"/>
  <c r="A11" i="47"/>
  <c r="G11" s="1"/>
  <c r="B11" s="1"/>
  <c r="C5" i="61"/>
  <c r="B5" i="63"/>
  <c r="D34" i="61"/>
  <c r="C150" i="63"/>
  <c r="E83" i="47"/>
  <c r="E77" i="63"/>
  <c r="E293" i="61"/>
  <c r="D77" i="63"/>
  <c r="E127" i="47"/>
  <c r="E121" i="63"/>
  <c r="C121"/>
  <c r="D469" i="61"/>
  <c r="B32" i="63"/>
  <c r="A38" i="47"/>
  <c r="C113" i="61"/>
  <c r="C32" i="63"/>
  <c r="D113" i="61"/>
  <c r="E113"/>
  <c r="D32" i="63"/>
  <c r="A51" i="47"/>
  <c r="C165" i="61"/>
  <c r="B45" i="63"/>
  <c r="C191"/>
  <c r="D198" i="61"/>
  <c r="E87" i="63"/>
  <c r="E93" i="47"/>
  <c r="D333" i="61"/>
  <c r="C87" i="63"/>
  <c r="E153" i="61"/>
  <c r="D42" i="63"/>
  <c r="A110" i="47"/>
  <c r="G110" s="1"/>
  <c r="B110" s="1"/>
  <c r="B104" i="63"/>
  <c r="C401" i="61"/>
  <c r="A27" i="47"/>
  <c r="C69" i="61"/>
  <c r="B21" i="63"/>
  <c r="E27" i="47"/>
  <c r="E21" i="63"/>
  <c r="C152"/>
  <c r="D42" i="61"/>
  <c r="A22" i="47"/>
  <c r="G22" s="1"/>
  <c r="B22" s="1"/>
  <c r="B16" i="63"/>
  <c r="C49" i="61"/>
  <c r="D21"/>
  <c r="C9" i="63"/>
  <c r="C21" i="61"/>
  <c r="A15" i="47"/>
  <c r="G15" s="1"/>
  <c r="B15" s="1"/>
  <c r="B9" i="63"/>
  <c r="B128"/>
  <c r="A134" i="47"/>
  <c r="G134" s="1"/>
  <c r="B134" s="1"/>
  <c r="C497" i="61"/>
  <c r="AR164" i="47"/>
  <c r="AR63"/>
  <c r="AR242"/>
  <c r="E242"/>
  <c r="A150"/>
  <c r="G150" s="1"/>
  <c r="B150" s="1"/>
  <c r="AR212"/>
  <c r="E212"/>
  <c r="E211"/>
  <c r="AR14"/>
  <c r="AR84"/>
  <c r="AR64"/>
  <c r="E241"/>
  <c r="E182"/>
  <c r="AR155"/>
  <c r="E199"/>
  <c r="AR199"/>
  <c r="AR83"/>
  <c r="AR259"/>
  <c r="AR213"/>
  <c r="AR51"/>
  <c r="E175"/>
  <c r="E215"/>
  <c r="AR27"/>
  <c r="E200"/>
  <c r="AR208"/>
  <c r="E184"/>
  <c r="E191"/>
  <c r="D62" i="63"/>
  <c r="E233" i="61"/>
  <c r="B50" i="63"/>
  <c r="C185" i="61"/>
  <c r="A56" i="47"/>
  <c r="G56" s="1"/>
  <c r="B56" s="1"/>
  <c r="B57" i="63"/>
  <c r="C213" i="61"/>
  <c r="A63" i="47"/>
  <c r="G63" s="1"/>
  <c r="B63" s="1"/>
  <c r="E213" i="61"/>
  <c r="D57" i="63"/>
  <c r="D213" i="61"/>
  <c r="C57" i="63"/>
  <c r="D100"/>
  <c r="E385" i="61"/>
  <c r="B100" i="63"/>
  <c r="A106" i="47"/>
  <c r="G106" s="1"/>
  <c r="B106" s="1"/>
  <c r="C385" i="61"/>
  <c r="C309"/>
  <c r="A87" i="47"/>
  <c r="G87" s="1"/>
  <c r="B87" s="1"/>
  <c r="B81" i="63"/>
  <c r="E125"/>
  <c r="E131" i="47"/>
  <c r="D125" i="63"/>
  <c r="E485" i="61"/>
  <c r="E70" i="63"/>
  <c r="E76" i="47"/>
  <c r="D265" i="61"/>
  <c r="C70" i="63"/>
  <c r="E47" i="47"/>
  <c r="E41" i="63"/>
  <c r="E149" i="61"/>
  <c r="D41" i="63"/>
  <c r="B23"/>
  <c r="C77" i="61"/>
  <c r="A29" i="47"/>
  <c r="G29" s="1"/>
  <c r="B29" s="1"/>
  <c r="E23" i="63"/>
  <c r="E29" i="47"/>
  <c r="C168" i="63"/>
  <c r="D106" i="61"/>
  <c r="E461"/>
  <c r="D119" i="63"/>
  <c r="D461" i="61"/>
  <c r="C119" i="63"/>
  <c r="C181"/>
  <c r="D158" i="61"/>
  <c r="E146" i="47"/>
  <c r="E140" i="63"/>
  <c r="B140"/>
  <c r="A146" i="47"/>
  <c r="G146" s="1"/>
  <c r="B146" s="1"/>
  <c r="C237" i="63"/>
  <c r="D382" i="61"/>
  <c r="C189" i="63"/>
  <c r="D190" i="61"/>
  <c r="C177" i="63"/>
  <c r="D142" i="61"/>
  <c r="C48" i="63"/>
  <c r="D177" i="61"/>
  <c r="E66" i="63"/>
  <c r="E72" i="47"/>
  <c r="D249" i="61"/>
  <c r="C66" i="63"/>
  <c r="A14" i="47"/>
  <c r="G14" s="1"/>
  <c r="B14" s="1"/>
  <c r="B8" i="63"/>
  <c r="C17" i="61"/>
  <c r="E8" i="63"/>
  <c r="E14" i="47"/>
  <c r="D92" i="63"/>
  <c r="E353" i="61"/>
  <c r="C145" i="63"/>
  <c r="D14" i="61"/>
  <c r="D74"/>
  <c r="C160" i="63"/>
  <c r="A117" i="47"/>
  <c r="G117" s="1"/>
  <c r="B117" s="1"/>
  <c r="C429" i="61"/>
  <c r="B111" i="63"/>
  <c r="E429" i="61"/>
  <c r="D111" i="63"/>
  <c r="E111"/>
  <c r="E117" i="47"/>
  <c r="D66" i="61"/>
  <c r="C158" i="63"/>
  <c r="D26"/>
  <c r="E89" i="61"/>
  <c r="E26" i="63"/>
  <c r="E32" i="47"/>
  <c r="C26" i="63"/>
  <c r="D89" i="61"/>
  <c r="D509"/>
  <c r="C131" i="63"/>
  <c r="E509" i="61"/>
  <c r="D131" i="63"/>
  <c r="E53"/>
  <c r="E59" i="47"/>
  <c r="D53" i="63"/>
  <c r="E197" i="61"/>
  <c r="A36" i="47"/>
  <c r="B30" i="63"/>
  <c r="C105" i="61"/>
  <c r="C30" i="63"/>
  <c r="D105" i="61"/>
  <c r="C193"/>
  <c r="B52" i="63"/>
  <c r="A58" i="47"/>
  <c r="G58" s="1"/>
  <c r="B58" s="1"/>
  <c r="E52" i="63"/>
  <c r="E58" i="47"/>
  <c r="B78" i="63"/>
  <c r="A84" i="47"/>
  <c r="G84" s="1"/>
  <c r="B84" s="1"/>
  <c r="C297" i="61"/>
  <c r="B74" i="63"/>
  <c r="C281" i="61"/>
  <c r="A80" i="47"/>
  <c r="D74" i="63"/>
  <c r="E281" i="61"/>
  <c r="C198" i="63"/>
  <c r="D226" i="61"/>
  <c r="B122" i="63"/>
  <c r="A128" i="47"/>
  <c r="C473" i="61"/>
  <c r="D473"/>
  <c r="C122" i="63"/>
  <c r="E122"/>
  <c r="E128" i="47"/>
  <c r="E217" i="61"/>
  <c r="D58" i="63"/>
  <c r="E58"/>
  <c r="E64" i="47"/>
  <c r="C217" i="61"/>
  <c r="A64" i="47"/>
  <c r="G64" s="1"/>
  <c r="B64" s="1"/>
  <c r="B58" i="63"/>
  <c r="A17" i="47"/>
  <c r="G17" s="1"/>
  <c r="B17" s="1"/>
  <c r="B11" i="63"/>
  <c r="C29" i="61"/>
  <c r="D326"/>
  <c r="C223" i="63"/>
  <c r="D405" i="61"/>
  <c r="C105" i="63"/>
  <c r="D105"/>
  <c r="E405" i="61"/>
  <c r="B105" i="63"/>
  <c r="A111" i="47"/>
  <c r="C405" i="61"/>
  <c r="C144" i="63"/>
  <c r="D10" i="61"/>
  <c r="C250" i="63"/>
  <c r="D434" i="61"/>
  <c r="C5" i="63"/>
  <c r="D5" i="61"/>
  <c r="E5" i="63"/>
  <c r="E11" i="47"/>
  <c r="C235" i="63"/>
  <c r="D374" i="61"/>
  <c r="A83" i="47"/>
  <c r="G83" s="1"/>
  <c r="B83" s="1"/>
  <c r="B77" i="63"/>
  <c r="C293" i="61"/>
  <c r="D293"/>
  <c r="C77" i="63"/>
  <c r="E469" i="61"/>
  <c r="D121" i="63"/>
  <c r="C469" i="61"/>
  <c r="B121" i="63"/>
  <c r="A127" i="47"/>
  <c r="G127" s="1"/>
  <c r="B127" s="1"/>
  <c r="E38"/>
  <c r="E32" i="63"/>
  <c r="D165" i="61"/>
  <c r="C45" i="63"/>
  <c r="E51" i="47"/>
  <c r="E45" i="63"/>
  <c r="D45"/>
  <c r="E165" i="61"/>
  <c r="D258"/>
  <c r="C206" i="63"/>
  <c r="D46" i="61"/>
  <c r="C153" i="63"/>
  <c r="D54" i="61"/>
  <c r="C155" i="63"/>
  <c r="E333" i="61"/>
  <c r="D87" i="63"/>
  <c r="A93" i="47"/>
  <c r="G93" s="1"/>
  <c r="B93" s="1"/>
  <c r="C333" i="61"/>
  <c r="B87" i="63"/>
  <c r="C247"/>
  <c r="D422" i="61"/>
  <c r="C153"/>
  <c r="A48" i="47"/>
  <c r="B42" i="63"/>
  <c r="E48" i="47"/>
  <c r="E42" i="63"/>
  <c r="AR246" i="47"/>
  <c r="AR211"/>
  <c r="AR98"/>
  <c r="AR158"/>
  <c r="AR137"/>
  <c r="AR36"/>
  <c r="AR80"/>
  <c r="AR181"/>
  <c r="AR128"/>
  <c r="AR241"/>
  <c r="AR111"/>
  <c r="AR182"/>
  <c r="AR165"/>
  <c r="E155"/>
  <c r="F3" i="63"/>
  <c r="F1" s="1"/>
  <c r="E259" i="47"/>
  <c r="E213"/>
  <c r="AR38"/>
  <c r="AR175"/>
  <c r="AR48"/>
  <c r="AR265"/>
  <c r="E244"/>
  <c r="AR148"/>
  <c r="D153" i="61"/>
  <c r="C42" i="63"/>
  <c r="E401" i="61"/>
  <c r="D104" i="63"/>
  <c r="E104"/>
  <c r="E110" i="47"/>
  <c r="C104" i="63"/>
  <c r="D401" i="61"/>
  <c r="D69"/>
  <c r="C21" i="63"/>
  <c r="E69" i="61"/>
  <c r="D21" i="63"/>
  <c r="D138" i="61"/>
  <c r="C176" i="63"/>
  <c r="C211"/>
  <c r="D278" i="61"/>
  <c r="E22" i="47"/>
  <c r="E16" i="63"/>
  <c r="E49" i="61"/>
  <c r="D16" i="63"/>
  <c r="C16"/>
  <c r="D49" i="61"/>
  <c r="C207" i="63"/>
  <c r="D262" i="61"/>
  <c r="E142" i="63"/>
  <c r="E148" i="47"/>
  <c r="A148"/>
  <c r="G148" s="1"/>
  <c r="B148" s="1"/>
  <c r="B142" i="63"/>
  <c r="E9"/>
  <c r="E15" i="47"/>
  <c r="E21" i="61"/>
  <c r="D9" i="63"/>
  <c r="E134" i="47"/>
  <c r="E128" i="63"/>
  <c r="C128"/>
  <c r="D497" i="61"/>
  <c r="C28" i="63"/>
  <c r="D97" i="61"/>
  <c r="E34" i="47"/>
  <c r="E28" i="63"/>
  <c r="C65"/>
  <c r="D245" i="61"/>
  <c r="E65" i="63"/>
  <c r="E71" i="47"/>
  <c r="B139" i="63"/>
  <c r="A145" i="47"/>
  <c r="D120" i="63"/>
  <c r="E465" i="61"/>
  <c r="A67" i="47"/>
  <c r="B61" i="63"/>
  <c r="C229" i="61"/>
  <c r="E61" i="63"/>
  <c r="E67" i="47"/>
  <c r="B72" i="63"/>
  <c r="A78" i="47"/>
  <c r="C273" i="61"/>
  <c r="E273"/>
  <c r="D72" i="63"/>
  <c r="E78" i="47"/>
  <c r="E72" i="63"/>
  <c r="D366" i="61"/>
  <c r="C233" i="63"/>
  <c r="C397" i="61"/>
  <c r="B103" i="63"/>
  <c r="A109" i="47"/>
  <c r="G109" s="1"/>
  <c r="B109" s="1"/>
  <c r="C103" i="63"/>
  <c r="D397" i="61"/>
  <c r="D130" i="63"/>
  <c r="E505" i="61"/>
  <c r="E136" i="47"/>
  <c r="E130" i="63"/>
  <c r="D398" i="61"/>
  <c r="C241" i="63"/>
  <c r="C165"/>
  <c r="D94" i="61"/>
  <c r="E10" i="63"/>
  <c r="E16" i="47"/>
  <c r="D10" i="63"/>
  <c r="E25" i="61"/>
  <c r="C25"/>
  <c r="B10" i="63"/>
  <c r="A16" i="47"/>
  <c r="D337" i="61"/>
  <c r="C88" i="63"/>
  <c r="D88"/>
  <c r="E337" i="61"/>
  <c r="E88" i="63"/>
  <c r="E94" i="47"/>
  <c r="E35" i="63"/>
  <c r="E41" i="47"/>
  <c r="D125" i="61"/>
  <c r="C35" i="63"/>
  <c r="E77" i="47"/>
  <c r="E71" i="63"/>
  <c r="C71"/>
  <c r="D269" i="61"/>
  <c r="D502"/>
  <c r="C267" i="63"/>
  <c r="E31" i="47"/>
  <c r="E25" i="63"/>
  <c r="E425" i="61"/>
  <c r="D110" i="63"/>
  <c r="E99" i="47"/>
  <c r="E93" i="63"/>
  <c r="D390" i="61"/>
  <c r="C239" i="63"/>
  <c r="C305" i="61"/>
  <c r="B80" i="63"/>
  <c r="A86" i="47"/>
  <c r="C80" i="63"/>
  <c r="D305" i="61"/>
  <c r="A113" i="47"/>
  <c r="G113" s="1"/>
  <c r="B113" s="1"/>
  <c r="B107" i="63"/>
  <c r="C413" i="61"/>
  <c r="E113" i="47"/>
  <c r="E107" i="63"/>
  <c r="C229"/>
  <c r="D350" i="61"/>
  <c r="C256" i="63"/>
  <c r="D458" i="61"/>
  <c r="C17" i="63"/>
  <c r="D53" i="61"/>
  <c r="E53"/>
  <c r="D17" i="63"/>
  <c r="A23" i="47"/>
  <c r="C53" i="61"/>
  <c r="B17" i="63"/>
  <c r="D454" i="61"/>
  <c r="C255" i="63"/>
  <c r="C162"/>
  <c r="D82" i="61"/>
  <c r="C252" i="63"/>
  <c r="D442" i="61"/>
  <c r="C437"/>
  <c r="B113" i="63"/>
  <c r="A119" i="47"/>
  <c r="E113" i="63"/>
  <c r="E119" i="47"/>
  <c r="C189" i="61"/>
  <c r="A57" i="47"/>
  <c r="B51" i="63"/>
  <c r="B27"/>
  <c r="C93" i="61"/>
  <c r="A33" i="47"/>
  <c r="D314" i="61"/>
  <c r="C220" i="63"/>
  <c r="D254" i="61"/>
  <c r="C205" i="63"/>
  <c r="D130" i="61"/>
  <c r="C174" i="63"/>
  <c r="C106"/>
  <c r="D409" i="61"/>
  <c r="E409"/>
  <c r="D106" i="63"/>
  <c r="C225"/>
  <c r="D334" i="61"/>
  <c r="D126"/>
  <c r="C173" i="63"/>
  <c r="C194"/>
  <c r="D210" i="61"/>
  <c r="E90" i="63"/>
  <c r="E96" i="47"/>
  <c r="B90" i="63"/>
  <c r="A96" i="47"/>
  <c r="C345" i="61"/>
  <c r="E24" i="63"/>
  <c r="E30" i="47"/>
  <c r="A30"/>
  <c r="C81" i="61"/>
  <c r="B24" i="63"/>
  <c r="E102"/>
  <c r="E108" i="47"/>
  <c r="E393" i="61"/>
  <c r="D102" i="63"/>
  <c r="D393" i="61"/>
  <c r="C102" i="63"/>
  <c r="C129"/>
  <c r="D501" i="61"/>
  <c r="E501"/>
  <c r="D129" i="63"/>
  <c r="A135" i="47"/>
  <c r="B129" i="63"/>
  <c r="C501" i="61"/>
  <c r="C217" i="63"/>
  <c r="D302" i="61"/>
  <c r="C365"/>
  <c r="A101" i="47"/>
  <c r="B95" i="63"/>
  <c r="E66" i="47"/>
  <c r="E60" i="63"/>
  <c r="C60"/>
  <c r="D225" i="61"/>
  <c r="D346"/>
  <c r="C228" i="63"/>
  <c r="B97"/>
  <c r="C373" i="61"/>
  <c r="A103" i="47"/>
  <c r="B141" i="63"/>
  <c r="A147" i="47"/>
  <c r="E147"/>
  <c r="E141" i="63"/>
  <c r="B86"/>
  <c r="A92" i="47"/>
  <c r="C329" i="61"/>
  <c r="E86" i="63"/>
  <c r="E92" i="47"/>
  <c r="D446" i="61"/>
  <c r="C253" i="63"/>
  <c r="E241" i="61"/>
  <c r="D64" i="63"/>
  <c r="D241" i="61"/>
  <c r="C64" i="63"/>
  <c r="A55" i="47"/>
  <c r="C181" i="61"/>
  <c r="B49" i="63"/>
  <c r="E181" i="61"/>
  <c r="D49" i="63"/>
  <c r="E91"/>
  <c r="E97" i="47"/>
  <c r="C41" i="61"/>
  <c r="A20" i="47"/>
  <c r="B14" i="63"/>
  <c r="D14"/>
  <c r="E41" i="61"/>
  <c r="D122"/>
  <c r="C172" i="63"/>
  <c r="B118"/>
  <c r="A124" i="47"/>
  <c r="C457" i="61"/>
  <c r="D67" i="63"/>
  <c r="E253" i="61"/>
  <c r="E62" i="47"/>
  <c r="E56" i="63"/>
  <c r="C209" i="61"/>
  <c r="A62" i="47"/>
  <c r="B56" i="63"/>
  <c r="C56"/>
  <c r="D209" i="61"/>
  <c r="D362"/>
  <c r="C232" i="63"/>
  <c r="D381" i="61"/>
  <c r="C99" i="63"/>
  <c r="E105" i="47"/>
  <c r="E99" i="63"/>
  <c r="C381" i="61"/>
  <c r="B99" i="63"/>
  <c r="A105" i="47"/>
  <c r="E157" i="61"/>
  <c r="D43" i="63"/>
  <c r="E43"/>
  <c r="E49" i="47"/>
  <c r="D377" i="61"/>
  <c r="C98" i="63"/>
  <c r="D98"/>
  <c r="E377" i="61"/>
  <c r="E104" i="47"/>
  <c r="E98" i="63"/>
  <c r="D321" i="61"/>
  <c r="C84" i="63"/>
  <c r="E321" i="61"/>
  <c r="D84" i="63"/>
  <c r="C154"/>
  <c r="D50" i="61"/>
  <c r="E489"/>
  <c r="D126" i="63"/>
  <c r="E132" i="47"/>
  <c r="E126" i="63"/>
  <c r="D438" i="61"/>
  <c r="C251" i="63"/>
  <c r="D83"/>
  <c r="E317" i="61"/>
  <c r="D317"/>
  <c r="C83" i="63"/>
  <c r="D117"/>
  <c r="E453" i="61"/>
  <c r="D421"/>
  <c r="C109" i="63"/>
  <c r="C285" i="61"/>
  <c r="A81" i="47"/>
  <c r="B75" i="63"/>
  <c r="E81" i="47"/>
  <c r="E75" i="63"/>
  <c r="E46"/>
  <c r="E52" i="47"/>
  <c r="C46" i="63"/>
  <c r="D169" i="61"/>
  <c r="C268" i="63"/>
  <c r="D506" i="61"/>
  <c r="E31" i="63"/>
  <c r="E37" i="47"/>
  <c r="A37"/>
  <c r="B31" i="63"/>
  <c r="C109" i="61"/>
  <c r="A46" i="47"/>
  <c r="C145" i="61"/>
  <c r="B40" i="63"/>
  <c r="E120" i="47"/>
  <c r="E114" i="63"/>
  <c r="C441" i="61"/>
  <c r="B114" i="63"/>
  <c r="A120" i="47"/>
  <c r="D441" i="61"/>
  <c r="C114" i="63"/>
  <c r="D132"/>
  <c r="E513" i="61"/>
  <c r="E138" i="47"/>
  <c r="E132" i="63"/>
  <c r="D201" i="61"/>
  <c r="C54" i="63"/>
  <c r="E54"/>
  <c r="E60" i="47"/>
  <c r="D166" i="61"/>
  <c r="C183" i="63"/>
  <c r="D214" i="61"/>
  <c r="C195" i="63"/>
  <c r="E108"/>
  <c r="E114" i="47"/>
  <c r="E13" i="61"/>
  <c r="D7" i="63"/>
  <c r="C7"/>
  <c r="D13" i="61"/>
  <c r="D6" i="63"/>
  <c r="E9" i="61"/>
  <c r="E6" i="63"/>
  <c r="E12" i="47"/>
  <c r="D9" i="61"/>
  <c r="C6" i="63"/>
  <c r="D96"/>
  <c r="E369" i="61"/>
  <c r="E96" i="63"/>
  <c r="E102" i="47"/>
  <c r="C22" i="63"/>
  <c r="D73" i="61"/>
  <c r="C73"/>
  <c r="A28" i="47"/>
  <c r="B22" i="63"/>
  <c r="C15"/>
  <c r="D45" i="61"/>
  <c r="C449"/>
  <c r="A122" i="47"/>
  <c r="B116" i="63"/>
  <c r="D449" i="61"/>
  <c r="C116" i="63"/>
  <c r="A143" i="47"/>
  <c r="B137" i="63"/>
  <c r="C249"/>
  <c r="D430" i="61"/>
  <c r="C85" i="63"/>
  <c r="D325" i="61"/>
  <c r="E477"/>
  <c r="D123" i="63"/>
  <c r="C123"/>
  <c r="D477" i="61"/>
  <c r="D298"/>
  <c r="C216" i="63"/>
  <c r="E65" i="61"/>
  <c r="D20" i="63"/>
  <c r="B20"/>
  <c r="C65" i="61"/>
  <c r="A26" i="47"/>
  <c r="D22" i="61"/>
  <c r="C147" i="63"/>
  <c r="D178" i="61"/>
  <c r="C186" i="63"/>
  <c r="C19"/>
  <c r="D61" i="61"/>
  <c r="D19" i="63"/>
  <c r="E61" i="61"/>
  <c r="E19" i="63"/>
  <c r="E25" i="47"/>
  <c r="D90" i="61"/>
  <c r="C164" i="63"/>
  <c r="D73"/>
  <c r="E277" i="61"/>
  <c r="E73" i="63"/>
  <c r="E79" i="47"/>
  <c r="B136" i="63"/>
  <c r="A142" i="47"/>
  <c r="D450" i="61"/>
  <c r="C254" i="63"/>
  <c r="C261" i="61"/>
  <c r="B69" i="63"/>
  <c r="A75" i="47"/>
  <c r="D69" i="63"/>
  <c r="E261" i="61"/>
  <c r="C243" i="63"/>
  <c r="D406" i="61"/>
  <c r="E12" i="63"/>
  <c r="E18" i="47"/>
  <c r="E101" i="63"/>
  <c r="E107" i="47"/>
  <c r="C389" i="61"/>
  <c r="B101" i="63"/>
  <c r="A107" i="47"/>
  <c r="D101" i="63"/>
  <c r="E389" i="61"/>
  <c r="E118" i="47"/>
  <c r="E112" i="63"/>
  <c r="B36"/>
  <c r="A42" i="47"/>
  <c r="C129" i="61"/>
  <c r="D129"/>
  <c r="C36" i="63"/>
  <c r="D36"/>
  <c r="E129" i="61"/>
  <c r="B34" i="63"/>
  <c r="A40" i="47"/>
  <c r="C121" i="61"/>
  <c r="D121"/>
  <c r="C34" i="63"/>
  <c r="E121" i="61"/>
  <c r="D34" i="63"/>
  <c r="D322" i="61"/>
  <c r="C222" i="63"/>
  <c r="E117" i="61"/>
  <c r="D33" i="63"/>
  <c r="E39" i="47"/>
  <c r="E33" i="63"/>
  <c r="B33"/>
  <c r="C117" i="61"/>
  <c r="A39" i="47"/>
  <c r="C63" i="63"/>
  <c r="D237" i="61"/>
  <c r="E69" i="47"/>
  <c r="E63" i="63"/>
  <c r="C29"/>
  <c r="D101" i="61"/>
  <c r="B29" i="63"/>
  <c r="A35" i="47"/>
  <c r="C101" i="61"/>
  <c r="D161"/>
  <c r="C44" i="63"/>
  <c r="A50" i="47"/>
  <c r="C161" i="61"/>
  <c r="B44" i="63"/>
  <c r="E161" i="61"/>
  <c r="D44" i="63"/>
  <c r="D250" i="61"/>
  <c r="C204" i="63"/>
  <c r="D290" i="61"/>
  <c r="C214" i="63"/>
  <c r="D394" i="61"/>
  <c r="C240" i="63"/>
  <c r="D58" i="61"/>
  <c r="C156" i="63"/>
  <c r="D38" i="61"/>
  <c r="C151" i="63"/>
  <c r="D310" i="61"/>
  <c r="C219" i="63"/>
  <c r="C59"/>
  <c r="D221" i="61"/>
  <c r="C221"/>
  <c r="A65" i="47"/>
  <c r="B59" i="63"/>
  <c r="D39"/>
  <c r="E141" i="61"/>
  <c r="A141" i="47"/>
  <c r="B135" i="63"/>
  <c r="D478" i="61"/>
  <c r="C261" i="63"/>
  <c r="E115"/>
  <c r="E121" i="47"/>
  <c r="C55" i="63"/>
  <c r="D205" i="61"/>
  <c r="E205"/>
  <c r="D55" i="63"/>
  <c r="A61" i="47"/>
  <c r="B55" i="63"/>
  <c r="C205" i="61"/>
  <c r="E481"/>
  <c r="D124" i="63"/>
  <c r="A130" i="47"/>
  <c r="B124" i="63"/>
  <c r="C481" i="61"/>
  <c r="D481"/>
  <c r="C124" i="63"/>
  <c r="E133" i="61"/>
  <c r="D37" i="63"/>
  <c r="D133" i="61"/>
  <c r="C37" i="63"/>
  <c r="E37"/>
  <c r="E43" i="47"/>
  <c r="E173" i="61"/>
  <c r="D47" i="63"/>
  <c r="E47"/>
  <c r="E53" i="47"/>
  <c r="D62" i="61"/>
  <c r="C157" i="63"/>
  <c r="D274" i="61"/>
  <c r="C210" i="63"/>
  <c r="D78" i="61"/>
  <c r="C161" i="63"/>
  <c r="D286" i="61"/>
  <c r="C213" i="63"/>
  <c r="D341" i="61"/>
  <c r="C89" i="63"/>
  <c r="C341" i="61"/>
  <c r="B89" i="63"/>
  <c r="A95" i="47"/>
  <c r="C38" i="63"/>
  <c r="D137" i="61"/>
  <c r="E44" i="47"/>
  <c r="E38" i="63"/>
  <c r="D301" i="61"/>
  <c r="C79" i="63"/>
  <c r="D79"/>
  <c r="E301" i="61"/>
  <c r="E313"/>
  <c r="D82" i="63"/>
  <c r="E82"/>
  <c r="E88" i="47"/>
  <c r="C82" i="63"/>
  <c r="D313" i="61"/>
  <c r="D182"/>
  <c r="C187" i="63"/>
  <c r="E74" i="47"/>
  <c r="E68" i="63"/>
  <c r="E257" i="61"/>
  <c r="D68" i="63"/>
  <c r="D13"/>
  <c r="E37" i="61"/>
  <c r="D37"/>
  <c r="C13" i="63"/>
  <c r="B13"/>
  <c r="A19" i="47"/>
  <c r="C37" i="61"/>
  <c r="C226" i="63"/>
  <c r="D338" i="61"/>
  <c r="A144" i="47"/>
  <c r="B138" i="63"/>
  <c r="E138"/>
  <c r="E144" i="47"/>
  <c r="C179" i="63"/>
  <c r="D150" i="61"/>
  <c r="D202"/>
  <c r="C192" i="63"/>
  <c r="C182"/>
  <c r="D162" i="61"/>
  <c r="E493"/>
  <c r="D127" i="63"/>
  <c r="A133" i="47"/>
  <c r="C493" i="61"/>
  <c r="B127" i="63"/>
  <c r="E133" i="47"/>
  <c r="E127" i="63"/>
  <c r="C57" i="61"/>
  <c r="A24" i="47"/>
  <c r="B18" i="63"/>
  <c r="D57" i="61"/>
  <c r="C18" i="63"/>
  <c r="C76"/>
  <c r="D289" i="61"/>
  <c r="A82" i="47"/>
  <c r="B76" i="63"/>
  <c r="C289" i="61"/>
  <c r="AR215" i="47"/>
  <c r="AR200"/>
  <c r="AR176"/>
  <c r="E176"/>
  <c r="E265"/>
  <c r="E208"/>
  <c r="AR244"/>
  <c r="AR184"/>
  <c r="AR191"/>
  <c r="E204"/>
  <c r="AR145"/>
  <c r="AR126"/>
  <c r="AR78"/>
  <c r="E249"/>
  <c r="AR249"/>
  <c r="AR190"/>
  <c r="AR77"/>
  <c r="AR194"/>
  <c r="E194"/>
  <c r="AR31"/>
  <c r="AR116"/>
  <c r="AR253"/>
  <c r="E253"/>
  <c r="AR86"/>
  <c r="A149"/>
  <c r="AR174"/>
  <c r="E162"/>
  <c r="E239"/>
  <c r="AR197"/>
  <c r="E197"/>
  <c r="AR57"/>
  <c r="AR33"/>
  <c r="AR171"/>
  <c r="AR221"/>
  <c r="E221"/>
  <c r="AR180"/>
  <c r="AR108"/>
  <c r="AR101"/>
  <c r="E217"/>
  <c r="AR103"/>
  <c r="AR92"/>
  <c r="AR247"/>
  <c r="AR255"/>
  <c r="E255"/>
  <c r="E154"/>
  <c r="AR70"/>
  <c r="AR97"/>
  <c r="E169"/>
  <c r="AR225"/>
  <c r="AR124"/>
  <c r="E193"/>
  <c r="AR73"/>
  <c r="AR157"/>
  <c r="E214"/>
  <c r="AR49"/>
  <c r="AR196"/>
  <c r="E196"/>
  <c r="E232"/>
  <c r="AR261"/>
  <c r="AR90"/>
  <c r="AR132"/>
  <c r="AR198"/>
  <c r="AR89"/>
  <c r="AR123"/>
  <c r="AR46"/>
  <c r="A153"/>
  <c r="G153" s="1"/>
  <c r="B153" s="1"/>
  <c r="AR153"/>
  <c r="AR60"/>
  <c r="AR114"/>
  <c r="E207"/>
  <c r="AR13"/>
  <c r="AR166"/>
  <c r="E258"/>
  <c r="E229"/>
  <c r="AR260"/>
  <c r="AR122"/>
  <c r="AR230"/>
  <c r="AR91"/>
  <c r="AR26"/>
  <c r="E173"/>
  <c r="AR140"/>
  <c r="AR266"/>
  <c r="AR25"/>
  <c r="AR79"/>
  <c r="AR100"/>
  <c r="AR202"/>
  <c r="AR75"/>
  <c r="A151"/>
  <c r="G151" s="1"/>
  <c r="B151" s="1"/>
  <c r="AR151"/>
  <c r="E151"/>
  <c r="AR18"/>
  <c r="AR42"/>
  <c r="AR40"/>
  <c r="E187"/>
  <c r="AR35"/>
  <c r="E209"/>
  <c r="AR206"/>
  <c r="AR65"/>
  <c r="AR45"/>
  <c r="AR121"/>
  <c r="E161"/>
  <c r="E222"/>
  <c r="AR250"/>
  <c r="E243"/>
  <c r="E189"/>
  <c r="AR189"/>
  <c r="AR233"/>
  <c r="E233"/>
  <c r="AR185"/>
  <c r="AR254"/>
  <c r="AR152"/>
  <c r="A152"/>
  <c r="G152" s="1"/>
  <c r="B152" s="1"/>
  <c r="D128" i="63"/>
  <c r="E497" i="61"/>
  <c r="E97"/>
  <c r="D28" i="63"/>
  <c r="B28"/>
  <c r="A34" i="47"/>
  <c r="G34" s="1"/>
  <c r="B34" s="1"/>
  <c r="C97" i="61"/>
  <c r="C178" i="63"/>
  <c r="D146" i="61"/>
  <c r="A71" i="47"/>
  <c r="B65" i="63"/>
  <c r="C245" i="61"/>
  <c r="E245"/>
  <c r="D65" i="63"/>
  <c r="E139"/>
  <c r="E145" i="47"/>
  <c r="D465" i="61"/>
  <c r="C120" i="63"/>
  <c r="E126" i="47"/>
  <c r="E120" i="63"/>
  <c r="A126" i="47"/>
  <c r="G126" s="1"/>
  <c r="B126" s="1"/>
  <c r="C465" i="61"/>
  <c r="B120" i="63"/>
  <c r="D61"/>
  <c r="E229" i="61"/>
  <c r="D229"/>
  <c r="C61" i="63"/>
  <c r="D273" i="61"/>
  <c r="C72" i="63"/>
  <c r="E397" i="61"/>
  <c r="D103" i="63"/>
  <c r="E109" i="47"/>
  <c r="E103" i="63"/>
  <c r="C505" i="61"/>
  <c r="B130" i="63"/>
  <c r="A136" i="47"/>
  <c r="G136" s="1"/>
  <c r="B136" s="1"/>
  <c r="C130" i="63"/>
  <c r="D505" i="61"/>
  <c r="C184" i="63"/>
  <c r="D170" i="61"/>
  <c r="C257" i="63"/>
  <c r="D462" i="61"/>
  <c r="C242" i="63"/>
  <c r="D402" i="61"/>
  <c r="C10" i="63"/>
  <c r="D25" i="61"/>
  <c r="C337"/>
  <c r="B88" i="63"/>
  <c r="A94" i="47"/>
  <c r="A41"/>
  <c r="G41" s="1"/>
  <c r="B41" s="1"/>
  <c r="C125" i="61"/>
  <c r="B35" i="63"/>
  <c r="E125" i="61"/>
  <c r="D35" i="63"/>
  <c r="B71"/>
  <c r="C269" i="61"/>
  <c r="A77" i="47"/>
  <c r="G77" s="1"/>
  <c r="B77" s="1"/>
  <c r="D71" i="63"/>
  <c r="E269" i="61"/>
  <c r="C85"/>
  <c r="A31" i="47"/>
  <c r="G31" s="1"/>
  <c r="B31" s="1"/>
  <c r="B25" i="63"/>
  <c r="C25"/>
  <c r="D85" i="61"/>
  <c r="E85"/>
  <c r="D25" i="63"/>
  <c r="C425" i="61"/>
  <c r="B110" i="63"/>
  <c r="A116" i="47"/>
  <c r="G116" s="1"/>
  <c r="B116" s="1"/>
  <c r="E116"/>
  <c r="E110" i="63"/>
  <c r="C110"/>
  <c r="D425" i="61"/>
  <c r="E357"/>
  <c r="D93" i="63"/>
  <c r="C93"/>
  <c r="D357" i="61"/>
  <c r="C357"/>
  <c r="B93" i="63"/>
  <c r="A99" i="47"/>
  <c r="G99" s="1"/>
  <c r="B99" s="1"/>
  <c r="D486" i="61"/>
  <c r="C263" i="63"/>
  <c r="D102" i="61"/>
  <c r="C167" i="63"/>
  <c r="D80"/>
  <c r="E305" i="61"/>
  <c r="E80" i="63"/>
  <c r="E86" i="47"/>
  <c r="D107" i="63"/>
  <c r="E413" i="61"/>
  <c r="D413"/>
  <c r="C107" i="63"/>
  <c r="A139" i="47"/>
  <c r="B133" i="63"/>
  <c r="E139" i="47"/>
  <c r="E133" i="63"/>
  <c r="E23" i="47"/>
  <c r="E17" i="63"/>
  <c r="D437" i="61"/>
  <c r="C113" i="63"/>
  <c r="D113"/>
  <c r="E437" i="61"/>
  <c r="E189"/>
  <c r="D51" i="63"/>
  <c r="C51"/>
  <c r="D189" i="61"/>
  <c r="E57" i="47"/>
  <c r="E51" i="63"/>
  <c r="D27"/>
  <c r="E93" i="61"/>
  <c r="E33" i="47"/>
  <c r="E27" i="63"/>
  <c r="D93" i="61"/>
  <c r="C27" i="63"/>
  <c r="D194" i="61"/>
  <c r="C190" i="63"/>
  <c r="D266" i="61"/>
  <c r="C208" i="63"/>
  <c r="C231"/>
  <c r="D358" i="61"/>
  <c r="E112" i="47"/>
  <c r="E106" i="63"/>
  <c r="A112" i="47"/>
  <c r="G112" s="1"/>
  <c r="B112" s="1"/>
  <c r="C409" i="61"/>
  <c r="B106" i="63"/>
  <c r="D6" i="61"/>
  <c r="C143" i="63"/>
  <c r="E345" i="61"/>
  <c r="D90" i="63"/>
  <c r="D345" i="61"/>
  <c r="C90" i="63"/>
  <c r="C24"/>
  <c r="D81" i="61"/>
  <c r="D24" i="63"/>
  <c r="E81" i="61"/>
  <c r="A108" i="47"/>
  <c r="G108" s="1"/>
  <c r="B108" s="1"/>
  <c r="C393" i="61"/>
  <c r="B102" i="63"/>
  <c r="E129"/>
  <c r="E135" i="47"/>
  <c r="C149" i="63"/>
  <c r="D30" i="61"/>
  <c r="C236" i="63"/>
  <c r="D378" i="61"/>
  <c r="E101" i="47"/>
  <c r="E95" i="63"/>
  <c r="C95"/>
  <c r="D365" i="61"/>
  <c r="D95" i="63"/>
  <c r="E365" i="61"/>
  <c r="D60" i="63"/>
  <c r="E225" i="61"/>
  <c r="B60" i="63"/>
  <c r="A66" i="47"/>
  <c r="C225" i="61"/>
  <c r="D97" i="63"/>
  <c r="E373" i="61"/>
  <c r="E97" i="63"/>
  <c r="E103" i="47"/>
  <c r="D373" i="61"/>
  <c r="C97" i="63"/>
  <c r="C163"/>
  <c r="D86" i="61"/>
  <c r="D86" i="63"/>
  <c r="E329" i="61"/>
  <c r="C86" i="63"/>
  <c r="D329" i="61"/>
  <c r="D110"/>
  <c r="C169" i="63"/>
  <c r="D238" i="61"/>
  <c r="C201" i="63"/>
  <c r="B64"/>
  <c r="A70" i="47"/>
  <c r="G70" s="1"/>
  <c r="B70" s="1"/>
  <c r="C241" i="61"/>
  <c r="E70" i="47"/>
  <c r="E64" i="63"/>
  <c r="D181" i="61"/>
  <c r="C49" i="63"/>
  <c r="E55" i="47"/>
  <c r="E49" i="63"/>
  <c r="D349" i="61"/>
  <c r="C91" i="63"/>
  <c r="D91"/>
  <c r="E349" i="61"/>
  <c r="A97" i="47"/>
  <c r="G97" s="1"/>
  <c r="B97" s="1"/>
  <c r="C349" i="61"/>
  <c r="B91" i="63"/>
  <c r="E14"/>
  <c r="E20" i="47"/>
  <c r="D41" i="61"/>
  <c r="C14" i="63"/>
  <c r="D330" i="61"/>
  <c r="C224" i="63"/>
  <c r="C260"/>
  <c r="D474" i="61"/>
  <c r="D457"/>
  <c r="C118" i="63"/>
  <c r="E457" i="61"/>
  <c r="D118" i="63"/>
  <c r="E118"/>
  <c r="E124" i="47"/>
  <c r="C67" i="63"/>
  <c r="D253" i="61"/>
  <c r="E67" i="63"/>
  <c r="E73" i="47"/>
  <c r="A73"/>
  <c r="G73" s="1"/>
  <c r="B73" s="1"/>
  <c r="B67" i="63"/>
  <c r="C253" i="61"/>
  <c r="D414"/>
  <c r="C245" i="63"/>
  <c r="D56"/>
  <c r="E209" i="61"/>
  <c r="E381"/>
  <c r="D99" i="63"/>
  <c r="D157" i="61"/>
  <c r="C43" i="63"/>
  <c r="B43"/>
  <c r="C157" i="61"/>
  <c r="A49" i="47"/>
  <c r="G49" s="1"/>
  <c r="B49" s="1"/>
  <c r="C197" i="63"/>
  <c r="D222" i="61"/>
  <c r="C377"/>
  <c r="A104" i="47"/>
  <c r="B98" i="63"/>
  <c r="D370" i="61"/>
  <c r="C234" i="63"/>
  <c r="A90" i="47"/>
  <c r="G90" s="1"/>
  <c r="B90" s="1"/>
  <c r="C321" i="61"/>
  <c r="B84" i="63"/>
  <c r="E90" i="47"/>
  <c r="E84" i="63"/>
  <c r="D470" i="61"/>
  <c r="C259" i="63"/>
  <c r="C489" i="61"/>
  <c r="B126" i="63"/>
  <c r="A132" i="47"/>
  <c r="G132" s="1"/>
  <c r="B132" s="1"/>
  <c r="D489" i="61"/>
  <c r="C126" i="63"/>
  <c r="D154" i="61"/>
  <c r="C180" i="63"/>
  <c r="E83"/>
  <c r="E89" i="47"/>
  <c r="A89"/>
  <c r="G89" s="1"/>
  <c r="B89" s="1"/>
  <c r="C317" i="61"/>
  <c r="B83" i="63"/>
  <c r="E123" i="47"/>
  <c r="E117" i="63"/>
  <c r="A123" i="47"/>
  <c r="G123" s="1"/>
  <c r="B123" s="1"/>
  <c r="B117" i="63"/>
  <c r="C453" i="61"/>
  <c r="C117" i="63"/>
  <c r="D453" i="61"/>
  <c r="E109" i="63"/>
  <c r="E115" i="47"/>
  <c r="D109" i="63"/>
  <c r="E421" i="61"/>
  <c r="C421"/>
  <c r="A115" i="47"/>
  <c r="B109" i="63"/>
  <c r="D75"/>
  <c r="E285" i="61"/>
  <c r="D285"/>
  <c r="C75" i="63"/>
  <c r="D46"/>
  <c r="E169" i="61"/>
  <c r="B46" i="63"/>
  <c r="A52" i="47"/>
  <c r="C169" i="61"/>
  <c r="D31" i="63"/>
  <c r="E109" i="61"/>
  <c r="C31" i="63"/>
  <c r="D109" i="61"/>
  <c r="D40" i="63"/>
  <c r="E145" i="61"/>
  <c r="E40" i="63"/>
  <c r="E46" i="47"/>
  <c r="D145" i="61"/>
  <c r="C40" i="63"/>
  <c r="E441" i="61"/>
  <c r="D114" i="63"/>
  <c r="D282" i="61"/>
  <c r="C212" i="63"/>
  <c r="D270" i="61"/>
  <c r="C209" i="63"/>
  <c r="C513" i="61"/>
  <c r="B132" i="63"/>
  <c r="A138" i="47"/>
  <c r="D513" i="61"/>
  <c r="C132" i="63"/>
  <c r="B54"/>
  <c r="C201" i="61"/>
  <c r="A60" i="47"/>
  <c r="G60" s="1"/>
  <c r="B60" s="1"/>
  <c r="D54" i="63"/>
  <c r="E201" i="61"/>
  <c r="D206"/>
  <c r="C193" i="63"/>
  <c r="D417" i="61"/>
  <c r="C108" i="63"/>
  <c r="E417" i="61"/>
  <c r="D108" i="63"/>
  <c r="C417" i="61"/>
  <c r="B108" i="63"/>
  <c r="A114" i="47"/>
  <c r="G114" s="1"/>
  <c r="B114" s="1"/>
  <c r="D114" i="61"/>
  <c r="C170" i="63"/>
  <c r="E13" i="47"/>
  <c r="E7" i="63"/>
  <c r="C13" i="61"/>
  <c r="B7" i="63"/>
  <c r="A13" i="47"/>
  <c r="G13" s="1"/>
  <c r="B13" s="1"/>
  <c r="B6" i="63"/>
  <c r="A12" i="47"/>
  <c r="C9" i="61"/>
  <c r="C96" i="63"/>
  <c r="D369" i="61"/>
  <c r="A102" i="47"/>
  <c r="C369" i="61"/>
  <c r="B96" i="63"/>
  <c r="E22"/>
  <c r="E28" i="47"/>
  <c r="E73" i="61"/>
  <c r="D22" i="63"/>
  <c r="A21" i="47"/>
  <c r="B15" i="63"/>
  <c r="C45" i="61"/>
  <c r="E21" i="47"/>
  <c r="E15" i="63"/>
  <c r="E45" i="61"/>
  <c r="D15" i="63"/>
  <c r="D26" i="61"/>
  <c r="C148" i="63"/>
  <c r="E116"/>
  <c r="E122" i="47"/>
  <c r="E449" i="61"/>
  <c r="D116" i="63"/>
  <c r="E143" i="47"/>
  <c r="E137" i="63"/>
  <c r="E325" i="61"/>
  <c r="D85" i="63"/>
  <c r="E85"/>
  <c r="E91" i="47"/>
  <c r="C325" i="61"/>
  <c r="B85" i="63"/>
  <c r="A91" i="47"/>
  <c r="G91" s="1"/>
  <c r="B91" s="1"/>
  <c r="B123" i="63"/>
  <c r="C477" i="61"/>
  <c r="A129" i="47"/>
  <c r="E129"/>
  <c r="E123" i="63"/>
  <c r="C264"/>
  <c r="D490" i="61"/>
  <c r="C244" i="63"/>
  <c r="D410" i="61"/>
  <c r="D65"/>
  <c r="C20" i="63"/>
  <c r="E20"/>
  <c r="E26" i="47"/>
  <c r="E134" i="63"/>
  <c r="E140" i="47"/>
  <c r="A140"/>
  <c r="G140" s="1"/>
  <c r="B140" s="1"/>
  <c r="B134" i="63"/>
  <c r="B19"/>
  <c r="A25" i="47"/>
  <c r="G25" s="1"/>
  <c r="B25" s="1"/>
  <c r="C61" i="61"/>
  <c r="C277"/>
  <c r="A79" i="47"/>
  <c r="G79" s="1"/>
  <c r="B79" s="1"/>
  <c r="B73" i="63"/>
  <c r="D277" i="61"/>
  <c r="C73" i="63"/>
  <c r="D498" i="61"/>
  <c r="C266" i="63"/>
  <c r="E142" i="47"/>
  <c r="E136" i="63"/>
  <c r="C361" i="61"/>
  <c r="B94" i="63"/>
  <c r="A100" i="47"/>
  <c r="G100" s="1"/>
  <c r="B100" s="1"/>
  <c r="E361" i="61"/>
  <c r="D94" i="63"/>
  <c r="D361" i="61"/>
  <c r="C94" i="63"/>
  <c r="E94"/>
  <c r="E100" i="47"/>
  <c r="D261" i="61"/>
  <c r="C69" i="63"/>
  <c r="E75" i="47"/>
  <c r="E69" i="63"/>
  <c r="C33" i="61"/>
  <c r="A18" i="47"/>
  <c r="G18" s="1"/>
  <c r="B18" s="1"/>
  <c r="B12" i="63"/>
  <c r="D33" i="61"/>
  <c r="C12" i="63"/>
  <c r="D12"/>
  <c r="E33" i="61"/>
  <c r="D342"/>
  <c r="C227" i="63"/>
  <c r="D389" i="61"/>
  <c r="C101" i="63"/>
  <c r="D433" i="61"/>
  <c r="C112" i="63"/>
  <c r="D112"/>
  <c r="E433" i="61"/>
  <c r="C433"/>
  <c r="B112" i="63"/>
  <c r="A118" i="47"/>
  <c r="E42"/>
  <c r="E36" i="63"/>
  <c r="E34"/>
  <c r="E40" i="47"/>
  <c r="D117" i="61"/>
  <c r="C33" i="63"/>
  <c r="C237" i="61"/>
  <c r="A69" i="47"/>
  <c r="B63" i="63"/>
  <c r="D63"/>
  <c r="E237" i="61"/>
  <c r="C166" i="63"/>
  <c r="D98" i="61"/>
  <c r="E29" i="63"/>
  <c r="E35" i="47"/>
  <c r="E101" i="61"/>
  <c r="D29" i="63"/>
  <c r="D418" i="61"/>
  <c r="C246" i="63"/>
  <c r="E50" i="47"/>
  <c r="E44" i="63"/>
  <c r="E65" i="47"/>
  <c r="E59" i="63"/>
  <c r="E221" i="61"/>
  <c r="D59" i="63"/>
  <c r="C141" i="61"/>
  <c r="A45" i="47"/>
  <c r="G45" s="1"/>
  <c r="B45" s="1"/>
  <c r="B39" i="63"/>
  <c r="C39"/>
  <c r="D141" i="61"/>
  <c r="E39" i="63"/>
  <c r="E45" i="47"/>
  <c r="E141"/>
  <c r="E135" i="63"/>
  <c r="E445" i="61"/>
  <c r="D115" i="63"/>
  <c r="B115"/>
  <c r="C445" i="61"/>
  <c r="A121" i="47"/>
  <c r="G121" s="1"/>
  <c r="B121" s="1"/>
  <c r="C115" i="63"/>
  <c r="D445" i="61"/>
  <c r="E55" i="63"/>
  <c r="E61" i="47"/>
  <c r="E124" i="63"/>
  <c r="E130" i="47"/>
  <c r="B37" i="63"/>
  <c r="A43" i="47"/>
  <c r="C133" i="61"/>
  <c r="B47" i="63"/>
  <c r="A53" i="47"/>
  <c r="C173" i="61"/>
  <c r="D173"/>
  <c r="C47" i="63"/>
  <c r="D134" i="61"/>
  <c r="C175" i="63"/>
  <c r="D89"/>
  <c r="E341" i="61"/>
  <c r="E95" i="47"/>
  <c r="E89" i="63"/>
  <c r="C230"/>
  <c r="D354" i="61"/>
  <c r="B38" i="63"/>
  <c r="C137" i="61"/>
  <c r="A44" i="47"/>
  <c r="E137" i="61"/>
  <c r="D38" i="63"/>
  <c r="C262"/>
  <c r="D482" i="61"/>
  <c r="C218" i="63"/>
  <c r="D306" i="61"/>
  <c r="A85" i="47"/>
  <c r="C301" i="61"/>
  <c r="B79" i="63"/>
  <c r="E79"/>
  <c r="E85" i="47"/>
  <c r="A88"/>
  <c r="B82" i="63"/>
  <c r="C313" i="61"/>
  <c r="D246"/>
  <c r="C203" i="63"/>
  <c r="D257" i="61"/>
  <c r="C68" i="63"/>
  <c r="A74" i="47"/>
  <c r="C257" i="61"/>
  <c r="B68" i="63"/>
  <c r="E19" i="47"/>
  <c r="E13" i="63"/>
  <c r="C248"/>
  <c r="D426" i="61"/>
  <c r="C188" i="63"/>
  <c r="D186" i="61"/>
  <c r="C265" i="63"/>
  <c r="D494" i="61"/>
  <c r="D493"/>
  <c r="C127" i="63"/>
  <c r="E24" i="47"/>
  <c r="E18" i="63"/>
  <c r="D18"/>
  <c r="E57" i="61"/>
  <c r="E82" i="47"/>
  <c r="E76" i="63"/>
  <c r="D76"/>
  <c r="E289" i="61"/>
  <c r="AR204" i="47"/>
  <c r="AR71"/>
  <c r="AR67"/>
  <c r="AR236"/>
  <c r="E236"/>
  <c r="AR16"/>
  <c r="AR234"/>
  <c r="E234"/>
  <c r="E190"/>
  <c r="AR94"/>
  <c r="AR224"/>
  <c r="E149"/>
  <c r="AR149"/>
  <c r="E174"/>
  <c r="AR139"/>
  <c r="AR235"/>
  <c r="AR23"/>
  <c r="AR162"/>
  <c r="AR239"/>
  <c r="AR119"/>
  <c r="E171"/>
  <c r="AR226"/>
  <c r="AR96"/>
  <c r="AR167"/>
  <c r="E167"/>
  <c r="AR30"/>
  <c r="AR135"/>
  <c r="AR66"/>
  <c r="AR217"/>
  <c r="AR147"/>
  <c r="E247"/>
  <c r="AR154"/>
  <c r="AR55"/>
  <c r="AR20"/>
  <c r="AR169"/>
  <c r="E225"/>
  <c r="AR193"/>
  <c r="AR214"/>
  <c r="AR62"/>
  <c r="AR105"/>
  <c r="AR104"/>
  <c r="AR232"/>
  <c r="E261"/>
  <c r="E198"/>
  <c r="AR115"/>
  <c r="AR81"/>
  <c r="AR52"/>
  <c r="AR37"/>
  <c r="E153"/>
  <c r="AR120"/>
  <c r="AR138"/>
  <c r="AR207"/>
  <c r="AR12"/>
  <c r="E166"/>
  <c r="AR102"/>
  <c r="AR258"/>
  <c r="AR229"/>
  <c r="AR28"/>
  <c r="E260"/>
  <c r="AR21"/>
  <c r="E230"/>
  <c r="AR143"/>
  <c r="AR129"/>
  <c r="AR263"/>
  <c r="E263"/>
  <c r="E210"/>
  <c r="AR210"/>
  <c r="AR173"/>
  <c r="AR262"/>
  <c r="E262"/>
  <c r="E266"/>
  <c r="AR142"/>
  <c r="E202"/>
  <c r="E240"/>
  <c r="AR240"/>
  <c r="AR107"/>
  <c r="AR118"/>
  <c r="AR39"/>
  <c r="AR69"/>
  <c r="AR187"/>
  <c r="AR50"/>
  <c r="AR209"/>
  <c r="E206"/>
  <c r="AR141"/>
  <c r="AR61"/>
  <c r="AR130"/>
  <c r="AR161"/>
  <c r="AR43"/>
  <c r="AR222"/>
  <c r="E250"/>
  <c r="E163"/>
  <c r="AR163"/>
  <c r="AR53"/>
  <c r="E216"/>
  <c r="AR216"/>
  <c r="AR243"/>
  <c r="E156"/>
  <c r="AR156"/>
  <c r="AR95"/>
  <c r="AR44"/>
  <c r="E185"/>
  <c r="AR85"/>
  <c r="AR88"/>
  <c r="AR74"/>
  <c r="AR19"/>
  <c r="AR144"/>
  <c r="E254"/>
  <c r="E188"/>
  <c r="AR188"/>
  <c r="AR133"/>
  <c r="E152"/>
  <c r="AR24"/>
  <c r="AR82"/>
  <c r="C121" l="1"/>
  <c r="AM121" s="1"/>
  <c r="D121"/>
  <c r="C45"/>
  <c r="AM45" s="1"/>
  <c r="D45"/>
  <c r="C25"/>
  <c r="AM25" s="1"/>
  <c r="D25"/>
  <c r="D114"/>
  <c r="C114"/>
  <c r="AM114" s="1"/>
  <c r="C89"/>
  <c r="AM89" s="1"/>
  <c r="D89"/>
  <c r="C90"/>
  <c r="AM90" s="1"/>
  <c r="D90"/>
  <c r="C49"/>
  <c r="AM49" s="1"/>
  <c r="D49"/>
  <c r="D97"/>
  <c r="C97"/>
  <c r="AM97" s="1"/>
  <c r="C70"/>
  <c r="AM70" s="1"/>
  <c r="D70"/>
  <c r="D112"/>
  <c r="C112"/>
  <c r="AM112" s="1"/>
  <c r="C116"/>
  <c r="AM116" s="1"/>
  <c r="D116"/>
  <c r="C31"/>
  <c r="AM31" s="1"/>
  <c r="D31"/>
  <c r="D77"/>
  <c r="C77"/>
  <c r="AM77" s="1"/>
  <c r="C126"/>
  <c r="AM126" s="1"/>
  <c r="D126"/>
  <c r="C113"/>
  <c r="AM113" s="1"/>
  <c r="D113"/>
  <c r="S1"/>
  <c r="G1" i="61"/>
  <c r="L1" i="112"/>
  <c r="C93" i="47"/>
  <c r="AM93" s="1"/>
  <c r="D93"/>
  <c r="D83"/>
  <c r="C83"/>
  <c r="AM83" s="1"/>
  <c r="C17"/>
  <c r="AM17" s="1"/>
  <c r="D17"/>
  <c r="C64"/>
  <c r="AM64" s="1"/>
  <c r="D64"/>
  <c r="C14"/>
  <c r="AM14" s="1"/>
  <c r="D14"/>
  <c r="C106"/>
  <c r="AM106" s="1"/>
  <c r="D106"/>
  <c r="C63"/>
  <c r="AM63" s="1"/>
  <c r="D63"/>
  <c r="C150"/>
  <c r="AM150" s="1"/>
  <c r="D150"/>
  <c r="C134"/>
  <c r="AM134" s="1"/>
  <c r="D134"/>
  <c r="D11"/>
  <c r="C11"/>
  <c r="AM11" s="1"/>
  <c r="C54"/>
  <c r="AM54" s="1"/>
  <c r="D54"/>
  <c r="C125"/>
  <c r="AM125" s="1"/>
  <c r="D125"/>
  <c r="C47"/>
  <c r="AM47" s="1"/>
  <c r="D47"/>
  <c r="C131"/>
  <c r="AM131" s="1"/>
  <c r="D131"/>
  <c r="C68"/>
  <c r="AM68" s="1"/>
  <c r="D68"/>
  <c r="C220"/>
  <c r="AM220" s="1"/>
  <c r="D220"/>
  <c r="C256"/>
  <c r="AM256" s="1"/>
  <c r="D256"/>
  <c r="C227"/>
  <c r="AM227" s="1"/>
  <c r="D227"/>
  <c r="C231"/>
  <c r="AM231" s="1"/>
  <c r="D231"/>
  <c r="C203"/>
  <c r="AM203" s="1"/>
  <c r="D203"/>
  <c r="C219"/>
  <c r="AM219" s="1"/>
  <c r="D219"/>
  <c r="C186"/>
  <c r="AM186" s="1"/>
  <c r="D186"/>
  <c r="C228"/>
  <c r="AM228" s="1"/>
  <c r="D228"/>
  <c r="C252"/>
  <c r="AM252" s="1"/>
  <c r="D252"/>
  <c r="C248"/>
  <c r="AM248" s="1"/>
  <c r="D248"/>
  <c r="G74"/>
  <c r="B74" s="1"/>
  <c r="G85"/>
  <c r="B85" s="1"/>
  <c r="G43"/>
  <c r="B43" s="1"/>
  <c r="G129"/>
  <c r="B129" s="1"/>
  <c r="G21"/>
  <c r="B21" s="1"/>
  <c r="G138"/>
  <c r="B138" s="1"/>
  <c r="G52"/>
  <c r="B52" s="1"/>
  <c r="G104"/>
  <c r="B104" s="1"/>
  <c r="G139"/>
  <c r="B139" s="1"/>
  <c r="G94"/>
  <c r="B94" s="1"/>
  <c r="G149"/>
  <c r="B149" s="1"/>
  <c r="G130"/>
  <c r="B130" s="1"/>
  <c r="G42"/>
  <c r="B42" s="1"/>
  <c r="G107"/>
  <c r="B107" s="1"/>
  <c r="G142"/>
  <c r="B142" s="1"/>
  <c r="G26"/>
  <c r="B26" s="1"/>
  <c r="G143"/>
  <c r="B143" s="1"/>
  <c r="G122"/>
  <c r="B122" s="1"/>
  <c r="G46"/>
  <c r="B46" s="1"/>
  <c r="G124"/>
  <c r="B124" s="1"/>
  <c r="G30"/>
  <c r="B30" s="1"/>
  <c r="G96"/>
  <c r="B96" s="1"/>
  <c r="G33"/>
  <c r="B33" s="1"/>
  <c r="G57"/>
  <c r="B57" s="1"/>
  <c r="G119"/>
  <c r="B119" s="1"/>
  <c r="G16"/>
  <c r="B16" s="1"/>
  <c r="G145"/>
  <c r="B145" s="1"/>
  <c r="G48"/>
  <c r="B48" s="1"/>
  <c r="G111"/>
  <c r="B111" s="1"/>
  <c r="G36"/>
  <c r="B36" s="1"/>
  <c r="G27"/>
  <c r="B27" s="1"/>
  <c r="G51"/>
  <c r="B51" s="1"/>
  <c r="G38"/>
  <c r="B38" s="1"/>
  <c r="G98"/>
  <c r="B98" s="1"/>
  <c r="G188"/>
  <c r="B188" s="1"/>
  <c r="G233"/>
  <c r="B233" s="1"/>
  <c r="G189"/>
  <c r="B189" s="1"/>
  <c r="G262"/>
  <c r="B262" s="1"/>
  <c r="G232"/>
  <c r="B232" s="1"/>
  <c r="G196"/>
  <c r="B196" s="1"/>
  <c r="G214"/>
  <c r="B214" s="1"/>
  <c r="G157"/>
  <c r="B157" s="1"/>
  <c r="G193"/>
  <c r="B193" s="1"/>
  <c r="G225"/>
  <c r="B225" s="1"/>
  <c r="G154"/>
  <c r="B154" s="1"/>
  <c r="G247"/>
  <c r="B247" s="1"/>
  <c r="G217"/>
  <c r="B217" s="1"/>
  <c r="G221"/>
  <c r="B221" s="1"/>
  <c r="G162"/>
  <c r="B162" s="1"/>
  <c r="G253"/>
  <c r="B253" s="1"/>
  <c r="G194"/>
  <c r="B194" s="1"/>
  <c r="G249"/>
  <c r="B249" s="1"/>
  <c r="G250"/>
  <c r="B250" s="1"/>
  <c r="G209"/>
  <c r="B209" s="1"/>
  <c r="G202"/>
  <c r="B202" s="1"/>
  <c r="G173"/>
  <c r="B173" s="1"/>
  <c r="G230"/>
  <c r="B230" s="1"/>
  <c r="G258"/>
  <c r="B258" s="1"/>
  <c r="G207"/>
  <c r="B207" s="1"/>
  <c r="G261"/>
  <c r="B261" s="1"/>
  <c r="G180"/>
  <c r="B180" s="1"/>
  <c r="G208"/>
  <c r="B208" s="1"/>
  <c r="G200"/>
  <c r="B200" s="1"/>
  <c r="G191"/>
  <c r="B191" s="1"/>
  <c r="G184"/>
  <c r="B184" s="1"/>
  <c r="G176"/>
  <c r="B176" s="1"/>
  <c r="G213"/>
  <c r="B213" s="1"/>
  <c r="G155"/>
  <c r="B155" s="1"/>
  <c r="G211"/>
  <c r="B211" s="1"/>
  <c r="G164"/>
  <c r="B164" s="1"/>
  <c r="G175"/>
  <c r="B175" s="1"/>
  <c r="G199"/>
  <c r="B199" s="1"/>
  <c r="G182"/>
  <c r="B182" s="1"/>
  <c r="G241"/>
  <c r="B241" s="1"/>
  <c r="G246"/>
  <c r="B246" s="1"/>
  <c r="C18"/>
  <c r="AM18" s="1"/>
  <c r="D18"/>
  <c r="C100"/>
  <c r="AM100" s="1"/>
  <c r="D100"/>
  <c r="C79"/>
  <c r="AM79" s="1"/>
  <c r="D79"/>
  <c r="C140"/>
  <c r="AM140" s="1"/>
  <c r="D140"/>
  <c r="C91"/>
  <c r="AM91" s="1"/>
  <c r="D91"/>
  <c r="C13"/>
  <c r="AM13" s="1"/>
  <c r="D13"/>
  <c r="C60"/>
  <c r="AM60" s="1"/>
  <c r="D60"/>
  <c r="C123"/>
  <c r="AM123" s="1"/>
  <c r="D123"/>
  <c r="C132"/>
  <c r="AM132" s="1"/>
  <c r="D132"/>
  <c r="C73"/>
  <c r="AM73" s="1"/>
  <c r="D73"/>
  <c r="C108"/>
  <c r="AM108" s="1"/>
  <c r="D108"/>
  <c r="C99"/>
  <c r="AM99" s="1"/>
  <c r="D99"/>
  <c r="C41"/>
  <c r="AM41" s="1"/>
  <c r="D41"/>
  <c r="C136"/>
  <c r="AM136" s="1"/>
  <c r="D136"/>
  <c r="C34"/>
  <c r="AM34" s="1"/>
  <c r="D34"/>
  <c r="C152"/>
  <c r="AM152" s="1"/>
  <c r="D152"/>
  <c r="C151"/>
  <c r="AM151" s="1"/>
  <c r="D151"/>
  <c r="C153"/>
  <c r="AM153" s="1"/>
  <c r="D153"/>
  <c r="C109"/>
  <c r="AM109" s="1"/>
  <c r="D109"/>
  <c r="D148"/>
  <c r="C148"/>
  <c r="AM148" s="1"/>
  <c r="D127"/>
  <c r="C127"/>
  <c r="AM127" s="1"/>
  <c r="C84"/>
  <c r="AM84" s="1"/>
  <c r="D84"/>
  <c r="C58"/>
  <c r="AM58" s="1"/>
  <c r="D58"/>
  <c r="C117"/>
  <c r="AM117" s="1"/>
  <c r="D117"/>
  <c r="D146"/>
  <c r="C146"/>
  <c r="AM146" s="1"/>
  <c r="C29"/>
  <c r="AM29" s="1"/>
  <c r="D29"/>
  <c r="D87"/>
  <c r="C87"/>
  <c r="AM87" s="1"/>
  <c r="C56"/>
  <c r="AM56" s="1"/>
  <c r="D56"/>
  <c r="C15"/>
  <c r="AM15" s="1"/>
  <c r="D15"/>
  <c r="C22"/>
  <c r="AM22" s="1"/>
  <c r="D22"/>
  <c r="C110"/>
  <c r="AM110" s="1"/>
  <c r="D110"/>
  <c r="C59"/>
  <c r="AM59" s="1"/>
  <c r="D59"/>
  <c r="C32"/>
  <c r="AM32" s="1"/>
  <c r="D32"/>
  <c r="C72"/>
  <c r="AM72" s="1"/>
  <c r="D72"/>
  <c r="C76"/>
  <c r="AM76" s="1"/>
  <c r="D76"/>
  <c r="D251"/>
  <c r="C251"/>
  <c r="AM251" s="1"/>
  <c r="C237"/>
  <c r="AM237" s="1"/>
  <c r="D237"/>
  <c r="C218"/>
  <c r="AM218" s="1"/>
  <c r="D218"/>
  <c r="C257"/>
  <c r="AM257" s="1"/>
  <c r="D257"/>
  <c r="C178"/>
  <c r="AM178" s="1"/>
  <c r="D178"/>
  <c r="C183"/>
  <c r="AM183" s="1"/>
  <c r="D183"/>
  <c r="C245"/>
  <c r="AM245" s="1"/>
  <c r="D245"/>
  <c r="C179"/>
  <c r="AM179" s="1"/>
  <c r="D179"/>
  <c r="C201"/>
  <c r="AM201" s="1"/>
  <c r="D201"/>
  <c r="C192"/>
  <c r="AM192" s="1"/>
  <c r="D192"/>
  <c r="C168"/>
  <c r="AM168" s="1"/>
  <c r="D168"/>
  <c r="C172"/>
  <c r="AM172" s="1"/>
  <c r="D172"/>
  <c r="C264"/>
  <c r="AM264" s="1"/>
  <c r="D264"/>
  <c r="C205"/>
  <c r="AM205" s="1"/>
  <c r="D205"/>
  <c r="C177"/>
  <c r="AM177" s="1"/>
  <c r="D177"/>
  <c r="C238"/>
  <c r="AM238" s="1"/>
  <c r="D238"/>
  <c r="C159"/>
  <c r="AM159" s="1"/>
  <c r="D159"/>
  <c r="C170"/>
  <c r="AM170" s="1"/>
  <c r="D170"/>
  <c r="C223"/>
  <c r="AM223" s="1"/>
  <c r="D223"/>
  <c r="C195"/>
  <c r="AM195" s="1"/>
  <c r="D195"/>
  <c r="C160"/>
  <c r="AM160" s="1"/>
  <c r="D160"/>
  <c r="G88"/>
  <c r="B88" s="1"/>
  <c r="G44"/>
  <c r="B44" s="1"/>
  <c r="G53"/>
  <c r="B53" s="1"/>
  <c r="G69"/>
  <c r="B69" s="1"/>
  <c r="G118"/>
  <c r="B118" s="1"/>
  <c r="G102"/>
  <c r="B102" s="1"/>
  <c r="G12"/>
  <c r="B12" s="1"/>
  <c r="G115"/>
  <c r="B115" s="1"/>
  <c r="G66"/>
  <c r="B66" s="1"/>
  <c r="G71"/>
  <c r="B71" s="1"/>
  <c r="G82"/>
  <c r="B82" s="1"/>
  <c r="G24"/>
  <c r="B24" s="1"/>
  <c r="G133"/>
  <c r="B133" s="1"/>
  <c r="G144"/>
  <c r="B144" s="1"/>
  <c r="G19"/>
  <c r="B19" s="1"/>
  <c r="G95"/>
  <c r="B95" s="1"/>
  <c r="G61"/>
  <c r="B61" s="1"/>
  <c r="G141"/>
  <c r="B141" s="1"/>
  <c r="G65"/>
  <c r="B65" s="1"/>
  <c r="G50"/>
  <c r="B50" s="1"/>
  <c r="G35"/>
  <c r="B35" s="1"/>
  <c r="G39"/>
  <c r="B39" s="1"/>
  <c r="G40"/>
  <c r="B40" s="1"/>
  <c r="G75"/>
  <c r="B75" s="1"/>
  <c r="G28"/>
  <c r="B28" s="1"/>
  <c r="G120"/>
  <c r="B120" s="1"/>
  <c r="G37"/>
  <c r="B37" s="1"/>
  <c r="G81"/>
  <c r="B81" s="1"/>
  <c r="G105"/>
  <c r="B105" s="1"/>
  <c r="G62"/>
  <c r="B62" s="1"/>
  <c r="G20"/>
  <c r="B20" s="1"/>
  <c r="G55"/>
  <c r="B55" s="1"/>
  <c r="G92"/>
  <c r="B92" s="1"/>
  <c r="G147"/>
  <c r="B147" s="1"/>
  <c r="G103"/>
  <c r="B103" s="1"/>
  <c r="G101"/>
  <c r="B101" s="1"/>
  <c r="G135"/>
  <c r="B135" s="1"/>
  <c r="G23"/>
  <c r="B23" s="1"/>
  <c r="G86"/>
  <c r="B86" s="1"/>
  <c r="G78"/>
  <c r="B78" s="1"/>
  <c r="G67"/>
  <c r="B67" s="1"/>
  <c r="G128"/>
  <c r="B128" s="1"/>
  <c r="G80"/>
  <c r="B80" s="1"/>
  <c r="G137"/>
  <c r="B137" s="1"/>
  <c r="G254"/>
  <c r="B254" s="1"/>
  <c r="G185"/>
  <c r="B185" s="1"/>
  <c r="G156"/>
  <c r="B156" s="1"/>
  <c r="G243"/>
  <c r="B243" s="1"/>
  <c r="G216"/>
  <c r="B216" s="1"/>
  <c r="G222"/>
  <c r="B222" s="1"/>
  <c r="G206"/>
  <c r="B206" s="1"/>
  <c r="G187"/>
  <c r="B187" s="1"/>
  <c r="G266"/>
  <c r="B266" s="1"/>
  <c r="G210"/>
  <c r="B210" s="1"/>
  <c r="G263"/>
  <c r="B263" s="1"/>
  <c r="G260"/>
  <c r="B260" s="1"/>
  <c r="G166"/>
  <c r="B166" s="1"/>
  <c r="G255"/>
  <c r="B255" s="1"/>
  <c r="G167"/>
  <c r="B167" s="1"/>
  <c r="G197"/>
  <c r="B197" s="1"/>
  <c r="G239"/>
  <c r="B239" s="1"/>
  <c r="G174"/>
  <c r="B174" s="1"/>
  <c r="G190"/>
  <c r="B190" s="1"/>
  <c r="G204"/>
  <c r="B204" s="1"/>
  <c r="G163"/>
  <c r="B163" s="1"/>
  <c r="G161"/>
  <c r="B161" s="1"/>
  <c r="G240"/>
  <c r="B240" s="1"/>
  <c r="G229"/>
  <c r="B229" s="1"/>
  <c r="G198"/>
  <c r="B198" s="1"/>
  <c r="G169"/>
  <c r="B169" s="1"/>
  <c r="G226"/>
  <c r="B226" s="1"/>
  <c r="G171"/>
  <c r="B171" s="1"/>
  <c r="G235"/>
  <c r="B235" s="1"/>
  <c r="G224"/>
  <c r="B224" s="1"/>
  <c r="G234"/>
  <c r="B234" s="1"/>
  <c r="G236"/>
  <c r="B236" s="1"/>
  <c r="G215"/>
  <c r="B215" s="1"/>
  <c r="G244"/>
  <c r="B244" s="1"/>
  <c r="G165"/>
  <c r="B165" s="1"/>
  <c r="G158"/>
  <c r="B158" s="1"/>
  <c r="G212"/>
  <c r="B212" s="1"/>
  <c r="G242"/>
  <c r="B242" s="1"/>
  <c r="G265"/>
  <c r="B265" s="1"/>
  <c r="G259"/>
  <c r="B259" s="1"/>
  <c r="G181"/>
  <c r="B181" s="1"/>
  <c r="C181" l="1"/>
  <c r="AM181" s="1"/>
  <c r="D181"/>
  <c r="D212"/>
  <c r="C212"/>
  <c r="AM212" s="1"/>
  <c r="C259"/>
  <c r="AM259" s="1"/>
  <c r="D259"/>
  <c r="D242"/>
  <c r="C242"/>
  <c r="AM242" s="1"/>
  <c r="C158"/>
  <c r="AM158" s="1"/>
  <c r="D158"/>
  <c r="C244"/>
  <c r="AM244" s="1"/>
  <c r="D244"/>
  <c r="C236"/>
  <c r="AM236" s="1"/>
  <c r="D236"/>
  <c r="C224"/>
  <c r="AM224" s="1"/>
  <c r="D224"/>
  <c r="C171"/>
  <c r="AM171" s="1"/>
  <c r="D171"/>
  <c r="C169"/>
  <c r="AM169" s="1"/>
  <c r="D169"/>
  <c r="C229"/>
  <c r="AM229" s="1"/>
  <c r="D229"/>
  <c r="C161"/>
  <c r="AM161" s="1"/>
  <c r="D161"/>
  <c r="C204"/>
  <c r="AM204" s="1"/>
  <c r="D204"/>
  <c r="C174"/>
  <c r="AM174" s="1"/>
  <c r="D174"/>
  <c r="C197"/>
  <c r="AM197" s="1"/>
  <c r="D197"/>
  <c r="C255"/>
  <c r="AM255" s="1"/>
  <c r="D255"/>
  <c r="C260"/>
  <c r="AM260" s="1"/>
  <c r="D260"/>
  <c r="C210"/>
  <c r="AM210" s="1"/>
  <c r="D210"/>
  <c r="C187"/>
  <c r="AM187" s="1"/>
  <c r="D187"/>
  <c r="C222"/>
  <c r="AM222" s="1"/>
  <c r="D222"/>
  <c r="C243"/>
  <c r="AM243" s="1"/>
  <c r="D243"/>
  <c r="C185"/>
  <c r="AM185" s="1"/>
  <c r="D185"/>
  <c r="C137"/>
  <c r="AM137" s="1"/>
  <c r="D137"/>
  <c r="C128"/>
  <c r="AM128" s="1"/>
  <c r="D128"/>
  <c r="C78"/>
  <c r="AM78" s="1"/>
  <c r="D78"/>
  <c r="C23"/>
  <c r="AM23" s="1"/>
  <c r="D23"/>
  <c r="C101"/>
  <c r="AM101" s="1"/>
  <c r="D101"/>
  <c r="C147"/>
  <c r="AM147" s="1"/>
  <c r="D147"/>
  <c r="C55"/>
  <c r="AM55" s="1"/>
  <c r="D55"/>
  <c r="D62"/>
  <c r="C62"/>
  <c r="AM62" s="1"/>
  <c r="C81"/>
  <c r="AM81" s="1"/>
  <c r="D81"/>
  <c r="D120"/>
  <c r="C120"/>
  <c r="AM120" s="1"/>
  <c r="C75"/>
  <c r="AM75" s="1"/>
  <c r="D75"/>
  <c r="C39"/>
  <c r="AM39" s="1"/>
  <c r="D39"/>
  <c r="C50"/>
  <c r="AM50" s="1"/>
  <c r="D50"/>
  <c r="C141"/>
  <c r="AM141" s="1"/>
  <c r="D141"/>
  <c r="C95"/>
  <c r="AM95" s="1"/>
  <c r="D95"/>
  <c r="C144"/>
  <c r="AM144" s="1"/>
  <c r="D144"/>
  <c r="C24"/>
  <c r="AM24" s="1"/>
  <c r="D24"/>
  <c r="C71"/>
  <c r="AM71" s="1"/>
  <c r="D71"/>
  <c r="C115"/>
  <c r="AM115" s="1"/>
  <c r="D115"/>
  <c r="D102"/>
  <c r="C102"/>
  <c r="AM102" s="1"/>
  <c r="C69"/>
  <c r="AM69" s="1"/>
  <c r="D69"/>
  <c r="C44"/>
  <c r="AM44" s="1"/>
  <c r="D44"/>
  <c r="C246"/>
  <c r="AM246" s="1"/>
  <c r="D246"/>
  <c r="C182"/>
  <c r="AM182" s="1"/>
  <c r="D182"/>
  <c r="D175"/>
  <c r="C175"/>
  <c r="AM175" s="1"/>
  <c r="C211"/>
  <c r="AM211" s="1"/>
  <c r="D211"/>
  <c r="C213"/>
  <c r="AM213" s="1"/>
  <c r="D213"/>
  <c r="C184"/>
  <c r="AM184" s="1"/>
  <c r="D184"/>
  <c r="C200"/>
  <c r="AM200" s="1"/>
  <c r="D200"/>
  <c r="C180"/>
  <c r="AM180" s="1"/>
  <c r="D180"/>
  <c r="C207"/>
  <c r="AM207" s="1"/>
  <c r="D207"/>
  <c r="C230"/>
  <c r="AM230" s="1"/>
  <c r="D230"/>
  <c r="C202"/>
  <c r="AM202" s="1"/>
  <c r="D202"/>
  <c r="C250"/>
  <c r="AM250" s="1"/>
  <c r="D250"/>
  <c r="C194"/>
  <c r="AM194" s="1"/>
  <c r="D194"/>
  <c r="C162"/>
  <c r="AM162" s="1"/>
  <c r="D162"/>
  <c r="C217"/>
  <c r="AM217" s="1"/>
  <c r="D217"/>
  <c r="C154"/>
  <c r="AM154" s="1"/>
  <c r="D154"/>
  <c r="C193"/>
  <c r="AM193" s="1"/>
  <c r="D193"/>
  <c r="C214"/>
  <c r="AM214" s="1"/>
  <c r="D214"/>
  <c r="C232"/>
  <c r="AM232" s="1"/>
  <c r="D232"/>
  <c r="C189"/>
  <c r="AM189" s="1"/>
  <c r="D189"/>
  <c r="C188"/>
  <c r="AM188" s="1"/>
  <c r="D188"/>
  <c r="D38"/>
  <c r="C38"/>
  <c r="AM38" s="1"/>
  <c r="C27"/>
  <c r="AM27" s="1"/>
  <c r="D27"/>
  <c r="C111"/>
  <c r="AM111" s="1"/>
  <c r="D111"/>
  <c r="C145"/>
  <c r="AM145" s="1"/>
  <c r="D145"/>
  <c r="C119"/>
  <c r="AM119" s="1"/>
  <c r="D119"/>
  <c r="C33"/>
  <c r="AM33" s="1"/>
  <c r="D33"/>
  <c r="C30"/>
  <c r="AM30" s="1"/>
  <c r="D30"/>
  <c r="C46"/>
  <c r="AM46" s="1"/>
  <c r="D46"/>
  <c r="C143"/>
  <c r="AM143" s="1"/>
  <c r="D143"/>
  <c r="C142"/>
  <c r="AM142" s="1"/>
  <c r="D142"/>
  <c r="C42"/>
  <c r="AM42" s="1"/>
  <c r="D42"/>
  <c r="C149"/>
  <c r="AM149" s="1"/>
  <c r="D149"/>
  <c r="C139"/>
  <c r="AM139" s="1"/>
  <c r="D139"/>
  <c r="C52"/>
  <c r="AM52" s="1"/>
  <c r="D52"/>
  <c r="C21"/>
  <c r="AM21" s="1"/>
  <c r="D21"/>
  <c r="D43"/>
  <c r="C43"/>
  <c r="AM43" s="1"/>
  <c r="C74"/>
  <c r="AM74" s="1"/>
  <c r="D74"/>
  <c r="C265"/>
  <c r="AM265" s="1"/>
  <c r="D265"/>
  <c r="C165"/>
  <c r="AM165" s="1"/>
  <c r="D165"/>
  <c r="C215"/>
  <c r="AM215" s="1"/>
  <c r="D215"/>
  <c r="C234"/>
  <c r="AM234" s="1"/>
  <c r="D234"/>
  <c r="C235"/>
  <c r="AM235" s="1"/>
  <c r="D235"/>
  <c r="C226"/>
  <c r="AM226" s="1"/>
  <c r="D226"/>
  <c r="C198"/>
  <c r="AM198" s="1"/>
  <c r="D198"/>
  <c r="C240"/>
  <c r="AM240" s="1"/>
  <c r="D240"/>
  <c r="D163"/>
  <c r="C163"/>
  <c r="AM163" s="1"/>
  <c r="C190"/>
  <c r="AM190" s="1"/>
  <c r="D190"/>
  <c r="C239"/>
  <c r="AM239" s="1"/>
  <c r="D239"/>
  <c r="C167"/>
  <c r="AM167" s="1"/>
  <c r="D167"/>
  <c r="C166"/>
  <c r="AM166" s="1"/>
  <c r="D166"/>
  <c r="C263"/>
  <c r="AM263" s="1"/>
  <c r="D263"/>
  <c r="C266"/>
  <c r="AM266" s="1"/>
  <c r="D266"/>
  <c r="C206"/>
  <c r="AM206" s="1"/>
  <c r="D206"/>
  <c r="C216"/>
  <c r="AM216" s="1"/>
  <c r="D216"/>
  <c r="C156"/>
  <c r="AM156" s="1"/>
  <c r="D156"/>
  <c r="D254"/>
  <c r="C254"/>
  <c r="AM254" s="1"/>
  <c r="D80"/>
  <c r="C80"/>
  <c r="AM80" s="1"/>
  <c r="C67"/>
  <c r="AM67" s="1"/>
  <c r="D67"/>
  <c r="C86"/>
  <c r="AM86" s="1"/>
  <c r="D86"/>
  <c r="C135"/>
  <c r="AM135" s="1"/>
  <c r="D135"/>
  <c r="C103"/>
  <c r="AM103" s="1"/>
  <c r="D103"/>
  <c r="C92"/>
  <c r="AM92" s="1"/>
  <c r="D92"/>
  <c r="C20"/>
  <c r="AM20" s="1"/>
  <c r="D20"/>
  <c r="C105"/>
  <c r="AM105" s="1"/>
  <c r="D105"/>
  <c r="C37"/>
  <c r="AM37" s="1"/>
  <c r="D37"/>
  <c r="D28"/>
  <c r="C28"/>
  <c r="AM28" s="1"/>
  <c r="C40"/>
  <c r="AM40" s="1"/>
  <c r="D40"/>
  <c r="C35"/>
  <c r="AM35" s="1"/>
  <c r="D35"/>
  <c r="C65"/>
  <c r="AM65" s="1"/>
  <c r="D65"/>
  <c r="D61"/>
  <c r="C61"/>
  <c r="AM61" s="1"/>
  <c r="D19"/>
  <c r="C19"/>
  <c r="AM19" s="1"/>
  <c r="C133"/>
  <c r="AM133" s="1"/>
  <c r="D133"/>
  <c r="C82"/>
  <c r="AM82" s="1"/>
  <c r="D82"/>
  <c r="C66"/>
  <c r="AM66" s="1"/>
  <c r="D66"/>
  <c r="C12"/>
  <c r="AM12" s="1"/>
  <c r="D12"/>
  <c r="C118"/>
  <c r="AM118" s="1"/>
  <c r="D118"/>
  <c r="C53"/>
  <c r="AM53" s="1"/>
  <c r="D53"/>
  <c r="C88"/>
  <c r="AM88" s="1"/>
  <c r="D88"/>
  <c r="C241"/>
  <c r="AM241" s="1"/>
  <c r="D241"/>
  <c r="C199"/>
  <c r="AM199" s="1"/>
  <c r="D199"/>
  <c r="C164"/>
  <c r="AM164" s="1"/>
  <c r="D164"/>
  <c r="D155"/>
  <c r="C155"/>
  <c r="AM155" s="1"/>
  <c r="D176"/>
  <c r="C176"/>
  <c r="AM176" s="1"/>
  <c r="C191"/>
  <c r="AM191" s="1"/>
  <c r="D191"/>
  <c r="C208"/>
  <c r="AM208" s="1"/>
  <c r="D208"/>
  <c r="C261"/>
  <c r="AM261" s="1"/>
  <c r="D261"/>
  <c r="D258"/>
  <c r="C258"/>
  <c r="AM258" s="1"/>
  <c r="C173"/>
  <c r="AM173" s="1"/>
  <c r="D173"/>
  <c r="C209"/>
  <c r="AM209" s="1"/>
  <c r="D209"/>
  <c r="C249"/>
  <c r="AM249" s="1"/>
  <c r="D249"/>
  <c r="C253"/>
  <c r="AM253" s="1"/>
  <c r="D253"/>
  <c r="C221"/>
  <c r="AM221" s="1"/>
  <c r="D221"/>
  <c r="D247"/>
  <c r="C247"/>
  <c r="AM247" s="1"/>
  <c r="C225"/>
  <c r="AM225" s="1"/>
  <c r="D225"/>
  <c r="D157"/>
  <c r="C157"/>
  <c r="AM157" s="1"/>
  <c r="C196"/>
  <c r="AM196" s="1"/>
  <c r="D196"/>
  <c r="C262"/>
  <c r="AM262" s="1"/>
  <c r="D262"/>
  <c r="D233"/>
  <c r="C233"/>
  <c r="AM233" s="1"/>
  <c r="C98"/>
  <c r="AM98" s="1"/>
  <c r="D98"/>
  <c r="C51"/>
  <c r="AM51" s="1"/>
  <c r="D51"/>
  <c r="C36"/>
  <c r="AM36" s="1"/>
  <c r="D36"/>
  <c r="C48"/>
  <c r="AM48" s="1"/>
  <c r="D48"/>
  <c r="C16"/>
  <c r="AM16" s="1"/>
  <c r="D16"/>
  <c r="D57"/>
  <c r="C57"/>
  <c r="AM57" s="1"/>
  <c r="C96"/>
  <c r="AM96" s="1"/>
  <c r="D96"/>
  <c r="C124"/>
  <c r="AM124" s="1"/>
  <c r="D124"/>
  <c r="C122"/>
  <c r="AM122" s="1"/>
  <c r="D122"/>
  <c r="C26"/>
  <c r="AM26" s="1"/>
  <c r="D26"/>
  <c r="D107"/>
  <c r="C107"/>
  <c r="AM107" s="1"/>
  <c r="C130"/>
  <c r="AM130" s="1"/>
  <c r="D130"/>
  <c r="C94"/>
  <c r="AM94" s="1"/>
  <c r="D94"/>
  <c r="C104"/>
  <c r="AM104" s="1"/>
  <c r="D104"/>
  <c r="C138"/>
  <c r="AM138" s="1"/>
  <c r="D138"/>
  <c r="C129"/>
  <c r="AM129" s="1"/>
  <c r="D129"/>
  <c r="C85"/>
  <c r="AM85" s="1"/>
  <c r="D85"/>
  <c r="K7"/>
  <c r="A230" i="75" l="1"/>
  <c r="L103"/>
  <c r="A99"/>
  <c r="A9"/>
  <c r="L48"/>
  <c r="A8"/>
  <c r="L111"/>
  <c r="AL45" i="47"/>
  <c r="C37" i="75" s="1"/>
  <c r="A159"/>
  <c r="A157"/>
  <c r="L53"/>
  <c r="AL238" i="47"/>
  <c r="C230" i="75" s="1"/>
  <c r="B230" i="48" s="1"/>
  <c r="AL71" i="47"/>
  <c r="C63" i="75" s="1"/>
  <c r="AL260" i="47"/>
  <c r="C252" i="75" s="1"/>
  <c r="B252" i="48" s="1"/>
  <c r="AL163" i="47"/>
  <c r="C155" i="75" s="1"/>
  <c r="B155" i="48" s="1"/>
  <c r="A3" i="75"/>
  <c r="A106"/>
  <c r="L19"/>
  <c r="L3"/>
  <c r="A88"/>
  <c r="AL79" i="47"/>
  <c r="C71" i="75" s="1"/>
  <c r="AL194" i="47"/>
  <c r="C186" i="75" s="1"/>
  <c r="B186" i="48" s="1"/>
  <c r="A85" i="75"/>
  <c r="AL243" i="47"/>
  <c r="C235" i="75" s="1"/>
  <c r="B235" i="48" s="1"/>
  <c r="AL185" i="47"/>
  <c r="C177" i="75" s="1"/>
  <c r="B177" i="48" s="1"/>
  <c r="A33" i="75"/>
  <c r="A175"/>
  <c r="A52"/>
  <c r="A191"/>
  <c r="A204"/>
  <c r="AL33" i="47"/>
  <c r="C25" i="75" s="1"/>
  <c r="A251"/>
  <c r="AL115" i="47"/>
  <c r="C107" i="75" s="1"/>
  <c r="AL199" i="47"/>
  <c r="C191" i="75" s="1"/>
  <c r="B191" i="48" s="1"/>
  <c r="AL95" i="47"/>
  <c r="C87" i="75" s="1"/>
  <c r="L70"/>
  <c r="A73"/>
  <c r="L20"/>
  <c r="A96"/>
  <c r="L65"/>
  <c r="L101"/>
  <c r="A200"/>
  <c r="L104"/>
  <c r="A42"/>
  <c r="AL266" i="47"/>
  <c r="C258" i="75" s="1"/>
  <c r="B258" i="48" s="1"/>
  <c r="AL176" i="47"/>
  <c r="C168" i="75" s="1"/>
  <c r="B168" i="48" s="1"/>
  <c r="A176" i="75"/>
  <c r="L125"/>
  <c r="A90"/>
  <c r="A100"/>
  <c r="AL207" i="47"/>
  <c r="C199" i="75" s="1"/>
  <c r="B199" i="48" s="1"/>
  <c r="AL31" i="47"/>
  <c r="C23" i="75" s="1"/>
  <c r="L128"/>
  <c r="L95"/>
  <c r="A222"/>
  <c r="A82"/>
  <c r="A173"/>
  <c r="A182"/>
  <c r="A202"/>
  <c r="I3" i="112"/>
  <c r="AL87" i="47"/>
  <c r="C79" i="75" s="1"/>
  <c r="A20"/>
  <c r="A225"/>
  <c r="A139"/>
  <c r="A78"/>
  <c r="AL16" i="47"/>
  <c r="C8" i="75" s="1"/>
  <c r="A93"/>
  <c r="A57"/>
  <c r="AL158" i="47"/>
  <c r="C150" i="75" s="1"/>
  <c r="B150" i="48" s="1"/>
  <c r="AL157" i="47"/>
  <c r="C149" i="75" s="1"/>
  <c r="B149" i="48" s="1"/>
  <c r="AL76" i="47"/>
  <c r="C68" i="75" s="1"/>
  <c r="A134"/>
  <c r="A37"/>
  <c r="AL205" i="47"/>
  <c r="C197" i="75" s="1"/>
  <c r="B197" i="48" s="1"/>
  <c r="A161" i="75"/>
  <c r="AL220" i="47"/>
  <c r="C212" i="75" s="1"/>
  <c r="B212" i="48" s="1"/>
  <c r="L71" i="75"/>
  <c r="A60"/>
  <c r="AL258" i="47"/>
  <c r="C250" i="75" s="1"/>
  <c r="B250" i="48" s="1"/>
  <c r="AL188" i="47"/>
  <c r="C180" i="75" s="1"/>
  <c r="B180" i="48" s="1"/>
  <c r="AL210" i="47"/>
  <c r="C202" i="75" s="1"/>
  <c r="B202" i="48" s="1"/>
  <c r="AL244" i="47"/>
  <c r="C236" i="75" s="1"/>
  <c r="B236" i="48" s="1"/>
  <c r="A190" i="75"/>
  <c r="A245"/>
  <c r="A248"/>
  <c r="L126"/>
  <c r="AL166" i="47"/>
  <c r="C158" i="75" s="1"/>
  <c r="B158" i="48" s="1"/>
  <c r="AL178" i="47"/>
  <c r="C170" i="75" s="1"/>
  <c r="B170" i="48" s="1"/>
  <c r="A257" i="75"/>
  <c r="A201"/>
  <c r="L118"/>
  <c r="A80"/>
  <c r="AL140" i="47"/>
  <c r="C132" i="75" s="1"/>
  <c r="B132" i="48" s="1"/>
  <c r="AL126" i="47"/>
  <c r="C118" i="75" s="1"/>
  <c r="A169"/>
  <c r="AL74" i="47"/>
  <c r="C66" i="75" s="1"/>
  <c r="AL212" i="47"/>
  <c r="C204" i="75" s="1"/>
  <c r="B204" i="48" s="1"/>
  <c r="A162" i="75"/>
  <c r="A95"/>
  <c r="AL264" i="47"/>
  <c r="C256" i="75" s="1"/>
  <c r="B256" i="48" s="1"/>
  <c r="AL252" i="47"/>
  <c r="C244" i="75" s="1"/>
  <c r="B244" i="48" s="1"/>
  <c r="AL262" i="47"/>
  <c r="C254" i="75" s="1"/>
  <c r="B254" i="48" s="1"/>
  <c r="A239" i="75"/>
  <c r="L79"/>
  <c r="AL30" i="47"/>
  <c r="C22" i="75" s="1"/>
  <c r="AL54" i="47"/>
  <c r="C46" i="75" s="1"/>
  <c r="AL246" i="47"/>
  <c r="C238" i="75" s="1"/>
  <c r="B238" i="48" s="1"/>
  <c r="AL92" i="47"/>
  <c r="C84" i="75" s="1"/>
  <c r="A44"/>
  <c r="AL147" i="47"/>
  <c r="C139" i="75" s="1"/>
  <c r="B139" i="48" s="1"/>
  <c r="AL91" i="47"/>
  <c r="C83" i="75" s="1"/>
  <c r="AL23" i="47"/>
  <c r="C15" i="75" s="1"/>
  <c r="A214"/>
  <c r="A174"/>
  <c r="AL15" i="47"/>
  <c r="C7" i="75" s="1"/>
  <c r="L123"/>
  <c r="L39"/>
  <c r="A23"/>
  <c r="AL90" i="47"/>
  <c r="C82" i="75" s="1"/>
  <c r="A216"/>
  <c r="AL242" i="47"/>
  <c r="C234" i="75" s="1"/>
  <c r="B234" i="48" s="1"/>
  <c r="A192" i="75"/>
  <c r="L24"/>
  <c r="AL46" i="47"/>
  <c r="C38" i="75" s="1"/>
  <c r="AL135" i="47"/>
  <c r="C127" i="75" s="1"/>
  <c r="AL249" i="47"/>
  <c r="C241" i="75" s="1"/>
  <c r="B241" i="48" s="1"/>
  <c r="AL106" i="47"/>
  <c r="C98" i="75" s="1"/>
  <c r="AL222" i="47"/>
  <c r="C214" i="75" s="1"/>
  <c r="B214" i="48" s="1"/>
  <c r="AL152" i="47"/>
  <c r="C144" i="75" s="1"/>
  <c r="B144" i="48" s="1"/>
  <c r="L100" i="75"/>
  <c r="AL218" i="47"/>
  <c r="C210" i="75" s="1"/>
  <c r="B210" i="48" s="1"/>
  <c r="A212" i="75"/>
  <c r="AL245" i="47"/>
  <c r="C237" i="75" s="1"/>
  <c r="B237" i="48" s="1"/>
  <c r="L86" i="75"/>
  <c r="A187"/>
  <c r="A218"/>
  <c r="L109"/>
  <c r="AL39" i="47"/>
  <c r="C31" i="75" s="1"/>
  <c r="L52"/>
  <c r="L93"/>
  <c r="L55"/>
  <c r="A247"/>
  <c r="A256"/>
  <c r="A255"/>
  <c r="L82"/>
  <c r="L59"/>
  <c r="L28"/>
  <c r="AL69" i="47"/>
  <c r="C61" i="75" s="1"/>
  <c r="AL180" i="47"/>
  <c r="C172" i="75" s="1"/>
  <c r="B172" i="48" s="1"/>
  <c r="AL89" i="47"/>
  <c r="C81" i="75" s="1"/>
  <c r="AL136" i="47"/>
  <c r="C128" i="75" s="1"/>
  <c r="A12"/>
  <c r="A116"/>
  <c r="AL265" i="47"/>
  <c r="C257" i="75" s="1"/>
  <c r="B257" i="48" s="1"/>
  <c r="A246" i="75"/>
  <c r="AL29" i="47"/>
  <c r="C21" i="75" s="1"/>
  <c r="L94"/>
  <c r="AL70" i="47"/>
  <c r="C62" i="75" s="1"/>
  <c r="A198"/>
  <c r="L63"/>
  <c r="L67"/>
  <c r="A64"/>
  <c r="AL148" i="47"/>
  <c r="C140" i="75" s="1"/>
  <c r="B140" i="48" s="1"/>
  <c r="A86" i="75"/>
  <c r="L78"/>
  <c r="A81"/>
  <c r="AL250" i="47"/>
  <c r="C242" i="75" s="1"/>
  <c r="B242" i="48" s="1"/>
  <c r="AL50" i="47"/>
  <c r="C42" i="75" s="1"/>
  <c r="L50"/>
  <c r="A219"/>
  <c r="L130"/>
  <c r="A156"/>
  <c r="A15"/>
  <c r="AL59" i="47"/>
  <c r="C51" i="75" s="1"/>
  <c r="AL187" i="47"/>
  <c r="C179" i="75" s="1"/>
  <c r="B179" i="48" s="1"/>
  <c r="A194" i="75"/>
  <c r="AL56" i="47"/>
  <c r="C48" i="75" s="1"/>
  <c r="A84"/>
  <c r="L77"/>
  <c r="A206"/>
  <c r="AL254" i="47"/>
  <c r="C246" i="75" s="1"/>
  <c r="B246" i="48" s="1"/>
  <c r="A196" i="75"/>
  <c r="L37"/>
  <c r="A189"/>
  <c r="A126"/>
  <c r="AL191" i="47"/>
  <c r="C183" i="75" s="1"/>
  <c r="B183" i="48" s="1"/>
  <c r="AL62" i="47"/>
  <c r="C54" i="75" s="1"/>
  <c r="AL190" i="47"/>
  <c r="C182" i="75" s="1"/>
  <c r="B182" i="48" s="1"/>
  <c r="AL116" i="47"/>
  <c r="C108" i="75" s="1"/>
  <c r="A130"/>
  <c r="A226"/>
  <c r="A233"/>
  <c r="A18"/>
  <c r="L102"/>
  <c r="AL217" i="47"/>
  <c r="C209" i="75" s="1"/>
  <c r="B209" i="48" s="1"/>
  <c r="L14" i="75"/>
  <c r="A89"/>
  <c r="P2"/>
  <c r="AL35" i="47"/>
  <c r="C27" i="75" s="1"/>
  <c r="AL175" i="47"/>
  <c r="C167" i="75" s="1"/>
  <c r="B167" i="48" s="1"/>
  <c r="A48" i="75"/>
  <c r="AL41" i="47"/>
  <c r="C33" i="75" s="1"/>
  <c r="L42"/>
  <c r="A178"/>
  <c r="A63"/>
  <c r="A244"/>
  <c r="A26"/>
  <c r="A249"/>
  <c r="A111"/>
  <c r="AL61" i="47"/>
  <c r="C53" i="75" s="1"/>
  <c r="A28"/>
  <c r="AL216" i="47"/>
  <c r="C208" i="75" s="1"/>
  <c r="B208" i="48" s="1"/>
  <c r="A70" i="75"/>
  <c r="AL231" i="47"/>
  <c r="C223" i="75" s="1"/>
  <c r="B223" i="48" s="1"/>
  <c r="AL165" i="47"/>
  <c r="C157" i="75" s="1"/>
  <c r="B157" i="48" s="1"/>
  <c r="AL37" i="47"/>
  <c r="C29" i="75" s="1"/>
  <c r="L116"/>
  <c r="L32"/>
  <c r="AL145" i="47"/>
  <c r="C137" i="75" s="1"/>
  <c r="B137" i="48" s="1"/>
  <c r="AL19" i="47"/>
  <c r="C11" i="75" s="1"/>
  <c r="A13"/>
  <c r="AL179" i="47"/>
  <c r="C171" i="75" s="1"/>
  <c r="B171" i="48" s="1"/>
  <c r="AL82" i="47"/>
  <c r="C74" i="75" s="1"/>
  <c r="AL110" i="47"/>
  <c r="C102" i="75" s="1"/>
  <c r="L91"/>
  <c r="L30"/>
  <c r="A30"/>
  <c r="A180"/>
  <c r="A240"/>
  <c r="AL94" i="47"/>
  <c r="C86" i="75" s="1"/>
  <c r="AL32" i="47"/>
  <c r="C24" i="75" s="1"/>
  <c r="A207"/>
  <c r="AL160" i="47"/>
  <c r="C152" i="75" s="1"/>
  <c r="B152" i="48" s="1"/>
  <c r="A250" i="75"/>
  <c r="AL96" i="47"/>
  <c r="C88" i="75" s="1"/>
  <c r="AL58" i="47"/>
  <c r="C50" i="75" s="1"/>
  <c r="AL168" i="47"/>
  <c r="C160" i="75" s="1"/>
  <c r="B160" i="48" s="1"/>
  <c r="L97" i="75"/>
  <c r="AL241" i="47"/>
  <c r="C233" i="75" s="1"/>
  <c r="B233" i="48" s="1"/>
  <c r="L60" i="75"/>
  <c r="A11"/>
  <c r="A104"/>
  <c r="AL134" i="47"/>
  <c r="C126" i="75" s="1"/>
  <c r="AL146" i="47"/>
  <c r="C138" i="75" s="1"/>
  <c r="B138" i="48" s="1"/>
  <c r="A92" i="75"/>
  <c r="AL192" i="47"/>
  <c r="C184" i="75" s="1"/>
  <c r="B184" i="48" s="1"/>
  <c r="L108" i="75"/>
  <c r="AL239" i="47"/>
  <c r="C231" i="75" s="1"/>
  <c r="B231" i="48" s="1"/>
  <c r="AL162" i="47"/>
  <c r="C154" i="75" s="1"/>
  <c r="B154" i="48" s="1"/>
  <c r="AL182" i="47"/>
  <c r="C174" i="75" s="1"/>
  <c r="B174" i="48" s="1"/>
  <c r="A229" i="75"/>
  <c r="A153"/>
  <c r="AL121" i="47"/>
  <c r="C113" i="75" s="1"/>
  <c r="AL261" i="47"/>
  <c r="C253" i="75" s="1"/>
  <c r="B253" i="48" s="1"/>
  <c r="AL88" i="47"/>
  <c r="C80" i="75" s="1"/>
  <c r="A228"/>
  <c r="A40"/>
  <c r="A27"/>
  <c r="AL177" i="47"/>
  <c r="C169" i="75" s="1"/>
  <c r="B169" i="48" s="1"/>
  <c r="L54" i="75"/>
  <c r="L119"/>
  <c r="L74"/>
  <c r="A124"/>
  <c r="AL98" i="47"/>
  <c r="C90" i="75" s="1"/>
  <c r="AL26" i="47"/>
  <c r="C18" i="75" s="1"/>
  <c r="A231"/>
  <c r="L85"/>
  <c r="L17"/>
  <c r="A243"/>
  <c r="AL12" i="47"/>
  <c r="C4" i="75" s="1"/>
  <c r="A49"/>
  <c r="AL150" i="47"/>
  <c r="C142" i="75" s="1"/>
  <c r="B142" i="48" s="1"/>
  <c r="L75" i="75"/>
  <c r="AL48" i="47"/>
  <c r="C40" i="75" s="1"/>
  <c r="A234"/>
  <c r="A167"/>
  <c r="AL14" i="47"/>
  <c r="C6" i="75" s="1"/>
  <c r="AL209" i="47"/>
  <c r="C201" i="75" s="1"/>
  <c r="B201" i="48" s="1"/>
  <c r="L7" i="75"/>
  <c r="L99"/>
  <c r="AL51" i="47"/>
  <c r="C43" i="75" s="1"/>
  <c r="AL80" i="47"/>
  <c r="C72" i="75" s="1"/>
  <c r="AL18" i="47"/>
  <c r="C10" i="75" s="1"/>
  <c r="AL93" i="47"/>
  <c r="C85" i="75" s="1"/>
  <c r="AL103" i="47"/>
  <c r="C95" i="75" s="1"/>
  <c r="A149"/>
  <c r="AL38" i="47"/>
  <c r="C30" i="75" s="1"/>
  <c r="AL105" i="47"/>
  <c r="C97" i="75" s="1"/>
  <c r="A148"/>
  <c r="AL72" i="47"/>
  <c r="C64" i="75" s="1"/>
  <c r="A140"/>
  <c r="A53"/>
  <c r="AL174" i="47"/>
  <c r="C166" i="75" s="1"/>
  <c r="B166" i="48" s="1"/>
  <c r="AL253" i="47"/>
  <c r="C245" i="75" s="1"/>
  <c r="B245" i="48" s="1"/>
  <c r="AL214" i="47"/>
  <c r="C206" i="75" s="1"/>
  <c r="B206" i="48" s="1"/>
  <c r="A133" i="75"/>
  <c r="A160"/>
  <c r="A4"/>
  <c r="A71"/>
  <c r="AL232" i="47"/>
  <c r="C224" i="75" s="1"/>
  <c r="B224" i="48" s="1"/>
  <c r="L34" i="75"/>
  <c r="A91"/>
  <c r="AL206" i="47"/>
  <c r="C198" i="75" s="1"/>
  <c r="B198" i="48" s="1"/>
  <c r="A7" i="75"/>
  <c r="A14"/>
  <c r="N6" i="47"/>
  <c r="AL75"/>
  <c r="C67" i="75" s="1"/>
  <c r="AL143" i="47"/>
  <c r="C135" i="75" s="1"/>
  <c r="B135" i="48" s="1"/>
  <c r="AL151" i="47"/>
  <c r="C143" i="75" s="1"/>
  <c r="B143" i="48" s="1"/>
  <c r="A217" i="75"/>
  <c r="A31"/>
  <c r="AL141" i="47"/>
  <c r="C133" i="75" s="1"/>
  <c r="B133" i="48" s="1"/>
  <c r="AL223" i="47"/>
  <c r="C215" i="75" s="1"/>
  <c r="B215" i="48" s="1"/>
  <c r="AL123" i="47"/>
  <c r="C115" i="75" s="1"/>
  <c r="A221"/>
  <c r="L114"/>
  <c r="AL11" i="47"/>
  <c r="C3" i="75" s="1"/>
  <c r="AL52" i="47"/>
  <c r="C44" i="75" s="1"/>
  <c r="L69"/>
  <c r="L23"/>
  <c r="AL198" i="47"/>
  <c r="C190" i="75" s="1"/>
  <c r="B190" i="48" s="1"/>
  <c r="A147" i="75"/>
  <c r="L9"/>
  <c r="L127"/>
  <c r="L76"/>
  <c r="AL130" i="47"/>
  <c r="C122" i="75" s="1"/>
  <c r="A41"/>
  <c r="AL25" i="47"/>
  <c r="C17" i="75" s="1"/>
  <c r="AL128" i="47"/>
  <c r="C120" i="75" s="1"/>
  <c r="AL40" i="47"/>
  <c r="C32" i="75" s="1"/>
  <c r="AL234" i="47"/>
  <c r="C226" i="75" s="1"/>
  <c r="B226" i="48" s="1"/>
  <c r="A197" i="75"/>
  <c r="AL113" i="47"/>
  <c r="C105" i="75" s="1"/>
  <c r="L61"/>
  <c r="A120"/>
  <c r="L98"/>
  <c r="L73"/>
  <c r="L90"/>
  <c r="A112"/>
  <c r="A117"/>
  <c r="L36"/>
  <c r="AL112" i="47"/>
  <c r="C104" i="75" s="1"/>
  <c r="L80"/>
  <c r="AL155" i="47"/>
  <c r="C147" i="75" s="1"/>
  <c r="B147" i="48" s="1"/>
  <c r="A6" i="75"/>
  <c r="AL85" i="47"/>
  <c r="C77" i="75" s="1"/>
  <c r="A108"/>
  <c r="AL34" i="47"/>
  <c r="C26" i="75" s="1"/>
  <c r="A151"/>
  <c r="L56"/>
  <c r="A163"/>
  <c r="A43"/>
  <c r="AL127" i="47"/>
  <c r="C119" i="75" s="1"/>
  <c r="AL153" i="47"/>
  <c r="C145" i="75" s="1"/>
  <c r="B145" i="48" s="1"/>
  <c r="AL227" i="47"/>
  <c r="C219" i="75" s="1"/>
  <c r="B219" i="48" s="1"/>
  <c r="L115" i="75"/>
  <c r="A215"/>
  <c r="AL224" i="47"/>
  <c r="C216" i="75" s="1"/>
  <c r="B216" i="48" s="1"/>
  <c r="A172" i="75"/>
  <c r="A235"/>
  <c r="AL226" i="47"/>
  <c r="C218" i="75" s="1"/>
  <c r="B218" i="48" s="1"/>
  <c r="A193" i="75"/>
  <c r="A29"/>
  <c r="A132"/>
  <c r="AL154" i="47"/>
  <c r="C146" i="75" s="1"/>
  <c r="B146" i="48" s="1"/>
  <c r="A170" i="75"/>
  <c r="L105"/>
  <c r="A67"/>
  <c r="A36"/>
  <c r="L66"/>
  <c r="A47"/>
  <c r="A107"/>
  <c r="AL184" i="47"/>
  <c r="C176" i="75" s="1"/>
  <c r="B176" i="48" s="1"/>
  <c r="AL13" i="47"/>
  <c r="C5" i="75" s="1"/>
  <c r="AL201" i="47"/>
  <c r="C193" i="75" s="1"/>
  <c r="B193" i="48" s="1"/>
  <c r="F3" i="111"/>
  <c r="AL81" i="47"/>
  <c r="C73" i="75" s="1"/>
  <c r="L49"/>
  <c r="AL225" i="47"/>
  <c r="C217" i="75" s="1"/>
  <c r="B217" i="48" s="1"/>
  <c r="L40" i="75"/>
  <c r="AL129" i="47"/>
  <c r="C121" i="75" s="1"/>
  <c r="A38"/>
  <c r="AL125" i="47"/>
  <c r="C117" i="75" s="1"/>
  <c r="AL213" i="47"/>
  <c r="C205" i="75" s="1"/>
  <c r="B205" i="48" s="1"/>
  <c r="AL173" i="47"/>
  <c r="C165" i="75" s="1"/>
  <c r="B165" i="48" s="1"/>
  <c r="A166" i="75"/>
  <c r="L112"/>
  <c r="A155"/>
  <c r="AL197" i="47"/>
  <c r="C189" i="75" s="1"/>
  <c r="B189" i="48" s="1"/>
  <c r="AL137" i="47"/>
  <c r="C129" i="75" s="1"/>
  <c r="A22"/>
  <c r="A237"/>
  <c r="AL156" i="47"/>
  <c r="C148" i="75" s="1"/>
  <c r="B148" i="48" s="1"/>
  <c r="A179" i="75"/>
  <c r="A87"/>
  <c r="L33"/>
  <c r="A205"/>
  <c r="AL186" i="47"/>
  <c r="C178" i="75" s="1"/>
  <c r="B178" i="48" s="1"/>
  <c r="L47" i="75"/>
  <c r="A5"/>
  <c r="L106"/>
  <c r="A118"/>
  <c r="AL97" i="47"/>
  <c r="C89" i="75" s="1"/>
  <c r="AL132" i="47"/>
  <c r="C124" i="75" s="1"/>
  <c r="A77"/>
  <c r="AL55" i="47"/>
  <c r="C47" i="75" s="1"/>
  <c r="A56"/>
  <c r="AL66" i="47"/>
  <c r="C58" i="75" s="1"/>
  <c r="AL77" i="47"/>
  <c r="C69" i="75" s="1"/>
  <c r="L51"/>
  <c r="L57"/>
  <c r="AL170" i="47"/>
  <c r="C162" i="75" s="1"/>
  <c r="B162" i="48" s="1"/>
  <c r="L15" i="75"/>
  <c r="A19"/>
  <c r="A146"/>
  <c r="A183"/>
  <c r="AL64" i="47"/>
  <c r="C56" i="75" s="1"/>
  <c r="A83"/>
  <c r="A123"/>
  <c r="AL228" i="47"/>
  <c r="C220" i="75" s="1"/>
  <c r="B220" i="48" s="1"/>
  <c r="A181" i="75"/>
  <c r="AL208" i="47"/>
  <c r="C200" i="75" s="1"/>
  <c r="B200" i="48" s="1"/>
  <c r="A74" i="75"/>
  <c r="AL256" i="47"/>
  <c r="C248" i="75" s="1"/>
  <c r="B248" i="48" s="1"/>
  <c r="A236" i="75"/>
  <c r="A241"/>
  <c r="AL138" i="47"/>
  <c r="C130" i="75" s="1"/>
  <c r="L5"/>
  <c r="AL67" i="47"/>
  <c r="C59" i="75" s="1"/>
  <c r="L62"/>
  <c r="AL57" i="47"/>
  <c r="C49" i="75" s="1"/>
  <c r="AL78" i="47"/>
  <c r="C70" i="75" s="1"/>
  <c r="L35"/>
  <c r="L68"/>
  <c r="AL101" i="47"/>
  <c r="C93" i="75" s="1"/>
  <c r="AL257" i="47"/>
  <c r="C249" i="75" s="1"/>
  <c r="B249" i="48" s="1"/>
  <c r="A114" i="75"/>
  <c r="AL144" i="47"/>
  <c r="C136" i="75" s="1"/>
  <c r="B136" i="48" s="1"/>
  <c r="A254" i="75"/>
  <c r="L38"/>
  <c r="AL21" i="47"/>
  <c r="C13" i="75" s="1"/>
  <c r="L83"/>
  <c r="A25"/>
  <c r="AL49" i="47"/>
  <c r="C41" i="75" s="1"/>
  <c r="A150"/>
  <c r="A199"/>
  <c r="A110"/>
  <c r="L88"/>
  <c r="A258"/>
  <c r="A127"/>
  <c r="A188"/>
  <c r="A224"/>
  <c r="AL122" i="47"/>
  <c r="C114" i="75" s="1"/>
  <c r="A211"/>
  <c r="AL117" i="47"/>
  <c r="C109" i="75" s="1"/>
  <c r="AL118" i="47"/>
  <c r="C110" i="75" s="1"/>
  <c r="A136"/>
  <c r="AL248" i="47"/>
  <c r="C240" i="75" s="1"/>
  <c r="B240" i="48" s="1"/>
  <c r="L87" i="75"/>
  <c r="A145"/>
  <c r="AL263" i="47"/>
  <c r="C255" i="75" s="1"/>
  <c r="B255" i="48" s="1"/>
  <c r="A213" i="75"/>
  <c r="L11"/>
  <c r="AL251" i="47"/>
  <c r="C243" i="75" s="1"/>
  <c r="B243" i="48" s="1"/>
  <c r="L18" i="75"/>
  <c r="A17"/>
  <c r="AL42" i="47"/>
  <c r="C34" i="75" s="1"/>
  <c r="L27"/>
  <c r="AL193" i="47"/>
  <c r="C185" i="75" s="1"/>
  <c r="B185" i="48" s="1"/>
  <c r="L25" i="75"/>
  <c r="L89"/>
  <c r="AL100" i="47"/>
  <c r="C92" i="75" s="1"/>
  <c r="AL109" i="47"/>
  <c r="C101" i="75" s="1"/>
  <c r="AL164" i="47"/>
  <c r="C156" i="75" s="1"/>
  <c r="B156" i="48" s="1"/>
  <c r="A102" i="75"/>
  <c r="A75"/>
  <c r="AL200" i="47"/>
  <c r="C192" i="75" s="1"/>
  <c r="B192" i="48" s="1"/>
  <c r="A113" i="75"/>
  <c r="L4"/>
  <c r="AL204" i="47"/>
  <c r="C196" i="75" s="1"/>
  <c r="B196" i="48" s="1"/>
  <c r="A141" i="75"/>
  <c r="A65"/>
  <c r="A46"/>
  <c r="AL102" i="47"/>
  <c r="C94" i="75" s="1"/>
  <c r="AL86" i="47"/>
  <c r="C78" i="75" s="1"/>
  <c r="AL73" i="47"/>
  <c r="C65" i="75" s="1"/>
  <c r="A76"/>
  <c r="AL24" i="47"/>
  <c r="C16" i="75" s="1"/>
  <c r="AL27" i="47"/>
  <c r="C19" i="75" s="1"/>
  <c r="AL47" i="47"/>
  <c r="C39" i="75" s="1"/>
  <c r="AL229" i="47"/>
  <c r="C221" i="75" s="1"/>
  <c r="B221" i="48" s="1"/>
  <c r="L96" i="75"/>
  <c r="A171"/>
  <c r="A119"/>
  <c r="A58"/>
  <c r="G2" i="61"/>
  <c r="A66" i="75"/>
  <c r="A195"/>
  <c r="AL221" i="47"/>
  <c r="C213" i="75" s="1"/>
  <c r="B213" i="48" s="1"/>
  <c r="A164" i="75"/>
  <c r="A203"/>
  <c r="AL120" i="47"/>
  <c r="C112" i="75" s="1"/>
  <c r="AL131" i="47"/>
  <c r="C123" i="75" s="1"/>
  <c r="A253"/>
  <c r="L120"/>
  <c r="L10"/>
  <c r="L6"/>
  <c r="AL247" i="47"/>
  <c r="C239" i="75" s="1"/>
  <c r="B239" i="48" s="1"/>
  <c r="L121" i="75"/>
  <c r="L107"/>
  <c r="A115"/>
  <c r="L117"/>
  <c r="A50"/>
  <c r="AL99" i="47"/>
  <c r="C91" i="75" s="1"/>
  <c r="AL149" i="47"/>
  <c r="C141" i="75" s="1"/>
  <c r="B141" i="48" s="1"/>
  <c r="L31" i="75"/>
  <c r="A208"/>
  <c r="AL196" i="47"/>
  <c r="C188" i="75" s="1"/>
  <c r="B188" i="48" s="1"/>
  <c r="AL236" i="47"/>
  <c r="C228" i="75" s="1"/>
  <c r="B228" i="48" s="1"/>
  <c r="A68" i="75"/>
  <c r="AL43" i="47"/>
  <c r="C35" i="75" s="1"/>
  <c r="AL230" i="47"/>
  <c r="C222" i="75" s="1"/>
  <c r="B222" i="48" s="1"/>
  <c r="A79" i="75"/>
  <c r="A122"/>
  <c r="A35"/>
  <c r="A39"/>
  <c r="A223"/>
  <c r="L64"/>
  <c r="AL255" i="47"/>
  <c r="C247" i="75" s="1"/>
  <c r="B247" i="48" s="1"/>
  <c r="A101" i="75"/>
  <c r="A143"/>
  <c r="AL20" i="47"/>
  <c r="C12" i="75" s="1"/>
  <c r="AL36" i="47"/>
  <c r="C28" i="75" s="1"/>
  <c r="A72"/>
  <c r="AL68" i="47"/>
  <c r="C60" i="75" s="1"/>
  <c r="A152"/>
  <c r="L21"/>
  <c r="AL195" i="47"/>
  <c r="C187" i="75" s="1"/>
  <c r="B187" i="48" s="1"/>
  <c r="A177" i="75"/>
  <c r="AL28" i="47"/>
  <c r="C20" i="75" s="1"/>
  <c r="L81"/>
  <c r="L124"/>
  <c r="AL215" i="47"/>
  <c r="C207" i="75" s="1"/>
  <c r="B207" i="48" s="1"/>
  <c r="L72" i="75"/>
  <c r="A137"/>
  <c r="AL104" i="47"/>
  <c r="C96" i="75" s="1"/>
  <c r="A129"/>
  <c r="A144"/>
  <c r="A32"/>
  <c r="AL159" i="47"/>
  <c r="C151" i="75" s="1"/>
  <c r="B151" i="48" s="1"/>
  <c r="A227" i="75"/>
  <c r="A109"/>
  <c r="A55"/>
  <c r="AL181" i="47"/>
  <c r="C173" i="75" s="1"/>
  <c r="B173" i="48" s="1"/>
  <c r="L110" i="75"/>
  <c r="AL139" i="47"/>
  <c r="C131" i="75" s="1"/>
  <c r="B131" i="48" s="1"/>
  <c r="L8" i="75"/>
  <c r="AL142" i="47"/>
  <c r="C134" i="75" s="1"/>
  <c r="B134" i="48" s="1"/>
  <c r="L45" i="75"/>
  <c r="A238"/>
  <c r="AL259" i="47"/>
  <c r="C251" i="75" s="1"/>
  <c r="B251" i="48" s="1"/>
  <c r="A128" i="75"/>
  <c r="AL84" i="47"/>
  <c r="C76" i="75" s="1"/>
  <c r="A61"/>
  <c r="AL203" i="47"/>
  <c r="C195" i="75" s="1"/>
  <c r="B195" i="48" s="1"/>
  <c r="A142" i="75"/>
  <c r="AL172" i="47"/>
  <c r="C164" i="75" s="1"/>
  <c r="B164" i="48" s="1"/>
  <c r="AL171" i="47"/>
  <c r="C163" i="75" s="1"/>
  <c r="B163" i="48" s="1"/>
  <c r="AL108" i="47"/>
  <c r="C100" i="75" s="1"/>
  <c r="A51"/>
  <c r="AL53" i="47"/>
  <c r="C45" i="75" s="1"/>
  <c r="AL167" i="47"/>
  <c r="C159" i="75" s="1"/>
  <c r="B159" i="48" s="1"/>
  <c r="A21" i="75"/>
  <c r="AL107" i="47"/>
  <c r="C99" i="75" s="1"/>
  <c r="AL235" i="47"/>
  <c r="C227" i="75" s="1"/>
  <c r="B227" i="48" s="1"/>
  <c r="AL119" i="47"/>
  <c r="C111" i="75" s="1"/>
  <c r="AL202" i="47"/>
  <c r="C194" i="75" s="1"/>
  <c r="B194" i="48" s="1"/>
  <c r="AL22" i="47"/>
  <c r="C14" i="75" s="1"/>
  <c r="AL17" i="47"/>
  <c r="C9" i="75" s="1"/>
  <c r="L29"/>
  <c r="A168"/>
  <c r="A94"/>
  <c r="L12"/>
  <c r="A24"/>
  <c r="AL124" i="47"/>
  <c r="C116" i="75" s="1"/>
  <c r="A242"/>
  <c r="L13"/>
  <c r="A125"/>
  <c r="A105"/>
  <c r="AL240" i="47"/>
  <c r="C232" i="75" s="1"/>
  <c r="B232" i="48" s="1"/>
  <c r="A138" i="75"/>
  <c r="A10"/>
  <c r="AL133" i="47"/>
  <c r="C125" i="75" s="1"/>
  <c r="L58"/>
  <c r="AL161" i="47"/>
  <c r="C153" i="75" s="1"/>
  <c r="B153" i="48" s="1"/>
  <c r="A103" i="75"/>
  <c r="A121"/>
  <c r="A165"/>
  <c r="L46"/>
  <c r="AL63" i="47"/>
  <c r="C55" i="75" s="1"/>
  <c r="AL169" i="47"/>
  <c r="C161" i="75" s="1"/>
  <c r="B161" i="48" s="1"/>
  <c r="A209" i="75"/>
  <c r="A186"/>
  <c r="L43"/>
  <c r="L22"/>
  <c r="L113"/>
  <c r="A62"/>
  <c r="A34"/>
  <c r="A16"/>
  <c r="AL183" i="47"/>
  <c r="C175" i="75" s="1"/>
  <c r="B175" i="48" s="1"/>
  <c r="A54" i="75"/>
  <c r="A185"/>
  <c r="A220"/>
  <c r="AL189" i="47"/>
  <c r="C181" i="75" s="1"/>
  <c r="B181" i="48" s="1"/>
  <c r="AL83" i="47"/>
  <c r="C75" i="75" s="1"/>
  <c r="L122"/>
  <c r="L41"/>
  <c r="A210"/>
  <c r="AL211" i="47"/>
  <c r="C203" i="75" s="1"/>
  <c r="B203" i="48" s="1"/>
  <c r="A69" i="75"/>
  <c r="AL233" i="47"/>
  <c r="C225" i="75" s="1"/>
  <c r="B225" i="48" s="1"/>
  <c r="A135" i="75"/>
  <c r="AL111" i="47"/>
  <c r="C103" i="75" s="1"/>
  <c r="AL114" i="47"/>
  <c r="C106" i="75" s="1"/>
  <c r="AL65" i="47"/>
  <c r="C57" i="75" s="1"/>
  <c r="A158"/>
  <c r="L84"/>
  <c r="A154"/>
  <c r="A97"/>
  <c r="L92"/>
  <c r="L16"/>
  <c r="A232"/>
  <c r="A59"/>
  <c r="A98"/>
  <c r="AL60" i="47"/>
  <c r="C52" i="75" s="1"/>
  <c r="L129"/>
  <c r="A45"/>
  <c r="A252"/>
  <c r="AL219" i="47"/>
  <c r="C211" i="75" s="1"/>
  <c r="B211" i="48" s="1"/>
  <c r="AL44" i="47"/>
  <c r="C36" i="75" s="1"/>
  <c r="A184"/>
  <c r="L26"/>
  <c r="L44"/>
  <c r="AL237" i="47"/>
  <c r="C229" i="75" s="1"/>
  <c r="B229" i="48" s="1"/>
  <c r="A131" i="75"/>
  <c r="E131" l="1"/>
  <c r="B103" i="48"/>
  <c r="B75"/>
  <c r="D220" i="75"/>
  <c r="B220"/>
  <c r="A220" i="48" s="1"/>
  <c r="C220" s="1"/>
  <c r="E220" i="75"/>
  <c r="E186"/>
  <c r="B186"/>
  <c r="A186" i="48" s="1"/>
  <c r="C186" s="1"/>
  <c r="D186" i="75"/>
  <c r="B125" i="48"/>
  <c r="E138" i="75"/>
  <c r="B116" i="48"/>
  <c r="B168" i="75"/>
  <c r="A168" i="48" s="1"/>
  <c r="C168" s="1"/>
  <c r="D168" i="75"/>
  <c r="E168"/>
  <c r="B9" i="48"/>
  <c r="B45"/>
  <c r="B100"/>
  <c r="B76"/>
  <c r="B227" i="75"/>
  <c r="A227" i="48" s="1"/>
  <c r="C227" s="1"/>
  <c r="E227" i="75"/>
  <c r="D227"/>
  <c r="E137"/>
  <c r="B177"/>
  <c r="A177" i="48" s="1"/>
  <c r="C177" s="1"/>
  <c r="E177" i="75"/>
  <c r="D177"/>
  <c r="B60" i="48"/>
  <c r="B28"/>
  <c r="E143" i="75"/>
  <c r="E223"/>
  <c r="D223"/>
  <c r="B223"/>
  <c r="A223" i="48" s="1"/>
  <c r="C223" s="1"/>
  <c r="B35"/>
  <c r="D208" i="75"/>
  <c r="E208"/>
  <c r="B208"/>
  <c r="A208" i="48" s="1"/>
  <c r="C208" s="1"/>
  <c r="B123"/>
  <c r="D203" i="75"/>
  <c r="E203"/>
  <c r="B203"/>
  <c r="A203" i="48" s="1"/>
  <c r="C203" s="1"/>
  <c r="E171" i="75"/>
  <c r="D171"/>
  <c r="B171"/>
  <c r="A171" i="48" s="1"/>
  <c r="C171" s="1"/>
  <c r="B19"/>
  <c r="B78"/>
  <c r="E141" i="75"/>
  <c r="B101" i="48"/>
  <c r="B34"/>
  <c r="E136" i="75"/>
  <c r="B109" i="48"/>
  <c r="B114"/>
  <c r="B188" i="75"/>
  <c r="A188" i="48" s="1"/>
  <c r="C188" s="1"/>
  <c r="E188" i="75"/>
  <c r="D188"/>
  <c r="E258"/>
  <c r="D258"/>
  <c r="B258"/>
  <c r="A258" i="48" s="1"/>
  <c r="C258" s="1"/>
  <c r="D150" i="75"/>
  <c r="E150"/>
  <c r="B150"/>
  <c r="A150" i="48" s="1"/>
  <c r="C150" s="1"/>
  <c r="B13"/>
  <c r="D254" i="75"/>
  <c r="E254"/>
  <c r="B254"/>
  <c r="A254" i="48" s="1"/>
  <c r="C254" s="1"/>
  <c r="B93"/>
  <c r="B49"/>
  <c r="B59"/>
  <c r="B130"/>
  <c r="B236" i="75"/>
  <c r="A236" i="48" s="1"/>
  <c r="C236" s="1"/>
  <c r="E236" i="75"/>
  <c r="D236"/>
  <c r="E181"/>
  <c r="D181"/>
  <c r="B181"/>
  <c r="A181" i="48" s="1"/>
  <c r="C181" s="1"/>
  <c r="B56"/>
  <c r="E146" i="75"/>
  <c r="B146"/>
  <c r="A146" i="48" s="1"/>
  <c r="C146" s="1"/>
  <c r="D146" i="75"/>
  <c r="B69" i="48"/>
  <c r="B89"/>
  <c r="D205" i="75"/>
  <c r="B205"/>
  <c r="A205" i="48" s="1"/>
  <c r="C205" s="1"/>
  <c r="E205" i="75"/>
  <c r="B117" i="48"/>
  <c r="B121"/>
  <c r="B73"/>
  <c r="E172" i="75"/>
  <c r="B172"/>
  <c r="A172" i="48" s="1"/>
  <c r="C172" s="1"/>
  <c r="D172" i="75"/>
  <c r="D215"/>
  <c r="B215"/>
  <c r="A215" i="48" s="1"/>
  <c r="C215" s="1"/>
  <c r="E215" i="75"/>
  <c r="B119" i="48"/>
  <c r="E163" i="75"/>
  <c r="D163"/>
  <c r="B163"/>
  <c r="A163" i="48" s="1"/>
  <c r="C163" s="1"/>
  <c r="B151" i="75"/>
  <c r="A151" i="48" s="1"/>
  <c r="C151" s="1"/>
  <c r="D151" i="75"/>
  <c r="E151"/>
  <c r="B105" i="48"/>
  <c r="B120"/>
  <c r="B3"/>
  <c r="B221" i="75"/>
  <c r="A221" i="48" s="1"/>
  <c r="C221" s="1"/>
  <c r="D221" i="75"/>
  <c r="E221"/>
  <c r="B67" i="48"/>
  <c r="B160" i="75"/>
  <c r="A160" i="48" s="1"/>
  <c r="C160" s="1"/>
  <c r="D160" i="75"/>
  <c r="E160"/>
  <c r="E140"/>
  <c r="D148"/>
  <c r="E148"/>
  <c r="B148"/>
  <c r="A148" i="48" s="1"/>
  <c r="C148" s="1"/>
  <c r="B30"/>
  <c r="B95"/>
  <c r="B10"/>
  <c r="B43"/>
  <c r="B6"/>
  <c r="E234" i="75"/>
  <c r="B234"/>
  <c r="A234" i="48" s="1"/>
  <c r="C234" s="1"/>
  <c r="D234" i="75"/>
  <c r="E243"/>
  <c r="B243"/>
  <c r="A243" i="48" s="1"/>
  <c r="C243" s="1"/>
  <c r="D243" i="75"/>
  <c r="B18" i="48"/>
  <c r="B80"/>
  <c r="B113"/>
  <c r="D229" i="75"/>
  <c r="E229"/>
  <c r="B229"/>
  <c r="A229" i="48" s="1"/>
  <c r="C229" s="1"/>
  <c r="B126"/>
  <c r="B88"/>
  <c r="B24"/>
  <c r="D240" i="75"/>
  <c r="B240"/>
  <c r="A240" i="48" s="1"/>
  <c r="C240" s="1"/>
  <c r="E240" i="75"/>
  <c r="B74" i="48"/>
  <c r="B27"/>
  <c r="D226" i="75"/>
  <c r="B226"/>
  <c r="A226" i="48" s="1"/>
  <c r="C226" s="1"/>
  <c r="E226" i="75"/>
  <c r="B108" i="48"/>
  <c r="B54"/>
  <c r="B48"/>
  <c r="D198" i="75"/>
  <c r="B198"/>
  <c r="A198" i="48" s="1"/>
  <c r="C198" s="1"/>
  <c r="E198" i="75"/>
  <c r="B246"/>
  <c r="A246" i="48" s="1"/>
  <c r="C246" s="1"/>
  <c r="D246" i="75"/>
  <c r="E246"/>
  <c r="B128" i="48"/>
  <c r="D256" i="75"/>
  <c r="E256"/>
  <c r="B256"/>
  <c r="A256" i="48" s="1"/>
  <c r="C256" s="1"/>
  <c r="B187" i="75"/>
  <c r="A187" i="48" s="1"/>
  <c r="C187" s="1"/>
  <c r="E187" i="75"/>
  <c r="D187"/>
  <c r="B98" i="48"/>
  <c r="B127"/>
  <c r="B82"/>
  <c r="B7"/>
  <c r="B214" i="75"/>
  <c r="A214" i="48" s="1"/>
  <c r="C214" s="1"/>
  <c r="E214" i="75"/>
  <c r="D214"/>
  <c r="B83" i="48"/>
  <c r="B22"/>
  <c r="E239" i="75"/>
  <c r="D239"/>
  <c r="B239"/>
  <c r="A239" i="48" s="1"/>
  <c r="C239" s="1"/>
  <c r="E169" i="75"/>
  <c r="D169"/>
  <c r="B169"/>
  <c r="A169" i="48" s="1"/>
  <c r="C169" s="1"/>
  <c r="D257" i="75"/>
  <c r="E257"/>
  <c r="B257"/>
  <c r="A257" i="48" s="1"/>
  <c r="C257" s="1"/>
  <c r="E248" i="75"/>
  <c r="B248"/>
  <c r="A248" i="48" s="1"/>
  <c r="C248" s="1"/>
  <c r="D248" i="75"/>
  <c r="E190"/>
  <c r="D190"/>
  <c r="B190"/>
  <c r="A190" i="48" s="1"/>
  <c r="C190" s="1"/>
  <c r="D161" i="75"/>
  <c r="E161"/>
  <c r="B161"/>
  <c r="A161" i="48" s="1"/>
  <c r="C161" s="1"/>
  <c r="B68"/>
  <c r="B225" i="75"/>
  <c r="A225" i="48" s="1"/>
  <c r="C225" s="1"/>
  <c r="D225" i="75"/>
  <c r="E225"/>
  <c r="B79" i="48"/>
  <c r="D202" i="75"/>
  <c r="B202"/>
  <c r="A202" i="48" s="1"/>
  <c r="C202" s="1"/>
  <c r="E202" i="75"/>
  <c r="E173"/>
  <c r="B173"/>
  <c r="A173" i="48" s="1"/>
  <c r="C173" s="1"/>
  <c r="D173" i="75"/>
  <c r="E222"/>
  <c r="D222"/>
  <c r="B222"/>
  <c r="A222" i="48" s="1"/>
  <c r="C222" s="1"/>
  <c r="D176" i="75"/>
  <c r="B176"/>
  <c r="A176" i="48" s="1"/>
  <c r="C176" s="1"/>
  <c r="E176" i="75"/>
  <c r="B87" i="48"/>
  <c r="B107"/>
  <c r="B25"/>
  <c r="B191" i="75"/>
  <c r="A191" i="48" s="1"/>
  <c r="C191" s="1"/>
  <c r="E191" i="75"/>
  <c r="D191"/>
  <c r="B175"/>
  <c r="A175" i="48" s="1"/>
  <c r="C175" s="1"/>
  <c r="E175" i="75"/>
  <c r="D175"/>
  <c r="B71" i="48"/>
  <c r="B63"/>
  <c r="D159" i="75"/>
  <c r="E159"/>
  <c r="B159"/>
  <c r="A159" i="48" s="1"/>
  <c r="C159" s="1"/>
  <c r="B230" i="75"/>
  <c r="A230" i="48" s="1"/>
  <c r="C230" s="1"/>
  <c r="D230" i="75"/>
  <c r="E230"/>
  <c r="B184"/>
  <c r="A184" i="48" s="1"/>
  <c r="C184" s="1"/>
  <c r="D184" i="75"/>
  <c r="E184"/>
  <c r="B52" i="48"/>
  <c r="B57"/>
  <c r="B36"/>
  <c r="E252" i="75"/>
  <c r="D252"/>
  <c r="B252"/>
  <c r="A252" i="48" s="1"/>
  <c r="C252" s="1"/>
  <c r="E232" i="75"/>
  <c r="B232"/>
  <c r="A232" i="48" s="1"/>
  <c r="C232" s="1"/>
  <c r="D232" i="75"/>
  <c r="B154"/>
  <c r="A154" i="48" s="1"/>
  <c r="C154" s="1"/>
  <c r="E154" i="75"/>
  <c r="D154"/>
  <c r="B158"/>
  <c r="A158" i="48" s="1"/>
  <c r="C158" s="1"/>
  <c r="E158" i="75"/>
  <c r="D158"/>
  <c r="B106" i="48"/>
  <c r="E135" i="75"/>
  <c r="E210"/>
  <c r="B210"/>
  <c r="A210" i="48" s="1"/>
  <c r="C210" s="1"/>
  <c r="D210" i="75"/>
  <c r="D185"/>
  <c r="E185"/>
  <c r="B185"/>
  <c r="A185" i="48" s="1"/>
  <c r="C185" s="1"/>
  <c r="E209" i="75"/>
  <c r="D209"/>
  <c r="B209"/>
  <c r="A209" i="48" s="1"/>
  <c r="C209" s="1"/>
  <c r="B55"/>
  <c r="B165" i="75"/>
  <c r="A165" i="48" s="1"/>
  <c r="C165" s="1"/>
  <c r="E165" i="75"/>
  <c r="D165"/>
  <c r="D242"/>
  <c r="B242"/>
  <c r="A242" i="48" s="1"/>
  <c r="C242" s="1"/>
  <c r="E242" i="75"/>
  <c r="B14" i="48"/>
  <c r="B111"/>
  <c r="B99"/>
  <c r="E142" i="75"/>
  <c r="B238"/>
  <c r="A238" i="48" s="1"/>
  <c r="C238" s="1"/>
  <c r="D238" i="75"/>
  <c r="E238"/>
  <c r="E144"/>
  <c r="B96" i="48"/>
  <c r="B20"/>
  <c r="B152" i="75"/>
  <c r="A152" i="48" s="1"/>
  <c r="C152" s="1"/>
  <c r="D152" i="75"/>
  <c r="E152"/>
  <c r="B12" i="48"/>
  <c r="B91"/>
  <c r="E253" i="75"/>
  <c r="D253"/>
  <c r="B253"/>
  <c r="A253" i="48" s="1"/>
  <c r="C253" s="1"/>
  <c r="B112"/>
  <c r="B164" i="75"/>
  <c r="A164" i="48" s="1"/>
  <c r="C164" s="1"/>
  <c r="E164" i="75"/>
  <c r="D164"/>
  <c r="D195"/>
  <c r="B195"/>
  <c r="A195" i="48" s="1"/>
  <c r="C195" s="1"/>
  <c r="E195" i="75"/>
  <c r="B39" i="48"/>
  <c r="B16"/>
  <c r="B65"/>
  <c r="B94"/>
  <c r="B92"/>
  <c r="D213" i="75"/>
  <c r="B213"/>
  <c r="A213" i="48" s="1"/>
  <c r="C213" s="1"/>
  <c r="E213" i="75"/>
  <c r="E145"/>
  <c r="B110" i="48"/>
  <c r="B211" i="75"/>
  <c r="A211" i="48" s="1"/>
  <c r="C211" s="1"/>
  <c r="E211" i="75"/>
  <c r="D211"/>
  <c r="B224"/>
  <c r="A224" i="48" s="1"/>
  <c r="C224" s="1"/>
  <c r="E224" i="75"/>
  <c r="D224"/>
  <c r="E199"/>
  <c r="D199"/>
  <c r="B199"/>
  <c r="A199" i="48" s="1"/>
  <c r="C199" s="1"/>
  <c r="B41"/>
  <c r="B70"/>
  <c r="B241" i="75"/>
  <c r="A241" i="48" s="1"/>
  <c r="C241" s="1"/>
  <c r="D241" i="75"/>
  <c r="E241"/>
  <c r="E183"/>
  <c r="B183"/>
  <c r="A183" i="48" s="1"/>
  <c r="C183" s="1"/>
  <c r="D183" i="75"/>
  <c r="B58" i="48"/>
  <c r="B47"/>
  <c r="B124"/>
  <c r="E179" i="75"/>
  <c r="B179"/>
  <c r="A179" i="48" s="1"/>
  <c r="C179" s="1"/>
  <c r="D179" i="75"/>
  <c r="E237"/>
  <c r="D237"/>
  <c r="B237"/>
  <c r="A237" i="48" s="1"/>
  <c r="C237" s="1"/>
  <c r="B129"/>
  <c r="B155" i="75"/>
  <c r="A155" i="48" s="1"/>
  <c r="C155" s="1"/>
  <c r="E155" i="75"/>
  <c r="D155"/>
  <c r="D166"/>
  <c r="E166"/>
  <c r="B166"/>
  <c r="A166" i="48" s="1"/>
  <c r="C166" s="1"/>
  <c r="D8" i="111"/>
  <c r="D5"/>
  <c r="D4"/>
  <c r="D6"/>
  <c r="D7"/>
  <c r="B5" i="48"/>
  <c r="B170" i="75"/>
  <c r="A170" i="48" s="1"/>
  <c r="C170" s="1"/>
  <c r="D170" i="75"/>
  <c r="E170"/>
  <c r="E132"/>
  <c r="E193"/>
  <c r="D193"/>
  <c r="B193"/>
  <c r="A193" i="48" s="1"/>
  <c r="C193" s="1"/>
  <c r="D235" i="75"/>
  <c r="B235"/>
  <c r="A235" i="48" s="1"/>
  <c r="C235" s="1"/>
  <c r="E235" i="75"/>
  <c r="B26" i="48"/>
  <c r="B77"/>
  <c r="B104"/>
  <c r="B197" i="75"/>
  <c r="A197" i="48" s="1"/>
  <c r="C197" s="1"/>
  <c r="E197" i="75"/>
  <c r="D197"/>
  <c r="B32" i="48"/>
  <c r="B17"/>
  <c r="B122"/>
  <c r="D147" i="75"/>
  <c r="E147"/>
  <c r="B147"/>
  <c r="A147" i="48" s="1"/>
  <c r="C147" s="1"/>
  <c r="B44"/>
  <c r="B115"/>
  <c r="B217" i="75"/>
  <c r="A217" i="48" s="1"/>
  <c r="C217" s="1"/>
  <c r="E217" i="75"/>
  <c r="D217"/>
  <c r="O7" i="47"/>
  <c r="S8"/>
  <c r="E133" i="75"/>
  <c r="B64" i="48"/>
  <c r="B97"/>
  <c r="B149" i="75"/>
  <c r="A149" i="48" s="1"/>
  <c r="C149" s="1"/>
  <c r="E149" i="75"/>
  <c r="D149"/>
  <c r="B85" i="48"/>
  <c r="B72"/>
  <c r="B167" i="75"/>
  <c r="A167" i="48" s="1"/>
  <c r="C167" s="1"/>
  <c r="D167" i="75"/>
  <c r="E167"/>
  <c r="B40" i="48"/>
  <c r="B4"/>
  <c r="D231" i="75"/>
  <c r="E231"/>
  <c r="B231"/>
  <c r="A231" i="48" s="1"/>
  <c r="C231" s="1"/>
  <c r="B90"/>
  <c r="D228" i="75"/>
  <c r="E228"/>
  <c r="B228"/>
  <c r="A228" i="48" s="1"/>
  <c r="C228" s="1"/>
  <c r="B153" i="75"/>
  <c r="A153" i="48" s="1"/>
  <c r="C153" s="1"/>
  <c r="E153" i="75"/>
  <c r="D153"/>
  <c r="B50" i="48"/>
  <c r="B250" i="75"/>
  <c r="A250" i="48" s="1"/>
  <c r="C250" s="1"/>
  <c r="D250" i="75"/>
  <c r="E250"/>
  <c r="B207"/>
  <c r="A207" i="48" s="1"/>
  <c r="C207" s="1"/>
  <c r="D207" i="75"/>
  <c r="E207"/>
  <c r="B86" i="48"/>
  <c r="D180" i="75"/>
  <c r="B180"/>
  <c r="A180" i="48" s="1"/>
  <c r="C180" s="1"/>
  <c r="E180" i="75"/>
  <c r="B102" i="48"/>
  <c r="B11"/>
  <c r="B29"/>
  <c r="B53"/>
  <c r="E249" i="75"/>
  <c r="B249"/>
  <c r="A249" i="48" s="1"/>
  <c r="C249" s="1"/>
  <c r="D249" i="75"/>
  <c r="B244"/>
  <c r="A244" i="48" s="1"/>
  <c r="C244" s="1"/>
  <c r="D244" i="75"/>
  <c r="E244"/>
  <c r="D178"/>
  <c r="B178"/>
  <c r="A178" i="48" s="1"/>
  <c r="C178" s="1"/>
  <c r="E178" i="75"/>
  <c r="B33" i="48"/>
  <c r="Q2" i="75"/>
  <c r="R2" s="1"/>
  <c r="Z2"/>
  <c r="AA2" s="1"/>
  <c r="AB2" s="1"/>
  <c r="T2"/>
  <c r="U2" s="1"/>
  <c r="V2" s="1"/>
  <c r="AC2"/>
  <c r="AD2" s="1"/>
  <c r="W2"/>
  <c r="AF2"/>
  <c r="AG2" s="1"/>
  <c r="AH2" s="1"/>
  <c r="E233"/>
  <c r="B233"/>
  <c r="A233" i="48" s="1"/>
  <c r="C233" s="1"/>
  <c r="D233" i="75"/>
  <c r="D189"/>
  <c r="B189"/>
  <c r="A189" i="48" s="1"/>
  <c r="C189" s="1"/>
  <c r="E189" i="75"/>
  <c r="D196"/>
  <c r="E196"/>
  <c r="B196"/>
  <c r="A196" i="48" s="1"/>
  <c r="C196" s="1"/>
  <c r="D206" i="75"/>
  <c r="E206"/>
  <c r="B206"/>
  <c r="A206" i="48" s="1"/>
  <c r="C206" s="1"/>
  <c r="E194" i="75"/>
  <c r="D194"/>
  <c r="B194"/>
  <c r="A194" i="48" s="1"/>
  <c r="C194" s="1"/>
  <c r="B51"/>
  <c r="E156" i="75"/>
  <c r="D156"/>
  <c r="B156"/>
  <c r="A156" i="48" s="1"/>
  <c r="C156" s="1"/>
  <c r="B219" i="75"/>
  <c r="A219" i="48" s="1"/>
  <c r="C219" s="1"/>
  <c r="E219" i="75"/>
  <c r="D219"/>
  <c r="B42" i="48"/>
  <c r="B62"/>
  <c r="B21"/>
  <c r="B81"/>
  <c r="B61"/>
  <c r="B255" i="75"/>
  <c r="A255" i="48" s="1"/>
  <c r="C255" s="1"/>
  <c r="E255" i="75"/>
  <c r="D255"/>
  <c r="B247"/>
  <c r="A247" i="48" s="1"/>
  <c r="C247" s="1"/>
  <c r="E247" i="75"/>
  <c r="D247"/>
  <c r="B31" i="48"/>
  <c r="D218" i="75"/>
  <c r="E218"/>
  <c r="B218"/>
  <c r="A218" i="48" s="1"/>
  <c r="C218" s="1"/>
  <c r="E212" i="75"/>
  <c r="D212"/>
  <c r="B212"/>
  <c r="A212" i="48" s="1"/>
  <c r="C212" s="1"/>
  <c r="B38"/>
  <c r="D192" i="75"/>
  <c r="E192"/>
  <c r="B192"/>
  <c r="A192" i="48" s="1"/>
  <c r="C192" s="1"/>
  <c r="E216" i="75"/>
  <c r="D216"/>
  <c r="B216"/>
  <c r="A216" i="48" s="1"/>
  <c r="C216" s="1"/>
  <c r="B174" i="75"/>
  <c r="A174" i="48" s="1"/>
  <c r="C174" s="1"/>
  <c r="E174" i="75"/>
  <c r="D174"/>
  <c r="B15" i="48"/>
  <c r="B84"/>
  <c r="B46"/>
  <c r="E162" i="75"/>
  <c r="D162"/>
  <c r="B162"/>
  <c r="A162" i="48" s="1"/>
  <c r="C162" s="1"/>
  <c r="B66"/>
  <c r="B118"/>
  <c r="E201" i="75"/>
  <c r="B201"/>
  <c r="A201" i="48" s="1"/>
  <c r="C201" s="1"/>
  <c r="D201" i="75"/>
  <c r="E245"/>
  <c r="B245"/>
  <c r="A245" i="48" s="1"/>
  <c r="C245" s="1"/>
  <c r="D245" i="75"/>
  <c r="E134"/>
  <c r="B8" i="48"/>
  <c r="E139" i="75"/>
  <c r="F206" i="112"/>
  <c r="J210"/>
  <c r="J41"/>
  <c r="J203"/>
  <c r="J227"/>
  <c r="J164"/>
  <c r="F68"/>
  <c r="F123"/>
  <c r="J38"/>
  <c r="F20"/>
  <c r="J245"/>
  <c r="F245"/>
  <c r="J155"/>
  <c r="J200"/>
  <c r="F90"/>
  <c r="F244"/>
  <c r="F106"/>
  <c r="J165"/>
  <c r="J173"/>
  <c r="F186"/>
  <c r="F116"/>
  <c r="F174"/>
  <c r="F165"/>
  <c r="F229"/>
  <c r="J25"/>
  <c r="F168"/>
  <c r="F212"/>
  <c r="J121"/>
  <c r="F54"/>
  <c r="F241"/>
  <c r="F36"/>
  <c r="F25"/>
  <c r="J49"/>
  <c r="J248"/>
  <c r="J7"/>
  <c r="F135"/>
  <c r="F160"/>
  <c r="J220"/>
  <c r="J81"/>
  <c r="F205"/>
  <c r="F52"/>
  <c r="J202"/>
  <c r="F162"/>
  <c r="J60"/>
  <c r="J205"/>
  <c r="F238"/>
  <c r="J97"/>
  <c r="F207"/>
  <c r="J195"/>
  <c r="F221"/>
  <c r="J68"/>
  <c r="F148"/>
  <c r="J5"/>
  <c r="J18"/>
  <c r="F62"/>
  <c r="J253"/>
  <c r="J99"/>
  <c r="J126"/>
  <c r="J72"/>
  <c r="J65"/>
  <c r="F153"/>
  <c r="J228"/>
  <c r="J150"/>
  <c r="F143"/>
  <c r="F237"/>
  <c r="F182"/>
  <c r="J141"/>
  <c r="F51"/>
  <c r="F161"/>
  <c r="J145"/>
  <c r="J217"/>
  <c r="F120"/>
  <c r="J252"/>
  <c r="F32"/>
  <c r="J64"/>
  <c r="F111"/>
  <c r="F141"/>
  <c r="J188"/>
  <c r="J110"/>
  <c r="J128"/>
  <c r="F240"/>
  <c r="F188"/>
  <c r="J182"/>
  <c r="F91"/>
  <c r="F44"/>
  <c r="F130"/>
  <c r="J100"/>
  <c r="F253"/>
  <c r="F119"/>
  <c r="F208"/>
  <c r="F73"/>
  <c r="F176"/>
  <c r="J11"/>
  <c r="J116"/>
  <c r="J73"/>
  <c r="F85"/>
  <c r="F242"/>
  <c r="F189"/>
  <c r="J127"/>
  <c r="F38"/>
  <c r="J213"/>
  <c r="F136"/>
  <c r="J87"/>
  <c r="J204"/>
  <c r="J243"/>
  <c r="J70"/>
  <c r="F28"/>
  <c r="J80"/>
  <c r="J189"/>
  <c r="J135"/>
  <c r="F26"/>
  <c r="F224"/>
  <c r="F139"/>
  <c r="F138"/>
  <c r="F218"/>
  <c r="F114"/>
  <c r="F87"/>
  <c r="J201"/>
  <c r="F102"/>
  <c r="J24"/>
  <c r="J124"/>
  <c r="F31"/>
  <c r="F147"/>
  <c r="F200"/>
  <c r="J207"/>
  <c r="J106"/>
  <c r="F12"/>
  <c r="F84"/>
  <c r="F216"/>
  <c r="J32"/>
  <c r="F53"/>
  <c r="F95"/>
  <c r="F254"/>
  <c r="J242"/>
  <c r="F164"/>
  <c r="F193"/>
  <c r="J22"/>
  <c r="J196"/>
  <c r="F77"/>
  <c r="F110"/>
  <c r="F33"/>
  <c r="J35"/>
  <c r="F70"/>
  <c r="F251"/>
  <c r="J101"/>
  <c r="F211"/>
  <c r="F27"/>
  <c r="J223"/>
  <c r="F94"/>
  <c r="F9"/>
  <c r="J170"/>
  <c r="F57"/>
  <c r="J199"/>
  <c r="F233"/>
  <c r="F255"/>
  <c r="J131"/>
  <c r="J98"/>
  <c r="J111"/>
  <c r="F35"/>
  <c r="J75"/>
  <c r="F56"/>
  <c r="J140"/>
  <c r="F128"/>
  <c r="J194"/>
  <c r="J34"/>
  <c r="F60"/>
  <c r="F134"/>
  <c r="J28"/>
  <c r="F155"/>
  <c r="J144"/>
  <c r="F158"/>
  <c r="F228"/>
  <c r="F184"/>
  <c r="F236"/>
  <c r="J183"/>
  <c r="J46"/>
  <c r="J85"/>
  <c r="F172"/>
  <c r="J79"/>
  <c r="J177"/>
  <c r="F97"/>
  <c r="F190"/>
  <c r="J44"/>
  <c r="J12"/>
  <c r="F45"/>
  <c r="J234"/>
  <c r="J6"/>
  <c r="J236"/>
  <c r="F117"/>
  <c r="J39"/>
  <c r="F67"/>
  <c r="J172"/>
  <c r="J158"/>
  <c r="F145"/>
  <c r="F113"/>
  <c r="F7"/>
  <c r="J254"/>
  <c r="F203"/>
  <c r="J105"/>
  <c r="F250"/>
  <c r="F83"/>
  <c r="J143"/>
  <c r="J247"/>
  <c r="F10"/>
  <c r="J125"/>
  <c r="J54"/>
  <c r="J136"/>
  <c r="F226"/>
  <c r="J63"/>
  <c r="J139"/>
  <c r="J43"/>
  <c r="F58"/>
  <c r="J83"/>
  <c r="J251"/>
  <c r="J27"/>
  <c r="F196"/>
  <c r="J69"/>
  <c r="J96"/>
  <c r="F202"/>
  <c r="J221"/>
  <c r="F5"/>
  <c r="F222"/>
  <c r="F146"/>
  <c r="F79"/>
  <c r="F63"/>
  <c r="J93"/>
  <c r="J108"/>
  <c r="J58"/>
  <c r="J190"/>
  <c r="F183"/>
  <c r="F48"/>
  <c r="J166"/>
  <c r="J59"/>
  <c r="J103"/>
  <c r="J157"/>
  <c r="J163"/>
  <c r="F248"/>
  <c r="F195"/>
  <c r="J171"/>
  <c r="J212"/>
  <c r="F98"/>
  <c r="J112"/>
  <c r="J241"/>
  <c r="F24"/>
  <c r="J90"/>
  <c r="F187"/>
  <c r="F142"/>
  <c r="J114"/>
  <c r="F59"/>
  <c r="J231"/>
  <c r="F137"/>
  <c r="J230"/>
  <c r="F177"/>
  <c r="J82"/>
  <c r="J88"/>
  <c r="F247"/>
  <c r="F179"/>
  <c r="J115"/>
  <c r="J147"/>
  <c r="J117"/>
  <c r="J40"/>
  <c r="J209"/>
  <c r="F46"/>
  <c r="J91"/>
  <c r="F121"/>
  <c r="J192"/>
  <c r="F204"/>
  <c r="J244"/>
  <c r="J142"/>
  <c r="F199"/>
  <c r="F239"/>
  <c r="J232"/>
  <c r="J161"/>
  <c r="J102"/>
  <c r="F194"/>
  <c r="J50"/>
  <c r="J84"/>
  <c r="F144"/>
  <c r="J118"/>
  <c r="F82"/>
  <c r="J167"/>
  <c r="F21"/>
  <c r="J62"/>
  <c r="J185"/>
  <c r="J133"/>
  <c r="J206"/>
  <c r="F41"/>
  <c r="J89"/>
  <c r="F246"/>
  <c r="F132"/>
  <c r="F112"/>
  <c r="F47"/>
  <c r="J55"/>
  <c r="F249"/>
  <c r="J37"/>
  <c r="F175"/>
  <c r="F93"/>
  <c r="J149"/>
  <c r="J132"/>
  <c r="F55"/>
  <c r="J208"/>
  <c r="J176"/>
  <c r="F96"/>
  <c r="F256"/>
  <c r="F80"/>
  <c r="F75"/>
  <c r="F88"/>
  <c r="F131"/>
  <c r="F4"/>
  <c r="J120"/>
  <c r="F22"/>
  <c r="J179"/>
  <c r="J71"/>
  <c r="J256"/>
  <c r="F105"/>
  <c r="J26"/>
  <c r="F126"/>
  <c r="J29"/>
  <c r="F192"/>
  <c r="F166"/>
  <c r="J15"/>
  <c r="J76"/>
  <c r="J47"/>
  <c r="F231"/>
  <c r="J148"/>
  <c r="J184"/>
  <c r="F178"/>
  <c r="F149"/>
  <c r="F49"/>
  <c r="F16"/>
  <c r="F220"/>
  <c r="F118"/>
  <c r="J21"/>
  <c r="F29"/>
  <c r="J225"/>
  <c r="J259"/>
  <c r="F232"/>
  <c r="J151"/>
  <c r="F15"/>
  <c r="F258"/>
  <c r="J240"/>
  <c r="J130"/>
  <c r="J67"/>
  <c r="F235"/>
  <c r="F30"/>
  <c r="F198"/>
  <c r="F50"/>
  <c r="F171"/>
  <c r="F230"/>
  <c r="J9"/>
  <c r="J214"/>
  <c r="F215"/>
  <c r="J42"/>
  <c r="J74"/>
  <c r="F115"/>
  <c r="J229"/>
  <c r="F71"/>
  <c r="J219"/>
  <c r="J56"/>
  <c r="J216"/>
  <c r="F103"/>
  <c r="F23"/>
  <c r="F159"/>
  <c r="J61"/>
  <c r="F109"/>
  <c r="J211"/>
  <c r="F108"/>
  <c r="J159"/>
  <c r="F169"/>
  <c r="F213"/>
  <c r="J52"/>
  <c r="F170"/>
  <c r="F14"/>
  <c r="J178"/>
  <c r="F92"/>
  <c r="J218"/>
  <c r="F167"/>
  <c r="F64"/>
  <c r="J113"/>
  <c r="J235"/>
  <c r="J197"/>
  <c r="F191"/>
  <c r="F66"/>
  <c r="F124"/>
  <c r="J134"/>
  <c r="J146"/>
  <c r="J66"/>
  <c r="F210"/>
  <c r="F214"/>
  <c r="J20"/>
  <c r="J86"/>
  <c r="F197"/>
  <c r="F129"/>
  <c r="J152"/>
  <c r="F8"/>
  <c r="F133"/>
  <c r="J137"/>
  <c r="J215"/>
  <c r="J191"/>
  <c r="J169"/>
  <c r="F156"/>
  <c r="J193"/>
  <c r="F78"/>
  <c r="F18"/>
  <c r="F13"/>
  <c r="J17"/>
  <c r="F37"/>
  <c r="J239"/>
  <c r="F19"/>
  <c r="J122"/>
  <c r="J168"/>
  <c r="F257"/>
  <c r="F76"/>
  <c r="J249"/>
  <c r="J162"/>
  <c r="J92"/>
  <c r="F140"/>
  <c r="J160"/>
  <c r="J154"/>
  <c r="J246"/>
  <c r="J224"/>
  <c r="F101"/>
  <c r="J16"/>
  <c r="F152"/>
  <c r="J14"/>
  <c r="F74"/>
  <c r="F69"/>
  <c r="F43"/>
  <c r="F234"/>
  <c r="J129"/>
  <c r="J175"/>
  <c r="J186"/>
  <c r="J48"/>
  <c r="J156"/>
  <c r="J237"/>
  <c r="J94"/>
  <c r="F107"/>
  <c r="J33"/>
  <c r="J250"/>
  <c r="F223"/>
  <c r="J181"/>
  <c r="J198"/>
  <c r="F243"/>
  <c r="J53"/>
  <c r="J119"/>
  <c r="F86"/>
  <c r="J8"/>
  <c r="F154"/>
  <c r="F127"/>
  <c r="F6"/>
  <c r="J31"/>
  <c r="J187"/>
  <c r="F150"/>
  <c r="J13"/>
  <c r="F34"/>
  <c r="F163"/>
  <c r="J222"/>
  <c r="F100"/>
  <c r="J19"/>
  <c r="J45"/>
  <c r="F17"/>
  <c r="AJ145" i="47" s="1"/>
  <c r="J174" i="112"/>
  <c r="F65"/>
  <c r="J10"/>
  <c r="F217"/>
  <c r="F40"/>
  <c r="J104"/>
  <c r="J57"/>
  <c r="F157"/>
  <c r="J78"/>
  <c r="J226"/>
  <c r="F180"/>
  <c r="F122"/>
  <c r="F89"/>
  <c r="J109"/>
  <c r="J107"/>
  <c r="F185"/>
  <c r="J258"/>
  <c r="F173"/>
  <c r="J77"/>
  <c r="F219"/>
  <c r="J180"/>
  <c r="J123"/>
  <c r="F259"/>
  <c r="J23"/>
  <c r="J257"/>
  <c r="F252"/>
  <c r="J255"/>
  <c r="F61"/>
  <c r="F209"/>
  <c r="F227"/>
  <c r="F181"/>
  <c r="F11"/>
  <c r="J138"/>
  <c r="J233"/>
  <c r="F104"/>
  <c r="F39"/>
  <c r="F225"/>
  <c r="J36"/>
  <c r="J30"/>
  <c r="F99"/>
  <c r="J153"/>
  <c r="J51"/>
  <c r="J238"/>
  <c r="J95"/>
  <c r="J4"/>
  <c r="F125"/>
  <c r="F72"/>
  <c r="F81"/>
  <c r="F151"/>
  <c r="F201"/>
  <c r="F42"/>
  <c r="E182" i="75"/>
  <c r="D182"/>
  <c r="B182"/>
  <c r="A182" i="48" s="1"/>
  <c r="C182" s="1"/>
  <c r="B23"/>
  <c r="E200" i="75"/>
  <c r="B200"/>
  <c r="A200" i="48" s="1"/>
  <c r="C200" s="1"/>
  <c r="D200" i="75"/>
  <c r="E251"/>
  <c r="B251"/>
  <c r="A251" i="48" s="1"/>
  <c r="C251" s="1"/>
  <c r="D251" i="75"/>
  <c r="D204"/>
  <c r="B204"/>
  <c r="A204" i="48" s="1"/>
  <c r="C204" s="1"/>
  <c r="E204" i="75"/>
  <c r="AH208" i="47"/>
  <c r="AH174"/>
  <c r="AH266"/>
  <c r="AH173"/>
  <c r="AH265"/>
  <c r="AH160"/>
  <c r="AH212"/>
  <c r="AH227"/>
  <c r="AH198"/>
  <c r="AH231"/>
  <c r="AH240"/>
  <c r="AH172"/>
  <c r="AH223"/>
  <c r="AH217"/>
  <c r="AH214"/>
  <c r="AH211"/>
  <c r="AH170"/>
  <c r="AH210"/>
  <c r="AH189"/>
  <c r="AH258"/>
  <c r="AH238"/>
  <c r="AH165"/>
  <c r="AH195"/>
  <c r="AH183"/>
  <c r="AH163"/>
  <c r="AH250"/>
  <c r="AH209"/>
  <c r="AH202"/>
  <c r="AH220"/>
  <c r="AH176"/>
  <c r="AH233"/>
  <c r="AH218"/>
  <c r="AH203"/>
  <c r="AH257"/>
  <c r="AH175"/>
  <c r="AH256"/>
  <c r="AH197"/>
  <c r="AH245"/>
  <c r="AH244"/>
  <c r="AH205"/>
  <c r="AH184"/>
  <c r="AH167"/>
  <c r="AH264"/>
  <c r="AH200"/>
  <c r="AH155"/>
  <c r="AH224"/>
  <c r="AH162"/>
  <c r="AH228"/>
  <c r="AH157"/>
  <c r="AH181"/>
  <c r="AH164"/>
  <c r="AH215"/>
  <c r="AH158"/>
  <c r="AH207"/>
  <c r="AH196"/>
  <c r="AH192"/>
  <c r="AH169"/>
  <c r="AH177"/>
  <c r="AH199"/>
  <c r="AH254"/>
  <c r="AH219"/>
  <c r="AH246"/>
  <c r="AH249"/>
  <c r="AH193"/>
  <c r="AH252"/>
  <c r="AH186"/>
  <c r="AH194"/>
  <c r="AH243"/>
  <c r="AH168"/>
  <c r="AH242"/>
  <c r="AH213"/>
  <c r="AH239"/>
  <c r="AH166"/>
  <c r="AH262"/>
  <c r="AH154"/>
  <c r="AH190"/>
  <c r="AH263"/>
  <c r="AH185"/>
  <c r="AH260"/>
  <c r="AH261"/>
  <c r="AH241"/>
  <c r="AH187"/>
  <c r="AH226"/>
  <c r="AH159"/>
  <c r="AH222"/>
  <c r="AH255"/>
  <c r="AH221"/>
  <c r="AH251"/>
  <c r="AH180"/>
  <c r="AH156"/>
  <c r="AH204"/>
  <c r="AH188"/>
  <c r="AH232"/>
  <c r="AH229"/>
  <c r="AH237"/>
  <c r="AH253"/>
  <c r="AH191"/>
  <c r="AH161"/>
  <c r="AH225"/>
  <c r="AH179"/>
  <c r="AH201"/>
  <c r="AH235"/>
  <c r="AH182"/>
  <c r="AH248"/>
  <c r="AH171"/>
  <c r="AH234"/>
  <c r="AH206"/>
  <c r="AH259"/>
  <c r="AH230"/>
  <c r="AH216"/>
  <c r="AH236"/>
  <c r="AH178"/>
  <c r="AH247"/>
  <c r="D157" i="75"/>
  <c r="E157"/>
  <c r="B157"/>
  <c r="A157" i="48" s="1"/>
  <c r="C157" s="1"/>
  <c r="B37"/>
  <c r="AJ178" i="47" l="1"/>
  <c r="AK178"/>
  <c r="AI178"/>
  <c r="AI216"/>
  <c r="AK216"/>
  <c r="AJ216"/>
  <c r="AI259"/>
  <c r="AJ259"/>
  <c r="AK259"/>
  <c r="AJ234"/>
  <c r="AI234"/>
  <c r="AK234"/>
  <c r="AK248"/>
  <c r="AI248"/>
  <c r="AJ248"/>
  <c r="AI235"/>
  <c r="AJ235"/>
  <c r="AK235"/>
  <c r="AK179"/>
  <c r="AJ179"/>
  <c r="AI179"/>
  <c r="AJ161"/>
  <c r="AI161"/>
  <c r="AK161"/>
  <c r="AK253"/>
  <c r="AI253"/>
  <c r="AJ253"/>
  <c r="AJ229"/>
  <c r="AK229"/>
  <c r="AI229"/>
  <c r="AI188"/>
  <c r="AJ188"/>
  <c r="AK188"/>
  <c r="AK156"/>
  <c r="AJ156"/>
  <c r="AI156"/>
  <c r="AK251"/>
  <c r="AJ251"/>
  <c r="AI251"/>
  <c r="AI255"/>
  <c r="AJ255"/>
  <c r="AK255"/>
  <c r="AI159"/>
  <c r="AJ159"/>
  <c r="AK159"/>
  <c r="AI187"/>
  <c r="AK187"/>
  <c r="AJ187"/>
  <c r="AJ261"/>
  <c r="AK261"/>
  <c r="AI261"/>
  <c r="AK185"/>
  <c r="AJ185"/>
  <c r="AI185"/>
  <c r="AI190"/>
  <c r="AJ190"/>
  <c r="AK190"/>
  <c r="AJ262"/>
  <c r="AI262"/>
  <c r="AK262"/>
  <c r="AJ239"/>
  <c r="AI239"/>
  <c r="AK239"/>
  <c r="AK242"/>
  <c r="AI242"/>
  <c r="AJ242"/>
  <c r="AI243"/>
  <c r="AJ243"/>
  <c r="AK243"/>
  <c r="AJ186"/>
  <c r="AK186"/>
  <c r="AI186"/>
  <c r="AK193"/>
  <c r="AJ193"/>
  <c r="AI193"/>
  <c r="AI246"/>
  <c r="AJ246"/>
  <c r="AK246"/>
  <c r="AK254"/>
  <c r="AI254"/>
  <c r="AJ254"/>
  <c r="AJ177"/>
  <c r="AK177"/>
  <c r="AI177"/>
  <c r="AI192"/>
  <c r="AK192"/>
  <c r="AJ192"/>
  <c r="AK207"/>
  <c r="AI207"/>
  <c r="AJ207"/>
  <c r="AJ215"/>
  <c r="AI215"/>
  <c r="AK215"/>
  <c r="AJ181"/>
  <c r="AI181"/>
  <c r="AK181"/>
  <c r="AK228"/>
  <c r="AJ228"/>
  <c r="AI228"/>
  <c r="AI224"/>
  <c r="AK224"/>
  <c r="AJ224"/>
  <c r="AI200"/>
  <c r="AK200"/>
  <c r="AJ200"/>
  <c r="AJ167"/>
  <c r="AI167"/>
  <c r="AK167"/>
  <c r="AK205"/>
  <c r="AJ205"/>
  <c r="AI205"/>
  <c r="AI245"/>
  <c r="AK245"/>
  <c r="AJ245"/>
  <c r="AK256"/>
  <c r="AI256"/>
  <c r="AJ256"/>
  <c r="AI257"/>
  <c r="AJ257"/>
  <c r="AK257"/>
  <c r="AK218"/>
  <c r="AJ218"/>
  <c r="AI218"/>
  <c r="AI176"/>
  <c r="AJ176"/>
  <c r="AK176"/>
  <c r="AJ202"/>
  <c r="AK202"/>
  <c r="AI202"/>
  <c r="AK250"/>
  <c r="AJ250"/>
  <c r="AI250"/>
  <c r="AJ183"/>
  <c r="AK183"/>
  <c r="AI183"/>
  <c r="AJ165"/>
  <c r="AI165"/>
  <c r="AK165"/>
  <c r="AJ258"/>
  <c r="AI258"/>
  <c r="AK258"/>
  <c r="AJ210"/>
  <c r="AI210"/>
  <c r="AK210"/>
  <c r="AJ211"/>
  <c r="AK211"/>
  <c r="AI211"/>
  <c r="AI217"/>
  <c r="AJ217"/>
  <c r="AK217"/>
  <c r="AJ172"/>
  <c r="AI172"/>
  <c r="AK172"/>
  <c r="AI231"/>
  <c r="AK231"/>
  <c r="AJ231"/>
  <c r="AJ227"/>
  <c r="AK227"/>
  <c r="AI227"/>
  <c r="AK160"/>
  <c r="AJ160"/>
  <c r="AI160"/>
  <c r="AI173"/>
  <c r="AJ173"/>
  <c r="AK173"/>
  <c r="AK174"/>
  <c r="AI174"/>
  <c r="AJ174"/>
  <c r="H261" i="61"/>
  <c r="AJ75" i="47"/>
  <c r="H41" i="61"/>
  <c r="AJ20" i="47"/>
  <c r="AJ15"/>
  <c r="H21" i="61"/>
  <c r="AJ17" i="47"/>
  <c r="H29" i="61"/>
  <c r="AJ72" i="47"/>
  <c r="H249" i="61"/>
  <c r="H417"/>
  <c r="AJ114" i="47"/>
  <c r="AJ13"/>
  <c r="H13" i="61"/>
  <c r="AJ151" i="47"/>
  <c r="AJ152"/>
  <c r="AJ142"/>
  <c r="AJ148"/>
  <c r="AJ140"/>
  <c r="AJ146"/>
  <c r="AJ76"/>
  <c r="H265" i="61"/>
  <c r="AJ93" i="47"/>
  <c r="AJ105"/>
  <c r="H381" i="61"/>
  <c r="AJ23" i="47"/>
  <c r="AJ115"/>
  <c r="H89" i="61"/>
  <c r="H401"/>
  <c r="AJ27" i="47"/>
  <c r="H69" i="61"/>
  <c r="H269"/>
  <c r="AJ32" i="47"/>
  <c r="H329" i="61"/>
  <c r="AJ77" i="47"/>
  <c r="AJ102"/>
  <c r="H333" i="61"/>
  <c r="H369"/>
  <c r="AJ110" i="47"/>
  <c r="H53" i="61"/>
  <c r="H421"/>
  <c r="AJ92" i="47"/>
  <c r="AJ40"/>
  <c r="AJ41"/>
  <c r="AJ24"/>
  <c r="AJ61"/>
  <c r="H149" i="61"/>
  <c r="H125"/>
  <c r="H205"/>
  <c r="H389"/>
  <c r="H121"/>
  <c r="AJ60" i="47"/>
  <c r="AJ11"/>
  <c r="H385" i="61"/>
  <c r="H201"/>
  <c r="H193"/>
  <c r="AJ106" i="47"/>
  <c r="H33" i="61"/>
  <c r="AJ141" i="47"/>
  <c r="AJ16"/>
  <c r="AJ47"/>
  <c r="H281" i="61"/>
  <c r="AJ80" i="47"/>
  <c r="H5" i="61"/>
  <c r="AJ107" i="47"/>
  <c r="H57" i="61"/>
  <c r="AJ86" i="47"/>
  <c r="AJ120"/>
  <c r="H305" i="61"/>
  <c r="H441"/>
  <c r="AJ58" i="47"/>
  <c r="H25" i="61"/>
  <c r="AJ18" i="47"/>
  <c r="H77" i="61"/>
  <c r="AJ29" i="47"/>
  <c r="D3" i="111"/>
  <c r="AK247" i="47"/>
  <c r="AJ247"/>
  <c r="AI247"/>
  <c r="AJ236"/>
  <c r="AK236"/>
  <c r="AI236"/>
  <c r="AK230"/>
  <c r="AJ230"/>
  <c r="AI230"/>
  <c r="AK206"/>
  <c r="AI206"/>
  <c r="AJ206"/>
  <c r="AK171"/>
  <c r="AI171"/>
  <c r="AJ171"/>
  <c r="AJ182"/>
  <c r="AI182"/>
  <c r="AK182"/>
  <c r="AJ201"/>
  <c r="AK201"/>
  <c r="AI201"/>
  <c r="AJ225"/>
  <c r="AI225"/>
  <c r="AK225"/>
  <c r="AJ191"/>
  <c r="AI191"/>
  <c r="AK191"/>
  <c r="AK237"/>
  <c r="AI237"/>
  <c r="AJ237"/>
  <c r="AJ232"/>
  <c r="AK232"/>
  <c r="AI232"/>
  <c r="AJ204"/>
  <c r="AI204"/>
  <c r="AK204"/>
  <c r="AK180"/>
  <c r="AJ180"/>
  <c r="AI180"/>
  <c r="AJ221"/>
  <c r="AI221"/>
  <c r="AK221"/>
  <c r="AK222"/>
  <c r="AI222"/>
  <c r="AJ222"/>
  <c r="AK226"/>
  <c r="AJ226"/>
  <c r="AI226"/>
  <c r="AJ241"/>
  <c r="AK241"/>
  <c r="AI241"/>
  <c r="AI260"/>
  <c r="AK260"/>
  <c r="AJ260"/>
  <c r="AJ263"/>
  <c r="AK263"/>
  <c r="AI263"/>
  <c r="AJ154"/>
  <c r="AK154"/>
  <c r="AI154"/>
  <c r="AI166"/>
  <c r="AJ166"/>
  <c r="AK166"/>
  <c r="AJ213"/>
  <c r="AK213"/>
  <c r="AI213"/>
  <c r="AK168"/>
  <c r="AJ168"/>
  <c r="AI168"/>
  <c r="AK194"/>
  <c r="AI194"/>
  <c r="AJ194"/>
  <c r="AI252"/>
  <c r="AJ252"/>
  <c r="AK252"/>
  <c r="AJ249"/>
  <c r="AI249"/>
  <c r="AK249"/>
  <c r="AI219"/>
  <c r="AJ219"/>
  <c r="AK219"/>
  <c r="AJ199"/>
  <c r="AK199"/>
  <c r="AI199"/>
  <c r="AJ169"/>
  <c r="AK169"/>
  <c r="AI169"/>
  <c r="AI196"/>
  <c r="AJ196"/>
  <c r="AK196"/>
  <c r="AJ158"/>
  <c r="AI158"/>
  <c r="AK158"/>
  <c r="AI164"/>
  <c r="AJ164"/>
  <c r="AK164"/>
  <c r="AJ157"/>
  <c r="AI157"/>
  <c r="AK157"/>
  <c r="AK162"/>
  <c r="AI162"/>
  <c r="AJ162"/>
  <c r="AK155"/>
  <c r="AI155"/>
  <c r="AJ155"/>
  <c r="AI264"/>
  <c r="AJ264"/>
  <c r="AK264"/>
  <c r="AJ184"/>
  <c r="AI184"/>
  <c r="AK184"/>
  <c r="AK244"/>
  <c r="AI244"/>
  <c r="AJ244"/>
  <c r="AJ197"/>
  <c r="AK197"/>
  <c r="AI197"/>
  <c r="AI175"/>
  <c r="AJ175"/>
  <c r="AK175"/>
  <c r="AK203"/>
  <c r="AJ203"/>
  <c r="AI203"/>
  <c r="AK233"/>
  <c r="AJ233"/>
  <c r="AI233"/>
  <c r="AI220"/>
  <c r="AJ220"/>
  <c r="AK220"/>
  <c r="AJ209"/>
  <c r="AI209"/>
  <c r="AK209"/>
  <c r="AJ163"/>
  <c r="AK163"/>
  <c r="AI163"/>
  <c r="AI195"/>
  <c r="AK195"/>
  <c r="AJ195"/>
  <c r="AJ238"/>
  <c r="AK238"/>
  <c r="AI238"/>
  <c r="AI189"/>
  <c r="AK189"/>
  <c r="AJ189"/>
  <c r="AI170"/>
  <c r="AJ170"/>
  <c r="AK170"/>
  <c r="AI214"/>
  <c r="AK214"/>
  <c r="AJ214"/>
  <c r="AJ223"/>
  <c r="AI223"/>
  <c r="AK223"/>
  <c r="AI240"/>
  <c r="AJ240"/>
  <c r="AK240"/>
  <c r="AK198"/>
  <c r="AJ198"/>
  <c r="AI198"/>
  <c r="AK212"/>
  <c r="AJ212"/>
  <c r="AI212"/>
  <c r="AI265"/>
  <c r="AJ265"/>
  <c r="AK265"/>
  <c r="AI266"/>
  <c r="AJ266"/>
  <c r="AK266"/>
  <c r="AJ208"/>
  <c r="AK208"/>
  <c r="AI208"/>
  <c r="AJ66"/>
  <c r="H145" i="61"/>
  <c r="H289"/>
  <c r="AJ28" i="47"/>
  <c r="H157" i="61"/>
  <c r="H341"/>
  <c r="H437"/>
  <c r="AJ95" i="47"/>
  <c r="AJ99"/>
  <c r="AJ36"/>
  <c r="AJ112"/>
  <c r="AJ49"/>
  <c r="AJ108"/>
  <c r="AJ137"/>
  <c r="AJ82"/>
  <c r="H409" i="61"/>
  <c r="AJ45" i="47"/>
  <c r="H105" i="61"/>
  <c r="H393"/>
  <c r="AJ46" i="47"/>
  <c r="H505" i="61"/>
  <c r="H85"/>
  <c r="AJ149" i="47"/>
  <c r="H357" i="61"/>
  <c r="AJ128" i="47"/>
  <c r="H73" i="61"/>
  <c r="H141"/>
  <c r="AJ97" i="47"/>
  <c r="H101" i="61"/>
  <c r="H317"/>
  <c r="H509"/>
  <c r="H373"/>
  <c r="H457"/>
  <c r="AJ31" i="47"/>
  <c r="AJ89"/>
  <c r="H473" i="61"/>
  <c r="H349"/>
  <c r="AJ136" i="47"/>
  <c r="H225" i="61"/>
  <c r="AJ124" i="47"/>
  <c r="AJ35"/>
  <c r="AJ103"/>
  <c r="AJ119"/>
  <c r="AJ12"/>
  <c r="H9" i="61"/>
  <c r="AJ14" i="47"/>
  <c r="H17" i="61"/>
  <c r="H109"/>
  <c r="AJ37" i="47"/>
  <c r="AJ153"/>
  <c r="AJ85"/>
  <c r="AJ87"/>
  <c r="AJ26"/>
  <c r="H209" i="61"/>
  <c r="H137"/>
  <c r="H361"/>
  <c r="AJ78" i="47"/>
  <c r="H293" i="61"/>
  <c r="AJ79" i="47"/>
  <c r="H301" i="61"/>
  <c r="H325"/>
  <c r="H169"/>
  <c r="AJ113" i="47"/>
  <c r="AJ21"/>
  <c r="H469" i="61"/>
  <c r="AJ116" i="47"/>
  <c r="AJ84"/>
  <c r="H377" i="61"/>
  <c r="AJ65" i="47"/>
  <c r="AJ150"/>
  <c r="AJ83"/>
  <c r="AJ69"/>
  <c r="AJ88"/>
  <c r="H221" i="61"/>
  <c r="H497"/>
  <c r="AJ147" i="47"/>
  <c r="AJ73"/>
  <c r="AJ144"/>
  <c r="AJ121"/>
  <c r="H253" i="61"/>
  <c r="H429"/>
  <c r="H313"/>
  <c r="AJ101" i="47"/>
  <c r="H65" i="61"/>
  <c r="AJ143" i="47"/>
  <c r="H365" i="61"/>
  <c r="AJ123" i="47"/>
  <c r="H245" i="61"/>
  <c r="H277"/>
  <c r="AJ139" i="47"/>
  <c r="AJ134"/>
  <c r="AJ111"/>
  <c r="AJ74"/>
  <c r="H185" i="61"/>
  <c r="H445"/>
  <c r="AJ94" i="47"/>
  <c r="H321" i="61"/>
  <c r="AJ118" i="47"/>
  <c r="AJ133"/>
  <c r="H345" i="61"/>
  <c r="H45"/>
  <c r="AJ127" i="47"/>
  <c r="AJ91"/>
  <c r="H413" i="61"/>
  <c r="AJ62" i="47"/>
  <c r="AJ98"/>
  <c r="AJ90"/>
  <c r="H297" i="61"/>
  <c r="H337"/>
  <c r="AJ125" i="47"/>
  <c r="AJ100"/>
  <c r="AJ71"/>
  <c r="AJ56"/>
  <c r="H405" i="61"/>
  <c r="H461"/>
  <c r="AJ44" i="47"/>
  <c r="H433" i="61"/>
  <c r="AJ96" i="47"/>
  <c r="AJ104"/>
  <c r="H273" i="61"/>
  <c r="H453"/>
  <c r="AJ117" i="47"/>
  <c r="AJ52"/>
  <c r="H425" i="61"/>
  <c r="H237"/>
  <c r="H353"/>
  <c r="H257"/>
  <c r="H493"/>
  <c r="H309"/>
  <c r="H181"/>
  <c r="AJ55" i="47"/>
  <c r="AJ43"/>
  <c r="H133" i="61"/>
  <c r="H37"/>
  <c r="AJ19" i="47"/>
  <c r="F39"/>
  <c r="F237"/>
  <c r="F187"/>
  <c r="F219"/>
  <c r="F158"/>
  <c r="F81"/>
  <c r="F205"/>
  <c r="F113"/>
  <c r="F36"/>
  <c r="F226"/>
  <c r="F24"/>
  <c r="F125"/>
  <c r="F89"/>
  <c r="F200"/>
  <c r="F259"/>
  <c r="F156"/>
  <c r="F22"/>
  <c r="F225"/>
  <c r="F215"/>
  <c r="F151"/>
  <c r="F97"/>
  <c r="F17"/>
  <c r="F106"/>
  <c r="F70"/>
  <c r="F248"/>
  <c r="F204"/>
  <c r="F90"/>
  <c r="F231"/>
  <c r="F175"/>
  <c r="F181"/>
  <c r="F74"/>
  <c r="F83"/>
  <c r="F157"/>
  <c r="F119"/>
  <c r="F82"/>
  <c r="F234"/>
  <c r="F12"/>
  <c r="F32"/>
  <c r="F240"/>
  <c r="F136"/>
  <c r="F249"/>
  <c r="F29"/>
  <c r="F169"/>
  <c r="F253"/>
  <c r="F265"/>
  <c r="F26"/>
  <c r="F43"/>
  <c r="F246"/>
  <c r="F256"/>
  <c r="F202"/>
  <c r="F197"/>
  <c r="F110"/>
  <c r="F19"/>
  <c r="F252"/>
  <c r="F186"/>
  <c r="F34"/>
  <c r="F239"/>
  <c r="F165"/>
  <c r="F42"/>
  <c r="F96"/>
  <c r="F166"/>
  <c r="F37"/>
  <c r="F148"/>
  <c r="F68"/>
  <c r="F238"/>
  <c r="F194"/>
  <c r="F251"/>
  <c r="F18"/>
  <c r="F114"/>
  <c r="F16"/>
  <c r="F78"/>
  <c r="F209"/>
  <c r="F160"/>
  <c r="F120"/>
  <c r="F103"/>
  <c r="F150"/>
  <c r="F20"/>
  <c r="F199"/>
  <c r="F77"/>
  <c r="F64"/>
  <c r="F85"/>
  <c r="F67"/>
  <c r="F65"/>
  <c r="F122"/>
  <c r="F196"/>
  <c r="F11"/>
  <c r="F117"/>
  <c r="F146"/>
  <c r="F118"/>
  <c r="F201"/>
  <c r="F23"/>
  <c r="F109"/>
  <c r="F66"/>
  <c r="F222"/>
  <c r="F129"/>
  <c r="F55"/>
  <c r="F254"/>
  <c r="F250"/>
  <c r="F244"/>
  <c r="F171"/>
  <c r="F178"/>
  <c r="F132"/>
  <c r="F159"/>
  <c r="F208"/>
  <c r="F183"/>
  <c r="F94"/>
  <c r="F167"/>
  <c r="F211"/>
  <c r="F13"/>
  <c r="F154"/>
  <c r="F101"/>
  <c r="F124"/>
  <c r="S7"/>
  <c r="S6" s="1"/>
  <c r="F27"/>
  <c r="F140"/>
  <c r="F50"/>
  <c r="F182"/>
  <c r="F180"/>
  <c r="F111"/>
  <c r="F212"/>
  <c r="F53"/>
  <c r="F262"/>
  <c r="F14"/>
  <c r="F174"/>
  <c r="F95"/>
  <c r="F58"/>
  <c r="F214"/>
  <c r="F61"/>
  <c r="F217"/>
  <c r="F163"/>
  <c r="F116"/>
  <c r="F184"/>
  <c r="F223"/>
  <c r="F60"/>
  <c r="F247"/>
  <c r="F232"/>
  <c r="F176"/>
  <c r="F38"/>
  <c r="F255"/>
  <c r="F145"/>
  <c r="F44"/>
  <c r="F241"/>
  <c r="F121"/>
  <c r="F76"/>
  <c r="F92"/>
  <c r="F126"/>
  <c r="F131"/>
  <c r="F141"/>
  <c r="F236"/>
  <c r="F224"/>
  <c r="F33"/>
  <c r="F242"/>
  <c r="F15"/>
  <c r="F193"/>
  <c r="F216"/>
  <c r="F30"/>
  <c r="F203"/>
  <c r="F137"/>
  <c r="F41"/>
  <c r="F206"/>
  <c r="F47"/>
  <c r="F173"/>
  <c r="F104"/>
  <c r="F93"/>
  <c r="F100"/>
  <c r="F152"/>
  <c r="F80"/>
  <c r="F168"/>
  <c r="F35"/>
  <c r="F72"/>
  <c r="F162"/>
  <c r="F266"/>
  <c r="F245"/>
  <c r="F73"/>
  <c r="F149"/>
  <c r="F91"/>
  <c r="F49"/>
  <c r="F260"/>
  <c r="F221"/>
  <c r="F243"/>
  <c r="F99"/>
  <c r="F79"/>
  <c r="F189"/>
  <c r="F56"/>
  <c r="F135"/>
  <c r="F69"/>
  <c r="F161"/>
  <c r="F143"/>
  <c r="F54"/>
  <c r="F139"/>
  <c r="F213"/>
  <c r="F257"/>
  <c r="F188"/>
  <c r="F191"/>
  <c r="F115"/>
  <c r="F62"/>
  <c r="F130"/>
  <c r="F71"/>
  <c r="F107"/>
  <c r="F21"/>
  <c r="F177"/>
  <c r="F261"/>
  <c r="E2" i="115"/>
  <c r="F179" i="47"/>
  <c r="F263"/>
  <c r="F46"/>
  <c r="F164"/>
  <c r="F57"/>
  <c r="F25"/>
  <c r="F233"/>
  <c r="F147"/>
  <c r="F40"/>
  <c r="F235"/>
  <c r="F102"/>
  <c r="F59"/>
  <c r="F142"/>
  <c r="F128"/>
  <c r="F220"/>
  <c r="F230"/>
  <c r="F155"/>
  <c r="F138"/>
  <c r="F170"/>
  <c r="F185"/>
  <c r="F258"/>
  <c r="F51"/>
  <c r="F218"/>
  <c r="F190"/>
  <c r="F112"/>
  <c r="F228"/>
  <c r="M2" i="75"/>
  <c r="F108" i="47"/>
  <c r="F88"/>
  <c r="F28"/>
  <c r="F264"/>
  <c r="F207"/>
  <c r="F192"/>
  <c r="F227"/>
  <c r="F31"/>
  <c r="F153"/>
  <c r="F75"/>
  <c r="F123"/>
  <c r="F48"/>
  <c r="F45"/>
  <c r="F172"/>
  <c r="F195"/>
  <c r="F198"/>
  <c r="F144"/>
  <c r="F127"/>
  <c r="F133"/>
  <c r="F86"/>
  <c r="F105"/>
  <c r="F52"/>
  <c r="F98"/>
  <c r="F210"/>
  <c r="F229"/>
  <c r="F87"/>
  <c r="F63"/>
  <c r="F84"/>
  <c r="F134"/>
  <c r="X2" i="75"/>
  <c r="Y2" s="1"/>
  <c r="S2"/>
  <c r="O2" s="1"/>
  <c r="N2" s="1"/>
  <c r="AE2"/>
  <c r="B131" l="1"/>
  <c r="A131" i="48" s="1"/>
  <c r="C131" s="1"/>
  <c r="D45" i="75"/>
  <c r="B97"/>
  <c r="A97" i="48" s="1"/>
  <c r="C97" s="1"/>
  <c r="B54" i="75"/>
  <c r="A54" i="48" s="1"/>
  <c r="C54" s="1"/>
  <c r="B16" i="75"/>
  <c r="A16" i="48" s="1"/>
  <c r="C16" s="1"/>
  <c r="B62" i="75"/>
  <c r="A62" i="48" s="1"/>
  <c r="C62" s="1"/>
  <c r="B121" i="75"/>
  <c r="A121" i="48" s="1"/>
  <c r="C121" s="1"/>
  <c r="B138" i="75"/>
  <c r="A138" i="48" s="1"/>
  <c r="C138" s="1"/>
  <c r="D129" i="75"/>
  <c r="B137"/>
  <c r="A137" i="48" s="1"/>
  <c r="C137" s="1"/>
  <c r="B143" i="75"/>
  <c r="A143" i="48" s="1"/>
  <c r="C143" s="1"/>
  <c r="B35" i="75"/>
  <c r="A35" i="48" s="1"/>
  <c r="C35" s="1"/>
  <c r="D79" i="75"/>
  <c r="D50"/>
  <c r="D115"/>
  <c r="B115"/>
  <c r="A115" i="48" s="1"/>
  <c r="C115" s="1"/>
  <c r="B58" i="75"/>
  <c r="A58" i="48" s="1"/>
  <c r="C58" s="1"/>
  <c r="D76" i="75"/>
  <c r="B46"/>
  <c r="A46" i="48" s="1"/>
  <c r="C46" s="1"/>
  <c r="B141" i="75"/>
  <c r="A141" i="48" s="1"/>
  <c r="C141" s="1"/>
  <c r="B102" i="75"/>
  <c r="A102" i="48" s="1"/>
  <c r="C102" s="1"/>
  <c r="B136" i="75"/>
  <c r="A136" i="48" s="1"/>
  <c r="C136" s="1"/>
  <c r="B114" i="75"/>
  <c r="A114" i="48" s="1"/>
  <c r="C114" s="1"/>
  <c r="D114" i="75"/>
  <c r="B74"/>
  <c r="A74" i="48" s="1"/>
  <c r="C74" s="1"/>
  <c r="D123" i="75"/>
  <c r="B56"/>
  <c r="A56" i="48" s="1"/>
  <c r="C56" s="1"/>
  <c r="D56" i="75"/>
  <c r="B87"/>
  <c r="A87" i="48" s="1"/>
  <c r="C87" s="1"/>
  <c r="D22" i="75"/>
  <c r="B47"/>
  <c r="A47" i="48" s="1"/>
  <c r="C47" s="1"/>
  <c r="B36" i="75"/>
  <c r="A36" i="48" s="1"/>
  <c r="C36" s="1"/>
  <c r="B108" i="75"/>
  <c r="A108" i="48" s="1"/>
  <c r="C108" s="1"/>
  <c r="D6" i="75"/>
  <c r="B112"/>
  <c r="A112" i="48" s="1"/>
  <c r="C112" s="1"/>
  <c r="B120" i="75"/>
  <c r="A120" i="48" s="1"/>
  <c r="C120" s="1"/>
  <c r="D120" i="75"/>
  <c r="D41"/>
  <c r="D31"/>
  <c r="D14"/>
  <c r="B71"/>
  <c r="A71" i="48" s="1"/>
  <c r="C71" s="1"/>
  <c r="B140" i="75"/>
  <c r="A140" i="48" s="1"/>
  <c r="C140" s="1"/>
  <c r="D124" i="75"/>
  <c r="B40"/>
  <c r="A40" i="48" s="1"/>
  <c r="C40" s="1"/>
  <c r="B11" i="75"/>
  <c r="A11" i="48" s="1"/>
  <c r="C11" s="1"/>
  <c r="B30" i="75"/>
  <c r="A30" i="48" s="1"/>
  <c r="C30" s="1"/>
  <c r="D13" i="75"/>
  <c r="D70"/>
  <c r="B70"/>
  <c r="A70" i="48" s="1"/>
  <c r="C70" s="1"/>
  <c r="B28" i="75"/>
  <c r="A28" i="48" s="1"/>
  <c r="C28" s="1"/>
  <c r="B111" i="75"/>
  <c r="A111" i="48" s="1"/>
  <c r="C111" s="1"/>
  <c r="D111" i="75"/>
  <c r="D26"/>
  <c r="D63"/>
  <c r="B48"/>
  <c r="A48" i="48" s="1"/>
  <c r="C48" s="1"/>
  <c r="B89" i="75"/>
  <c r="A89" i="48" s="1"/>
  <c r="C89" s="1"/>
  <c r="D18" i="75"/>
  <c r="D126"/>
  <c r="B15"/>
  <c r="A15" i="48" s="1"/>
  <c r="C15" s="1"/>
  <c r="B116" i="75"/>
  <c r="A116" i="48" s="1"/>
  <c r="C116" s="1"/>
  <c r="B44" i="75"/>
  <c r="A44" i="48" s="1"/>
  <c r="C44" s="1"/>
  <c r="B95" i="75"/>
  <c r="A95" i="48" s="1"/>
  <c r="C95" s="1"/>
  <c r="B37" i="75"/>
  <c r="A37" i="48" s="1"/>
  <c r="C37" s="1"/>
  <c r="D37" i="75"/>
  <c r="B93"/>
  <c r="A93" i="48" s="1"/>
  <c r="C93" s="1"/>
  <c r="B78" i="75"/>
  <c r="A78" i="48" s="1"/>
  <c r="C78" s="1"/>
  <c r="D90" i="75"/>
  <c r="B96"/>
  <c r="A96" i="48" s="1"/>
  <c r="C96" s="1"/>
  <c r="D73" i="75"/>
  <c r="D85"/>
  <c r="D106"/>
  <c r="D99"/>
  <c r="B98"/>
  <c r="A98" i="48" s="1"/>
  <c r="C98" s="1"/>
  <c r="D98" i="75"/>
  <c r="D135"/>
  <c r="D69"/>
  <c r="B103"/>
  <c r="A103" i="48" s="1"/>
  <c r="C103" s="1"/>
  <c r="B10" i="75"/>
  <c r="A10" i="48" s="1"/>
  <c r="C10" s="1"/>
  <c r="D24" i="75"/>
  <c r="D94"/>
  <c r="B51"/>
  <c r="A51" i="48" s="1"/>
  <c r="C51" s="1"/>
  <c r="B142" i="75"/>
  <c r="A142" i="48" s="1"/>
  <c r="C142" s="1"/>
  <c r="D61" i="75"/>
  <c r="B61"/>
  <c r="A61" i="48" s="1"/>
  <c r="C61" s="1"/>
  <c r="D128" i="75"/>
  <c r="D144"/>
  <c r="B144"/>
  <c r="A144" i="48" s="1"/>
  <c r="C144" s="1"/>
  <c r="D72" i="75"/>
  <c r="B72"/>
  <c r="A72" i="48" s="1"/>
  <c r="C72" s="1"/>
  <c r="B101" i="75"/>
  <c r="A101" i="48" s="1"/>
  <c r="C101" s="1"/>
  <c r="D122" i="75"/>
  <c r="B122"/>
  <c r="A122" i="48" s="1"/>
  <c r="C122" s="1"/>
  <c r="D68" i="75"/>
  <c r="D119"/>
  <c r="D65"/>
  <c r="B65"/>
  <c r="A65" i="48" s="1"/>
  <c r="C65" s="1"/>
  <c r="D113" i="75"/>
  <c r="D75"/>
  <c r="D17"/>
  <c r="B17"/>
  <c r="A17" i="48" s="1"/>
  <c r="C17" s="1"/>
  <c r="B145" i="75"/>
  <c r="A145" i="48" s="1"/>
  <c r="C145" s="1"/>
  <c r="D127" i="75"/>
  <c r="D83"/>
  <c r="B118"/>
  <c r="A118" i="48" s="1"/>
  <c r="C118" s="1"/>
  <c r="D5" i="75"/>
  <c r="B38"/>
  <c r="A38" i="48" s="1"/>
  <c r="C38" s="1"/>
  <c r="D67" i="75"/>
  <c r="D132"/>
  <c r="B7"/>
  <c r="A7" i="48" s="1"/>
  <c r="C7" s="1"/>
  <c r="B91" i="75"/>
  <c r="A91" i="48" s="1"/>
  <c r="C91" s="1"/>
  <c r="B4" i="75"/>
  <c r="A4" i="48" s="1"/>
  <c r="C4" s="1"/>
  <c r="D133" i="75"/>
  <c r="B53"/>
  <c r="A53" i="48" s="1"/>
  <c r="C53" s="1"/>
  <c r="D53" i="75"/>
  <c r="D27"/>
  <c r="B104"/>
  <c r="A104" i="48" s="1"/>
  <c r="C104" s="1"/>
  <c r="D104" i="75"/>
  <c r="D130"/>
  <c r="B84"/>
  <c r="A84" i="48" s="1"/>
  <c r="C84" s="1"/>
  <c r="D81" i="75"/>
  <c r="B86"/>
  <c r="A86" i="48" s="1"/>
  <c r="C86" s="1"/>
  <c r="D64" i="75"/>
  <c r="D12"/>
  <c r="B23"/>
  <c r="A23" i="48" s="1"/>
  <c r="C23" s="1"/>
  <c r="B80" i="75"/>
  <c r="A80" i="48" s="1"/>
  <c r="C80" s="1"/>
  <c r="D80" i="75"/>
  <c r="D60"/>
  <c r="D134"/>
  <c r="B139"/>
  <c r="A139" i="48" s="1"/>
  <c r="C139" s="1"/>
  <c r="B20" i="75"/>
  <c r="A20" i="48" s="1"/>
  <c r="C20" s="1"/>
  <c r="D82" i="75"/>
  <c r="D100"/>
  <c r="D42"/>
  <c r="B52"/>
  <c r="A52" i="48" s="1"/>
  <c r="C52" s="1"/>
  <c r="B33" i="75"/>
  <c r="A33" i="48" s="1"/>
  <c r="C33" s="1"/>
  <c r="B88" i="75"/>
  <c r="A88" i="48" s="1"/>
  <c r="C88" s="1"/>
  <c r="B3" i="75"/>
  <c r="A3" i="48" s="1"/>
  <c r="D8" i="75"/>
  <c r="B8"/>
  <c r="A8" i="48" s="1"/>
  <c r="C8" s="1"/>
  <c r="D9" i="75"/>
  <c r="B9"/>
  <c r="A9" i="48" s="1"/>
  <c r="C9" s="1"/>
  <c r="D131" i="75"/>
  <c r="B45"/>
  <c r="A45" i="48" s="1"/>
  <c r="C45" s="1"/>
  <c r="D59" i="75"/>
  <c r="B59"/>
  <c r="A59" i="48" s="1"/>
  <c r="C59" s="1"/>
  <c r="D97" i="75"/>
  <c r="D54"/>
  <c r="D16"/>
  <c r="D62"/>
  <c r="D121"/>
  <c r="D138"/>
  <c r="D105"/>
  <c r="B105"/>
  <c r="A105" i="48" s="1"/>
  <c r="C105" s="1"/>
  <c r="B21" i="75"/>
  <c r="A21" i="48" s="1"/>
  <c r="C21" s="1"/>
  <c r="D21" i="75"/>
  <c r="D55"/>
  <c r="B55"/>
  <c r="A55" i="48" s="1"/>
  <c r="C55" s="1"/>
  <c r="B32" i="75"/>
  <c r="A32" i="48" s="1"/>
  <c r="C32" s="1"/>
  <c r="D32" i="75"/>
  <c r="B129"/>
  <c r="A129" i="48" s="1"/>
  <c r="C129" s="1"/>
  <c r="D137" i="75"/>
  <c r="D143"/>
  <c r="D35"/>
  <c r="B79"/>
  <c r="A79" i="48" s="1"/>
  <c r="C79" s="1"/>
  <c r="B50" i="75"/>
  <c r="A50" i="48" s="1"/>
  <c r="C50" s="1"/>
  <c r="B66" i="75"/>
  <c r="A66" i="48" s="1"/>
  <c r="C66" s="1"/>
  <c r="D66" i="75"/>
  <c r="D58"/>
  <c r="B76"/>
  <c r="A76" i="48" s="1"/>
  <c r="C76" s="1"/>
  <c r="D46" i="75"/>
  <c r="D141"/>
  <c r="D102"/>
  <c r="D136"/>
  <c r="B110"/>
  <c r="A110" i="48" s="1"/>
  <c r="C110" s="1"/>
  <c r="D110" i="75"/>
  <c r="B25"/>
  <c r="A25" i="48" s="1"/>
  <c r="C25" s="1"/>
  <c r="D25" i="75"/>
  <c r="D74"/>
  <c r="B123"/>
  <c r="A123" i="48" s="1"/>
  <c r="C123" s="1"/>
  <c r="D77" i="75"/>
  <c r="B77"/>
  <c r="A77" i="48" s="1"/>
  <c r="C77" s="1"/>
  <c r="D87" i="75"/>
  <c r="B22"/>
  <c r="A22" i="48" s="1"/>
  <c r="C22" s="1"/>
  <c r="D47" i="75"/>
  <c r="D36"/>
  <c r="D29"/>
  <c r="B29"/>
  <c r="A29" i="48" s="1"/>
  <c r="C29" s="1"/>
  <c r="D108" i="75"/>
  <c r="B6"/>
  <c r="A6" i="48" s="1"/>
  <c r="C6" s="1"/>
  <c r="D112" i="75"/>
  <c r="B41"/>
  <c r="A41" i="48" s="1"/>
  <c r="C41" s="1"/>
  <c r="B31" i="75"/>
  <c r="A31" i="48" s="1"/>
  <c r="C31" s="1"/>
  <c r="B14" i="75"/>
  <c r="A14" i="48" s="1"/>
  <c r="C14" s="1"/>
  <c r="D71" i="75"/>
  <c r="D140"/>
  <c r="B49"/>
  <c r="A49" i="48" s="1"/>
  <c r="C49" s="1"/>
  <c r="D49" i="75"/>
  <c r="B124"/>
  <c r="A124" i="48" s="1"/>
  <c r="C124" s="1"/>
  <c r="D40" i="75"/>
  <c r="D92"/>
  <c r="B92"/>
  <c r="A92" i="48" s="1"/>
  <c r="C92" s="1"/>
  <c r="D11" i="75"/>
  <c r="D30"/>
  <c r="B13"/>
  <c r="A13" i="48" s="1"/>
  <c r="C13" s="1"/>
  <c r="D28" i="75"/>
  <c r="B26"/>
  <c r="A26" i="48" s="1"/>
  <c r="C26" s="1"/>
  <c r="B63" i="75"/>
  <c r="A63" i="48" s="1"/>
  <c r="C63" s="1"/>
  <c r="D48" i="75"/>
  <c r="D89"/>
  <c r="B18"/>
  <c r="A18" i="48" s="1"/>
  <c r="C18" s="1"/>
  <c r="B126" i="75"/>
  <c r="A126" i="48" s="1"/>
  <c r="C126" s="1"/>
  <c r="D15" i="75"/>
  <c r="D116"/>
  <c r="D44"/>
  <c r="D95"/>
  <c r="D93"/>
  <c r="D78"/>
  <c r="B90"/>
  <c r="A90" i="48" s="1"/>
  <c r="C90" s="1"/>
  <c r="D96" i="75"/>
  <c r="B73"/>
  <c r="A73" i="48" s="1"/>
  <c r="C73" s="1"/>
  <c r="B85" i="75"/>
  <c r="A85" i="48" s="1"/>
  <c r="C85" s="1"/>
  <c r="B106" i="75"/>
  <c r="A106" i="48" s="1"/>
  <c r="C106" s="1"/>
  <c r="B99" i="75"/>
  <c r="A99" i="48" s="1"/>
  <c r="C99" s="1"/>
  <c r="B135" i="75"/>
  <c r="A135" i="48" s="1"/>
  <c r="C135" s="1"/>
  <c r="B69" i="75"/>
  <c r="A69" i="48" s="1"/>
  <c r="C69" s="1"/>
  <c r="B34" i="75"/>
  <c r="A34" i="48" s="1"/>
  <c r="C34" s="1"/>
  <c r="D34" i="75"/>
  <c r="D103"/>
  <c r="D10"/>
  <c r="B125"/>
  <c r="A125" i="48" s="1"/>
  <c r="C125" s="1"/>
  <c r="D125" i="75"/>
  <c r="B24"/>
  <c r="A24" i="48" s="1"/>
  <c r="C24" s="1"/>
  <c r="B94" i="75"/>
  <c r="A94" i="48" s="1"/>
  <c r="C94" s="1"/>
  <c r="D51" i="75"/>
  <c r="D142"/>
  <c r="B128"/>
  <c r="A128" i="48" s="1"/>
  <c r="C128" s="1"/>
  <c r="D109" i="75"/>
  <c r="B109"/>
  <c r="A109" i="48" s="1"/>
  <c r="C109" s="1"/>
  <c r="D101" i="75"/>
  <c r="B39"/>
  <c r="A39" i="48" s="1"/>
  <c r="C39" s="1"/>
  <c r="D39" i="75"/>
  <c r="B68"/>
  <c r="A68" i="48" s="1"/>
  <c r="C68" s="1"/>
  <c r="B119" i="75"/>
  <c r="A119" i="48" s="1"/>
  <c r="C119" s="1"/>
  <c r="B113" i="75"/>
  <c r="A113" i="48" s="1"/>
  <c r="C113" s="1"/>
  <c r="B75" i="75"/>
  <c r="A75" i="48" s="1"/>
  <c r="C75" s="1"/>
  <c r="D145" i="75"/>
  <c r="B127"/>
  <c r="A127" i="48" s="1"/>
  <c r="C127" s="1"/>
  <c r="B83" i="75"/>
  <c r="A83" i="48" s="1"/>
  <c r="C83" s="1"/>
  <c r="B19" i="75"/>
  <c r="A19" i="48" s="1"/>
  <c r="C19" s="1"/>
  <c r="D19" i="75"/>
  <c r="D118"/>
  <c r="B5"/>
  <c r="A5" i="48" s="1"/>
  <c r="C5" s="1"/>
  <c r="D38" i="75"/>
  <c r="D107"/>
  <c r="B107"/>
  <c r="A107" i="48" s="1"/>
  <c r="C107" s="1"/>
  <c r="B67" i="75"/>
  <c r="A67" i="48" s="1"/>
  <c r="C67" s="1"/>
  <c r="B132" i="75"/>
  <c r="A132" i="48" s="1"/>
  <c r="C132" s="1"/>
  <c r="D43" i="75"/>
  <c r="B43"/>
  <c r="A43" i="48" s="1"/>
  <c r="C43" s="1"/>
  <c r="D117" i="75"/>
  <c r="B117"/>
  <c r="A117" i="48" s="1"/>
  <c r="C117" s="1"/>
  <c r="D7" i="75"/>
  <c r="D91"/>
  <c r="D4"/>
  <c r="B133"/>
  <c r="A133" i="48" s="1"/>
  <c r="C133" s="1"/>
  <c r="B27" i="75"/>
  <c r="A27" i="48" s="1"/>
  <c r="C27" s="1"/>
  <c r="B130" i="75"/>
  <c r="A130" i="48" s="1"/>
  <c r="C130" s="1"/>
  <c r="D84" i="75"/>
  <c r="B81"/>
  <c r="A81" i="48" s="1"/>
  <c r="C81" s="1"/>
  <c r="D86" i="75"/>
  <c r="B64"/>
  <c r="A64" i="48" s="1"/>
  <c r="C64" s="1"/>
  <c r="B12" i="75"/>
  <c r="A12" i="48" s="1"/>
  <c r="C12" s="1"/>
  <c r="D23" i="75"/>
  <c r="B60"/>
  <c r="A60" i="48" s="1"/>
  <c r="C60" s="1"/>
  <c r="B134" i="75"/>
  <c r="A134" i="48" s="1"/>
  <c r="C134" s="1"/>
  <c r="B57" i="75"/>
  <c r="A57" i="48" s="1"/>
  <c r="C57" s="1"/>
  <c r="D57" i="75"/>
  <c r="D139"/>
  <c r="D20"/>
  <c r="B82"/>
  <c r="A82" i="48" s="1"/>
  <c r="C82" s="1"/>
  <c r="B100" i="75"/>
  <c r="A100" i="48" s="1"/>
  <c r="C100" s="1"/>
  <c r="B42" i="75"/>
  <c r="A42" i="48" s="1"/>
  <c r="C42" s="1"/>
  <c r="D52" i="75"/>
  <c r="D33"/>
  <c r="D88"/>
  <c r="D3"/>
  <c r="H3" i="112"/>
  <c r="S4" i="47"/>
  <c r="F28" i="115"/>
  <c r="A28" s="1"/>
  <c r="F23"/>
  <c r="A23" s="1"/>
  <c r="F38"/>
  <c r="A38" s="1"/>
  <c r="F5"/>
  <c r="A5" s="1"/>
  <c r="F7"/>
  <c r="A7" s="1"/>
  <c r="F8"/>
  <c r="A8" s="1"/>
  <c r="F34"/>
  <c r="A34" s="1"/>
  <c r="F10"/>
  <c r="A10" s="1"/>
  <c r="F6"/>
  <c r="A6" s="1"/>
  <c r="F29"/>
  <c r="A29" s="1"/>
  <c r="F11"/>
  <c r="A11" s="1"/>
  <c r="F26"/>
  <c r="A26" s="1"/>
  <c r="F36"/>
  <c r="A36" s="1"/>
  <c r="F4"/>
  <c r="A4" s="1"/>
  <c r="F21"/>
  <c r="A21" s="1"/>
  <c r="F39"/>
  <c r="A39" s="1"/>
  <c r="F42"/>
  <c r="A42" s="1"/>
  <c r="F37"/>
  <c r="A37" s="1"/>
  <c r="F31"/>
  <c r="A31" s="1"/>
  <c r="F33"/>
  <c r="A33" s="1"/>
  <c r="F3"/>
  <c r="A3" s="1"/>
  <c r="F16"/>
  <c r="A16" s="1"/>
  <c r="F22"/>
  <c r="A22" s="1"/>
  <c r="G2"/>
  <c r="F45"/>
  <c r="A45" s="1"/>
  <c r="F20"/>
  <c r="A20" s="1"/>
  <c r="F13"/>
  <c r="A13" s="1"/>
  <c r="F27"/>
  <c r="A27" s="1"/>
  <c r="F43"/>
  <c r="A43" s="1"/>
  <c r="F19"/>
  <c r="A19" s="1"/>
  <c r="F18"/>
  <c r="A18" s="1"/>
  <c r="F40"/>
  <c r="A40" s="1"/>
  <c r="F41"/>
  <c r="A41" s="1"/>
  <c r="F25"/>
  <c r="A25" s="1"/>
  <c r="F30"/>
  <c r="A30" s="1"/>
  <c r="F17"/>
  <c r="A17" s="1"/>
  <c r="F44"/>
  <c r="A44" s="1"/>
  <c r="F14"/>
  <c r="A14" s="1"/>
  <c r="F24"/>
  <c r="A24" s="1"/>
  <c r="F35"/>
  <c r="A35" s="1"/>
  <c r="F15"/>
  <c r="A15" s="1"/>
  <c r="F32"/>
  <c r="A32" s="1"/>
  <c r="F9"/>
  <c r="A9" s="1"/>
  <c r="F12"/>
  <c r="A12" s="1"/>
  <c r="F2"/>
  <c r="F169" s="1"/>
  <c r="A169" s="1"/>
  <c r="F191"/>
  <c r="A191" s="1"/>
  <c r="F133"/>
  <c r="A133" s="1"/>
  <c r="F119"/>
  <c r="A119" s="1"/>
  <c r="F109"/>
  <c r="A109" s="1"/>
  <c r="F93"/>
  <c r="A93" s="1"/>
  <c r="F255"/>
  <c r="A255" s="1"/>
  <c r="F182"/>
  <c r="A182" s="1"/>
  <c r="F80"/>
  <c r="A80" s="1"/>
  <c r="F83"/>
  <c r="A83" s="1"/>
  <c r="F51"/>
  <c r="A51" s="1"/>
  <c r="F236"/>
  <c r="A236" s="1"/>
  <c r="F143"/>
  <c r="A143" s="1"/>
  <c r="F123"/>
  <c r="A123" s="1"/>
  <c r="F223"/>
  <c r="A223" s="1"/>
  <c r="F234"/>
  <c r="A234" s="1"/>
  <c r="F92"/>
  <c r="A92" s="1"/>
  <c r="F174"/>
  <c r="A174" s="1"/>
  <c r="F75"/>
  <c r="A75" s="1"/>
  <c r="F107"/>
  <c r="A107" s="1"/>
  <c r="F190"/>
  <c r="A190" s="1"/>
  <c r="F101"/>
  <c r="A101" s="1"/>
  <c r="F95"/>
  <c r="A95" s="1"/>
  <c r="F152"/>
  <c r="A152" s="1"/>
  <c r="F218"/>
  <c r="A218" s="1"/>
  <c r="F241"/>
  <c r="A241" s="1"/>
  <c r="F55"/>
  <c r="A55" s="1"/>
  <c r="F47"/>
  <c r="A47" s="1"/>
  <c r="F242"/>
  <c r="A242" s="1"/>
  <c r="F150"/>
  <c r="A150" s="1"/>
  <c r="F184"/>
  <c r="A184" s="1"/>
  <c r="F142"/>
  <c r="A142" s="1"/>
  <c r="F216"/>
  <c r="A216" s="1"/>
  <c r="F116"/>
  <c r="A116" s="1"/>
  <c r="F114"/>
  <c r="A114" s="1"/>
  <c r="F66"/>
  <c r="A66" s="1"/>
  <c r="F46"/>
  <c r="A46" s="1"/>
  <c r="F104"/>
  <c r="A104" s="1"/>
  <c r="F141"/>
  <c r="A141" s="1"/>
  <c r="F246"/>
  <c r="A246" s="1"/>
  <c r="F170"/>
  <c r="A170" s="1"/>
  <c r="F48"/>
  <c r="A48" s="1"/>
  <c r="F91"/>
  <c r="A91" s="1"/>
  <c r="F168"/>
  <c r="A168" s="1"/>
  <c r="F200"/>
  <c r="A200" s="1"/>
  <c r="F215"/>
  <c r="A215" s="1"/>
  <c r="F203"/>
  <c r="A203" s="1"/>
  <c r="F228"/>
  <c r="A228" s="1"/>
  <c r="F226"/>
  <c r="A226" s="1"/>
  <c r="F239"/>
  <c r="A239" s="1"/>
  <c r="F99"/>
  <c r="A99" s="1"/>
  <c r="F233"/>
  <c r="A233" s="1"/>
  <c r="F252"/>
  <c r="A252" s="1"/>
  <c r="F161"/>
  <c r="A161" s="1"/>
  <c r="F211"/>
  <c r="A211" s="1"/>
  <c r="F137"/>
  <c r="A137" s="1"/>
  <c r="F103"/>
  <c r="A103" s="1"/>
  <c r="F256"/>
  <c r="A256" s="1"/>
  <c r="F74"/>
  <c r="A74" s="1"/>
  <c r="F124"/>
  <c r="A124" s="1"/>
  <c r="F70"/>
  <c r="A70" s="1"/>
  <c r="F222"/>
  <c r="A222" s="1"/>
  <c r="F117"/>
  <c r="A117" s="1"/>
  <c r="F112"/>
  <c r="A112" s="1"/>
  <c r="F120"/>
  <c r="A120" s="1"/>
  <c r="F84"/>
  <c r="A84" s="1"/>
  <c r="F154"/>
  <c r="A154" s="1"/>
  <c r="F88"/>
  <c r="A88" s="1"/>
  <c r="F68"/>
  <c r="A68" s="1"/>
  <c r="F53"/>
  <c r="A53" s="1"/>
  <c r="F61"/>
  <c r="A61" s="1"/>
  <c r="F147"/>
  <c r="A147" s="1"/>
  <c r="F159"/>
  <c r="A159" s="1"/>
  <c r="F77"/>
  <c r="A77" s="1"/>
  <c r="F180"/>
  <c r="A180" s="1"/>
  <c r="F212"/>
  <c r="A212" s="1"/>
  <c r="F251"/>
  <c r="A251" s="1"/>
  <c r="F172"/>
  <c r="A172" s="1"/>
  <c r="F220"/>
  <c r="A220" s="1"/>
  <c r="F131"/>
  <c r="A131" s="1"/>
  <c r="F82"/>
  <c r="A82" s="1"/>
  <c r="F127"/>
  <c r="A127" s="1"/>
  <c r="F78"/>
  <c r="A78" s="1"/>
  <c r="F140"/>
  <c r="A140" s="1"/>
  <c r="F198"/>
  <c r="A198" s="1"/>
  <c r="F257"/>
  <c r="A257" s="1"/>
  <c r="F167"/>
  <c r="A167" s="1"/>
  <c r="F65"/>
  <c r="A65" s="1"/>
  <c r="F81"/>
  <c r="A81" s="1"/>
  <c r="F181"/>
  <c r="A181" s="1"/>
  <c r="F196"/>
  <c r="A196" s="1"/>
  <c r="F205"/>
  <c r="A205" s="1"/>
  <c r="F64"/>
  <c r="A64" s="1"/>
  <c r="F71"/>
  <c r="A71" s="1"/>
  <c r="F165"/>
  <c r="A165" s="1"/>
  <c r="F230"/>
  <c r="A230" s="1"/>
  <c r="F115"/>
  <c r="A115" s="1"/>
  <c r="F245"/>
  <c r="A245" s="1"/>
  <c r="F156"/>
  <c r="A156" s="1"/>
  <c r="F139"/>
  <c r="A139" s="1"/>
  <c r="F217"/>
  <c r="A217" s="1"/>
  <c r="F56"/>
  <c r="A56" s="1"/>
  <c r="F118"/>
  <c r="A118" s="1"/>
  <c r="F63"/>
  <c r="A63" s="1"/>
  <c r="F122"/>
  <c r="A122" s="1"/>
  <c r="F125"/>
  <c r="A125" s="1"/>
  <c r="F134"/>
  <c r="A134" s="1"/>
  <c r="F171"/>
  <c r="A171" s="1"/>
  <c r="F240"/>
  <c r="A240" s="1"/>
  <c r="F224"/>
  <c r="A224" s="1"/>
  <c r="F186"/>
  <c r="A186" s="1"/>
  <c r="F208"/>
  <c r="A208" s="1"/>
  <c r="F249"/>
  <c r="A249" s="1"/>
  <c r="F202"/>
  <c r="A202" s="1"/>
  <c r="F121"/>
  <c r="A121" s="1"/>
  <c r="F155"/>
  <c r="A155" s="1"/>
  <c r="F189"/>
  <c r="A189" s="1"/>
  <c r="F221"/>
  <c r="A221" s="1"/>
  <c r="F227"/>
  <c r="A227" s="1"/>
  <c r="F130"/>
  <c r="A130" s="1"/>
  <c r="F146"/>
  <c r="A146" s="1"/>
  <c r="F204"/>
  <c r="A204" s="1"/>
  <c r="F207"/>
  <c r="A207" s="1"/>
  <c r="F225"/>
  <c r="A225" s="1"/>
  <c r="F126"/>
  <c r="A126" s="1"/>
  <c r="F138"/>
  <c r="A138" s="1"/>
  <c r="F96"/>
  <c r="A96" s="1"/>
  <c r="F128"/>
  <c r="A128" s="1"/>
  <c r="F160"/>
  <c r="A160" s="1"/>
  <c r="F108"/>
  <c r="A108" s="1"/>
  <c r="F79"/>
  <c r="A79" s="1"/>
  <c r="F106"/>
  <c r="A106" s="1"/>
  <c r="F153"/>
  <c r="A153" s="1"/>
  <c r="F214"/>
  <c r="A214" s="1"/>
  <c r="F199"/>
  <c r="A199" s="1"/>
  <c r="F94"/>
  <c r="A94" s="1"/>
  <c r="F149"/>
  <c r="A149" s="1"/>
  <c r="F102"/>
  <c r="A102" s="1"/>
  <c r="F250"/>
  <c r="A250" s="1"/>
  <c r="F206"/>
  <c r="A206" s="1"/>
  <c r="F176"/>
  <c r="A176" s="1"/>
  <c r="F97"/>
  <c r="A97" s="1"/>
  <c r="F247"/>
  <c r="A247" s="1"/>
  <c r="F59"/>
  <c r="A59" s="1"/>
  <c r="F89"/>
  <c r="A89" s="1"/>
  <c r="F229"/>
  <c r="A229" s="1"/>
  <c r="F145"/>
  <c r="A145" s="1"/>
  <c r="F258"/>
  <c r="A258" s="1"/>
  <c r="F52"/>
  <c r="A52" s="1"/>
  <c r="F185"/>
  <c r="A185" s="1"/>
  <c r="F193"/>
  <c r="A193" s="1"/>
  <c r="F244"/>
  <c r="A244" s="1"/>
  <c r="F144"/>
  <c r="A144" s="1"/>
  <c r="F232"/>
  <c r="A232" s="1"/>
  <c r="F231"/>
  <c r="A231" s="1"/>
  <c r="F72"/>
  <c r="A72" s="1"/>
  <c r="F132"/>
  <c r="A132" s="1"/>
  <c r="F188"/>
  <c r="A188" s="1"/>
  <c r="F49"/>
  <c r="A49" s="1"/>
  <c r="F237"/>
  <c r="A237" s="1"/>
  <c r="F175"/>
  <c r="A175" s="1"/>
  <c r="F136"/>
  <c r="A136" s="1"/>
  <c r="F113"/>
  <c r="A113" s="1"/>
  <c r="F213"/>
  <c r="A213" s="1"/>
  <c r="F62"/>
  <c r="A62" s="1"/>
  <c r="F162"/>
  <c r="A162" s="1"/>
  <c r="F210"/>
  <c r="A210" s="1"/>
  <c r="F151"/>
  <c r="A151" s="1"/>
  <c r="F60"/>
  <c r="A60" s="1"/>
  <c r="F157"/>
  <c r="A157" s="1"/>
  <c r="F76"/>
  <c r="A76" s="1"/>
  <c r="F192" l="1"/>
  <c r="A192" s="1"/>
  <c r="F57"/>
  <c r="A57" s="1"/>
  <c r="F50"/>
  <c r="A50" s="1"/>
  <c r="F58"/>
  <c r="A58" s="1"/>
  <c r="F110"/>
  <c r="A110" s="1"/>
  <c r="F194"/>
  <c r="A194" s="1"/>
  <c r="F164"/>
  <c r="A164" s="1"/>
  <c r="F201"/>
  <c r="A201" s="1"/>
  <c r="F98"/>
  <c r="A98" s="1"/>
  <c r="F54"/>
  <c r="A54" s="1"/>
  <c r="F105"/>
  <c r="A105" s="1"/>
  <c r="F243"/>
  <c r="A243" s="1"/>
  <c r="F235"/>
  <c r="A235" s="1"/>
  <c r="F86"/>
  <c r="A86" s="1"/>
  <c r="F178"/>
  <c r="A178" s="1"/>
  <c r="F69"/>
  <c r="A69" s="1"/>
  <c r="F197"/>
  <c r="A197" s="1"/>
  <c r="F135"/>
  <c r="A135" s="1"/>
  <c r="F148"/>
  <c r="A148" s="1"/>
  <c r="F87"/>
  <c r="A87" s="1"/>
  <c r="F238"/>
  <c r="A238" s="1"/>
  <c r="F173"/>
  <c r="A173" s="1"/>
  <c r="F254"/>
  <c r="A254" s="1"/>
  <c r="F177"/>
  <c r="A177" s="1"/>
  <c r="F253"/>
  <c r="A253" s="1"/>
  <c r="F85"/>
  <c r="A85" s="1"/>
  <c r="F158"/>
  <c r="A158" s="1"/>
  <c r="F73"/>
  <c r="A73" s="1"/>
  <c r="F90"/>
  <c r="A90" s="1"/>
  <c r="F111"/>
  <c r="A111" s="1"/>
  <c r="F100"/>
  <c r="A100" s="1"/>
  <c r="BU41"/>
  <c r="BU45"/>
  <c r="BU47"/>
  <c r="BU30"/>
  <c r="BU48"/>
  <c r="BU29"/>
  <c r="BU40"/>
  <c r="BU36"/>
  <c r="BU51"/>
  <c r="BT51"/>
  <c r="BJ12"/>
  <c r="AE12"/>
  <c r="I12" s="1"/>
  <c r="BX12"/>
  <c r="BW12"/>
  <c r="BY12"/>
  <c r="BV12"/>
  <c r="BH12"/>
  <c r="BW32"/>
  <c r="BH32"/>
  <c r="BV32"/>
  <c r="BU14"/>
  <c r="BU17"/>
  <c r="BY14"/>
  <c r="BH14"/>
  <c r="AE14"/>
  <c r="I14" s="1"/>
  <c r="BJ14"/>
  <c r="BW14"/>
  <c r="BW17"/>
  <c r="AE17"/>
  <c r="I17" s="1"/>
  <c r="BY17"/>
  <c r="BJ17"/>
  <c r="BH17"/>
  <c r="BX17"/>
  <c r="BV17"/>
  <c r="BH25"/>
  <c r="BW25"/>
  <c r="BV25"/>
  <c r="BU7"/>
  <c r="BU22"/>
  <c r="BU55"/>
  <c r="BT55"/>
  <c r="BU39"/>
  <c r="BH19"/>
  <c r="BW19"/>
  <c r="BW27"/>
  <c r="BH27"/>
  <c r="BU9"/>
  <c r="BW20"/>
  <c r="BV20"/>
  <c r="BH20"/>
  <c r="BU27"/>
  <c r="BU32"/>
  <c r="BH22"/>
  <c r="BW22"/>
  <c r="BU4"/>
  <c r="BN3"/>
  <c r="BY3"/>
  <c r="CA3"/>
  <c r="BQ3"/>
  <c r="CE3"/>
  <c r="A8" i="55"/>
  <c r="BL3" i="115"/>
  <c r="CF3"/>
  <c r="E16" i="109"/>
  <c r="B11" i="116"/>
  <c r="F11" s="1"/>
  <c r="C11" s="1"/>
  <c r="E57" i="109"/>
  <c r="E37"/>
  <c r="E25"/>
  <c r="I23"/>
  <c r="AU14" i="115" s="1"/>
  <c r="E13" i="110" s="1"/>
  <c r="I62" i="109"/>
  <c r="AU17" i="115" s="1"/>
  <c r="E32" i="110" s="1"/>
  <c r="E60" i="109"/>
  <c r="B16" i="116"/>
  <c r="F16" s="1"/>
  <c r="C16" s="1"/>
  <c r="E61" i="109"/>
  <c r="Q18"/>
  <c r="AY3" i="115" s="1"/>
  <c r="M10" i="110" s="1"/>
  <c r="AL3" i="115" s="1"/>
  <c r="I6" i="119" s="1"/>
  <c r="X3" i="115" s="1"/>
  <c r="E4" i="118" s="1"/>
  <c r="BP3" i="115"/>
  <c r="U34" i="109" s="1"/>
  <c r="BJ3" i="115"/>
  <c r="I6" i="109" s="1"/>
  <c r="AU3" i="115" s="1"/>
  <c r="E4" i="110" s="1"/>
  <c r="A9" i="55"/>
  <c r="BW3" i="115"/>
  <c r="E8" i="109"/>
  <c r="BH3" i="115"/>
  <c r="E4" i="109" s="1"/>
  <c r="M10"/>
  <c r="AW3" i="115" s="1"/>
  <c r="I6" i="110" s="1"/>
  <c r="AJ3" i="115" s="1"/>
  <c r="E4" i="119" s="1"/>
  <c r="CC3" i="115"/>
  <c r="E29" i="109"/>
  <c r="I55"/>
  <c r="AU12" i="115" s="1"/>
  <c r="E29" i="110" s="1"/>
  <c r="B13" i="116"/>
  <c r="F13" s="1"/>
  <c r="C13" s="1"/>
  <c r="E56" i="109"/>
  <c r="BH31" i="115"/>
  <c r="E32" i="109" s="1"/>
  <c r="BW31" i="115"/>
  <c r="BU13"/>
  <c r="BU24"/>
  <c r="BU3"/>
  <c r="BH21"/>
  <c r="E40" i="109" s="1"/>
  <c r="BW21" i="115"/>
  <c r="BV21"/>
  <c r="BU18"/>
  <c r="BJ11"/>
  <c r="I14" i="109" s="1"/>
  <c r="AU11" i="115" s="1"/>
  <c r="E8" i="110" s="1"/>
  <c r="AE11" i="115"/>
  <c r="I11" s="1"/>
  <c r="B10" i="116" s="1"/>
  <c r="F10" s="1"/>
  <c r="C10" s="1"/>
  <c r="BH11" i="115"/>
  <c r="E12" i="109" s="1"/>
  <c r="BY11" i="115"/>
  <c r="BW11"/>
  <c r="BW6"/>
  <c r="CE6"/>
  <c r="BN6"/>
  <c r="Q19" i="109" s="1"/>
  <c r="AY6" i="115" s="1"/>
  <c r="M11" i="110" s="1"/>
  <c r="AL6" i="115" s="1"/>
  <c r="I7" i="119" s="1"/>
  <c r="X6" i="115" s="1"/>
  <c r="E5" i="118" s="1"/>
  <c r="CA6" i="115"/>
  <c r="BY6"/>
  <c r="BR6"/>
  <c r="BP6"/>
  <c r="U56" i="109" s="1"/>
  <c r="BH6" i="115"/>
  <c r="E33" i="109" s="1"/>
  <c r="BL6" i="115"/>
  <c r="M27" i="109" s="1"/>
  <c r="AW6" i="115" s="1"/>
  <c r="I15" i="110" s="1"/>
  <c r="AJ6" i="115" s="1"/>
  <c r="E9" i="119" s="1"/>
  <c r="CC6" i="115"/>
  <c r="BJ6"/>
  <c r="I31" i="109" s="1"/>
  <c r="AU6" i="115" s="1"/>
  <c r="E17" i="110" s="1"/>
  <c r="CG6" i="115"/>
  <c r="BH34"/>
  <c r="E5" i="109" s="1"/>
  <c r="BU16" i="115"/>
  <c r="BJ7"/>
  <c r="I22" i="109" s="1"/>
  <c r="AU7" i="115" s="1"/>
  <c r="E12" i="110" s="1"/>
  <c r="BY7" i="115"/>
  <c r="BL7"/>
  <c r="M26" i="109" s="1"/>
  <c r="AW7" i="115" s="1"/>
  <c r="I14" i="110" s="1"/>
  <c r="AJ7" i="115" s="1"/>
  <c r="E8" i="119" s="1"/>
  <c r="CA7" i="115"/>
  <c r="BH7"/>
  <c r="E20" i="109" s="1"/>
  <c r="S7" i="115"/>
  <c r="I7" s="1"/>
  <c r="B6" i="116" s="1"/>
  <c r="F6" s="1"/>
  <c r="C6" s="1"/>
  <c r="BW7" i="115"/>
  <c r="BU20"/>
  <c r="BU10"/>
  <c r="BH28"/>
  <c r="E53" i="109" s="1"/>
  <c r="BV28" i="115"/>
  <c r="BW28"/>
  <c r="B19" i="112"/>
  <c r="B31"/>
  <c r="E31" s="1"/>
  <c r="B8"/>
  <c r="B224"/>
  <c r="E224" s="1"/>
  <c r="B154"/>
  <c r="E154" s="1"/>
  <c r="B162"/>
  <c r="E162" s="1"/>
  <c r="B168"/>
  <c r="E168" s="1"/>
  <c r="B191"/>
  <c r="E191" s="1"/>
  <c r="B137"/>
  <c r="E137" s="1"/>
  <c r="B86"/>
  <c r="E86" s="1"/>
  <c r="B66"/>
  <c r="E66" s="1"/>
  <c r="B67"/>
  <c r="B71"/>
  <c r="E71" s="1"/>
  <c r="B208"/>
  <c r="E208" s="1"/>
  <c r="B37"/>
  <c r="E37" s="1"/>
  <c r="B55"/>
  <c r="E55" s="1"/>
  <c r="B133"/>
  <c r="E133" s="1"/>
  <c r="B62"/>
  <c r="E62" s="1"/>
  <c r="B161"/>
  <c r="E161" s="1"/>
  <c r="B142"/>
  <c r="E142" s="1"/>
  <c r="B147"/>
  <c r="E147" s="1"/>
  <c r="B90"/>
  <c r="E90" s="1"/>
  <c r="B190"/>
  <c r="E190" s="1"/>
  <c r="B69"/>
  <c r="E69" s="1"/>
  <c r="B83"/>
  <c r="E83" s="1"/>
  <c r="B125"/>
  <c r="E125" s="1"/>
  <c r="B247"/>
  <c r="E247" s="1"/>
  <c r="B105"/>
  <c r="E105" s="1"/>
  <c r="B254"/>
  <c r="E254" s="1"/>
  <c r="B158"/>
  <c r="E158" s="1"/>
  <c r="B6"/>
  <c r="B79"/>
  <c r="E79" s="1"/>
  <c r="B22"/>
  <c r="E22" s="1"/>
  <c r="B207"/>
  <c r="E207" s="1"/>
  <c r="B124"/>
  <c r="E124" s="1"/>
  <c r="B189"/>
  <c r="E189" s="1"/>
  <c r="B243"/>
  <c r="E243" s="1"/>
  <c r="B87"/>
  <c r="E87" s="1"/>
  <c r="B213"/>
  <c r="E213" s="1"/>
  <c r="B127"/>
  <c r="E127" s="1"/>
  <c r="B73"/>
  <c r="E73" s="1"/>
  <c r="B100"/>
  <c r="E100" s="1"/>
  <c r="B64"/>
  <c r="E64" s="1"/>
  <c r="B252"/>
  <c r="E252" s="1"/>
  <c r="B217"/>
  <c r="E217" s="1"/>
  <c r="B141"/>
  <c r="E141" s="1"/>
  <c r="B150"/>
  <c r="E150" s="1"/>
  <c r="B72"/>
  <c r="E72" s="1"/>
  <c r="B99"/>
  <c r="E99" s="1"/>
  <c r="B5"/>
  <c r="B68"/>
  <c r="E68" s="1"/>
  <c r="B205"/>
  <c r="E205" s="1"/>
  <c r="B49"/>
  <c r="E49" s="1"/>
  <c r="B25"/>
  <c r="E25" s="1"/>
  <c r="B173"/>
  <c r="E173" s="1"/>
  <c r="B155"/>
  <c r="E155" s="1"/>
  <c r="B245"/>
  <c r="E245" s="1"/>
  <c r="B38"/>
  <c r="E38" s="1"/>
  <c r="B227"/>
  <c r="E227" s="1"/>
  <c r="B41"/>
  <c r="E41" s="1"/>
  <c r="B238"/>
  <c r="E238" s="1"/>
  <c r="B153"/>
  <c r="E153" s="1"/>
  <c r="B30"/>
  <c r="E30" s="1"/>
  <c r="B138"/>
  <c r="E138" s="1"/>
  <c r="B255"/>
  <c r="E255" s="1"/>
  <c r="B257"/>
  <c r="E257" s="1"/>
  <c r="B180"/>
  <c r="E180" s="1"/>
  <c r="B77"/>
  <c r="E77" s="1"/>
  <c r="B258"/>
  <c r="E258" s="1"/>
  <c r="B107"/>
  <c r="E107" s="1"/>
  <c r="B10"/>
  <c r="B45"/>
  <c r="E45" s="1"/>
  <c r="B13"/>
  <c r="B246"/>
  <c r="E246" s="1"/>
  <c r="B160"/>
  <c r="E160" s="1"/>
  <c r="B92"/>
  <c r="E92" s="1"/>
  <c r="B249"/>
  <c r="E249" s="1"/>
  <c r="B122"/>
  <c r="E122" s="1"/>
  <c r="B239"/>
  <c r="E239" s="1"/>
  <c r="B17"/>
  <c r="B193"/>
  <c r="E193" s="1"/>
  <c r="B169"/>
  <c r="E169" s="1"/>
  <c r="B215"/>
  <c r="E215" s="1"/>
  <c r="B152"/>
  <c r="E152" s="1"/>
  <c r="B20"/>
  <c r="E20" s="1"/>
  <c r="B146"/>
  <c r="B9"/>
  <c r="B256"/>
  <c r="E256" s="1"/>
  <c r="B120"/>
  <c r="E120" s="1"/>
  <c r="B149"/>
  <c r="E149" s="1"/>
  <c r="B89"/>
  <c r="B50"/>
  <c r="E50" s="1"/>
  <c r="B102"/>
  <c r="E102" s="1"/>
  <c r="B232"/>
  <c r="E232" s="1"/>
  <c r="B192"/>
  <c r="E192" s="1"/>
  <c r="B91"/>
  <c r="E91" s="1"/>
  <c r="B209"/>
  <c r="E209" s="1"/>
  <c r="B115"/>
  <c r="E115" s="1"/>
  <c r="B112"/>
  <c r="E112" s="1"/>
  <c r="B166"/>
  <c r="E166" s="1"/>
  <c r="B143"/>
  <c r="E143" s="1"/>
  <c r="B172"/>
  <c r="E172" s="1"/>
  <c r="B39"/>
  <c r="E39" s="1"/>
  <c r="B236"/>
  <c r="E236" s="1"/>
  <c r="B111"/>
  <c r="E111" s="1"/>
  <c r="B131"/>
  <c r="E131" s="1"/>
  <c r="B35"/>
  <c r="B18"/>
  <c r="B60"/>
  <c r="E60" s="1"/>
  <c r="B220"/>
  <c r="E220" s="1"/>
  <c r="B95"/>
  <c r="E95" s="1"/>
  <c r="B51"/>
  <c r="E51" s="1"/>
  <c r="B36"/>
  <c r="E36" s="1"/>
  <c r="B233"/>
  <c r="E233" s="1"/>
  <c r="B23"/>
  <c r="E23" s="1"/>
  <c r="B123"/>
  <c r="E123" s="1"/>
  <c r="B109"/>
  <c r="E109" s="1"/>
  <c r="B226"/>
  <c r="E226" s="1"/>
  <c r="B104"/>
  <c r="E104" s="1"/>
  <c r="B222"/>
  <c r="E222" s="1"/>
  <c r="B119"/>
  <c r="E119" s="1"/>
  <c r="B181"/>
  <c r="E181" s="1"/>
  <c r="B250"/>
  <c r="E250" s="1"/>
  <c r="B237"/>
  <c r="E237" s="1"/>
  <c r="B48"/>
  <c r="E48" s="1"/>
  <c r="B175"/>
  <c r="E175" s="1"/>
  <c r="B14"/>
  <c r="B16"/>
  <c r="B134"/>
  <c r="E134" s="1"/>
  <c r="B197"/>
  <c r="E197" s="1"/>
  <c r="B113"/>
  <c r="E113" s="1"/>
  <c r="B52"/>
  <c r="E52" s="1"/>
  <c r="B56"/>
  <c r="E56" s="1"/>
  <c r="B42"/>
  <c r="E42" s="1"/>
  <c r="B214"/>
  <c r="E214" s="1"/>
  <c r="B240"/>
  <c r="E240" s="1"/>
  <c r="B225"/>
  <c r="E225" s="1"/>
  <c r="B21"/>
  <c r="E21" s="1"/>
  <c r="B148"/>
  <c r="E148" s="1"/>
  <c r="B47"/>
  <c r="E47" s="1"/>
  <c r="B15"/>
  <c r="B132"/>
  <c r="B167"/>
  <c r="E167" s="1"/>
  <c r="B118"/>
  <c r="E118" s="1"/>
  <c r="B84"/>
  <c r="E84" s="1"/>
  <c r="B40"/>
  <c r="E40" s="1"/>
  <c r="B88"/>
  <c r="E88" s="1"/>
  <c r="B241"/>
  <c r="E241" s="1"/>
  <c r="B171"/>
  <c r="E171" s="1"/>
  <c r="B157"/>
  <c r="E157" s="1"/>
  <c r="B59"/>
  <c r="E59" s="1"/>
  <c r="B108"/>
  <c r="E108" s="1"/>
  <c r="B27"/>
  <c r="E27" s="1"/>
  <c r="B43"/>
  <c r="E43" s="1"/>
  <c r="B63"/>
  <c r="E63" s="1"/>
  <c r="B136"/>
  <c r="E136" s="1"/>
  <c r="B44"/>
  <c r="E44" s="1"/>
  <c r="B85"/>
  <c r="E85" s="1"/>
  <c r="B183"/>
  <c r="E183" s="1"/>
  <c r="B34"/>
  <c r="E34" s="1"/>
  <c r="B98"/>
  <c r="E98" s="1"/>
  <c r="B199"/>
  <c r="E199" s="1"/>
  <c r="B170"/>
  <c r="E170" s="1"/>
  <c r="B101"/>
  <c r="E101" s="1"/>
  <c r="B11"/>
  <c r="B182"/>
  <c r="E182" s="1"/>
  <c r="B110"/>
  <c r="E110" s="1"/>
  <c r="B195"/>
  <c r="E195" s="1"/>
  <c r="B97"/>
  <c r="E97" s="1"/>
  <c r="B81"/>
  <c r="E81" s="1"/>
  <c r="B7"/>
  <c r="B4"/>
  <c r="B78"/>
  <c r="E78" s="1"/>
  <c r="B57"/>
  <c r="E57" s="1"/>
  <c r="B174"/>
  <c r="E174" s="1"/>
  <c r="B187"/>
  <c r="E187" s="1"/>
  <c r="B53"/>
  <c r="E53" s="1"/>
  <c r="B198"/>
  <c r="E198" s="1"/>
  <c r="B33"/>
  <c r="E33" s="1"/>
  <c r="B94"/>
  <c r="E94" s="1"/>
  <c r="B156"/>
  <c r="E156" s="1"/>
  <c r="B186"/>
  <c r="E186" s="1"/>
  <c r="B129"/>
  <c r="E129" s="1"/>
  <c r="B235"/>
  <c r="E235" s="1"/>
  <c r="B218"/>
  <c r="E218" s="1"/>
  <c r="B178"/>
  <c r="E178" s="1"/>
  <c r="B159"/>
  <c r="E159" s="1"/>
  <c r="B211"/>
  <c r="E211" s="1"/>
  <c r="B61"/>
  <c r="E61" s="1"/>
  <c r="B216"/>
  <c r="E216" s="1"/>
  <c r="B219"/>
  <c r="E219" s="1"/>
  <c r="B229"/>
  <c r="E229" s="1"/>
  <c r="B74"/>
  <c r="E74" s="1"/>
  <c r="B130"/>
  <c r="E130" s="1"/>
  <c r="B151"/>
  <c r="E151" s="1"/>
  <c r="B259"/>
  <c r="E259" s="1"/>
  <c r="B184"/>
  <c r="E184" s="1"/>
  <c r="B76"/>
  <c r="E76" s="1"/>
  <c r="B29"/>
  <c r="E29" s="1"/>
  <c r="B26"/>
  <c r="E26" s="1"/>
  <c r="B179"/>
  <c r="E179" s="1"/>
  <c r="B176"/>
  <c r="E176" s="1"/>
  <c r="B206"/>
  <c r="E206" s="1"/>
  <c r="B185"/>
  <c r="E185" s="1"/>
  <c r="B244"/>
  <c r="E244" s="1"/>
  <c r="B117"/>
  <c r="E117" s="1"/>
  <c r="B82"/>
  <c r="E82" s="1"/>
  <c r="B230"/>
  <c r="E230" s="1"/>
  <c r="B231"/>
  <c r="E231" s="1"/>
  <c r="B114"/>
  <c r="E114" s="1"/>
  <c r="B212"/>
  <c r="E212" s="1"/>
  <c r="B163"/>
  <c r="E163" s="1"/>
  <c r="B103"/>
  <c r="E103" s="1"/>
  <c r="B58"/>
  <c r="E58" s="1"/>
  <c r="B93"/>
  <c r="E93" s="1"/>
  <c r="B221"/>
  <c r="E221" s="1"/>
  <c r="B96"/>
  <c r="E96" s="1"/>
  <c r="B251"/>
  <c r="E251" s="1"/>
  <c r="B139"/>
  <c r="E139" s="1"/>
  <c r="B54"/>
  <c r="E54" s="1"/>
  <c r="B234"/>
  <c r="E234" s="1"/>
  <c r="B12"/>
  <c r="B177"/>
  <c r="E177" s="1"/>
  <c r="B46"/>
  <c r="E46" s="1"/>
  <c r="B144"/>
  <c r="E144" s="1"/>
  <c r="B28"/>
  <c r="E28" s="1"/>
  <c r="B194"/>
  <c r="E194" s="1"/>
  <c r="B140"/>
  <c r="E140" s="1"/>
  <c r="B75"/>
  <c r="E75" s="1"/>
  <c r="B223"/>
  <c r="E223" s="1"/>
  <c r="B196"/>
  <c r="E196" s="1"/>
  <c r="B242"/>
  <c r="E242" s="1"/>
  <c r="B32"/>
  <c r="E32" s="1"/>
  <c r="B106"/>
  <c r="E106" s="1"/>
  <c r="B24"/>
  <c r="E24" s="1"/>
  <c r="B201"/>
  <c r="E201" s="1"/>
  <c r="B135"/>
  <c r="E135" s="1"/>
  <c r="B80"/>
  <c r="E80" s="1"/>
  <c r="B70"/>
  <c r="E70" s="1"/>
  <c r="B204"/>
  <c r="E204" s="1"/>
  <c r="B116"/>
  <c r="E116" s="1"/>
  <c r="B128"/>
  <c r="E128" s="1"/>
  <c r="B188"/>
  <c r="E188" s="1"/>
  <c r="B145"/>
  <c r="E145" s="1"/>
  <c r="B228"/>
  <c r="E228" s="1"/>
  <c r="B65"/>
  <c r="E65" s="1"/>
  <c r="B126"/>
  <c r="E126" s="1"/>
  <c r="B253"/>
  <c r="E253" s="1"/>
  <c r="B202"/>
  <c r="E202" s="1"/>
  <c r="B248"/>
  <c r="E248" s="1"/>
  <c r="B121"/>
  <c r="E121" s="1"/>
  <c r="B165"/>
  <c r="E165" s="1"/>
  <c r="B200"/>
  <c r="E200" s="1"/>
  <c r="B164"/>
  <c r="E164" s="1"/>
  <c r="B203"/>
  <c r="E203" s="1"/>
  <c r="B210"/>
  <c r="E210" s="1"/>
  <c r="B5" i="9"/>
  <c r="E9" s="1"/>
  <c r="B6" i="108"/>
  <c r="E8" s="1"/>
  <c r="B4" i="94"/>
  <c r="B9" s="1"/>
  <c r="B5"/>
  <c r="E9" s="1"/>
  <c r="B3" i="141"/>
  <c r="B4" i="87"/>
  <c r="B9" s="1"/>
  <c r="B6" i="90"/>
  <c r="E8" s="1"/>
  <c r="B5" i="91"/>
  <c r="E9" s="1"/>
  <c r="B4" i="8"/>
  <c r="B9" s="1"/>
  <c r="B39" i="15" s="1"/>
  <c r="B5" i="108"/>
  <c r="E9" s="1"/>
  <c r="B3" i="134"/>
  <c r="B4" i="97"/>
  <c r="B9" s="1"/>
  <c r="B3" i="6"/>
  <c r="B3" i="137"/>
  <c r="B3" i="98"/>
  <c r="B6" i="4"/>
  <c r="E8" s="1"/>
  <c r="B3" i="135"/>
  <c r="B5" i="85"/>
  <c r="E9" s="1"/>
  <c r="B4" i="141"/>
  <c r="B9" s="1"/>
  <c r="B285" i="15" s="1"/>
  <c r="B3" i="150"/>
  <c r="B6" i="9"/>
  <c r="E8" s="1"/>
  <c r="B5" i="150"/>
  <c r="E9" s="1"/>
  <c r="B6" i="102"/>
  <c r="E8" s="1"/>
  <c r="B6" i="107"/>
  <c r="E8" s="1"/>
  <c r="C3" i="48"/>
  <c r="B6" i="148"/>
  <c r="E8" s="1"/>
  <c r="B6" i="138"/>
  <c r="E8" s="1"/>
  <c r="B6" i="153"/>
  <c r="E8" s="1"/>
  <c r="B4" i="143"/>
  <c r="B9" s="1"/>
  <c r="B297" i="15" s="1"/>
  <c r="B3" i="108"/>
  <c r="B6" i="91"/>
  <c r="E8" s="1"/>
  <c r="B4" i="89"/>
  <c r="B9" s="1"/>
  <c r="B3" i="136"/>
  <c r="B3" i="9"/>
  <c r="B4" i="98"/>
  <c r="B9" s="1"/>
  <c r="B117" i="15" s="1"/>
  <c r="B5" i="8"/>
  <c r="E9" s="1"/>
  <c r="B6" i="89"/>
  <c r="E8" s="1"/>
  <c r="B4" i="7"/>
  <c r="B9" s="1"/>
  <c r="B33" i="15" s="1"/>
  <c r="B5" i="133"/>
  <c r="E9" s="1"/>
  <c r="B3" i="1"/>
  <c r="B4" i="142"/>
  <c r="B9" s="1"/>
  <c r="B291" i="15" s="1"/>
  <c r="B6" i="130"/>
  <c r="E8" s="1"/>
  <c r="C8" i="84"/>
  <c r="B4" i="148"/>
  <c r="B9" s="1"/>
  <c r="B327" i="15" s="1"/>
  <c r="B4" i="153"/>
  <c r="B9" s="1"/>
  <c r="B357" i="15" s="1"/>
  <c r="B6" i="100"/>
  <c r="E8" s="1"/>
  <c r="B5" i="89"/>
  <c r="E9" s="1"/>
  <c r="B6" i="127"/>
  <c r="E8" s="1"/>
  <c r="B6" i="97"/>
  <c r="E8" s="1"/>
  <c r="B6" i="146"/>
  <c r="E8" s="1"/>
  <c r="B5" i="144"/>
  <c r="E9" s="1"/>
  <c r="B5" i="142"/>
  <c r="E9" s="1"/>
  <c r="B4" i="106"/>
  <c r="B9" s="1"/>
  <c r="B6" i="96"/>
  <c r="E8" s="1"/>
  <c r="B4" i="1"/>
  <c r="B9" s="1"/>
  <c r="B4" i="131"/>
  <c r="B9" s="1"/>
  <c r="B4" i="157"/>
  <c r="B9" s="1"/>
  <c r="B381" i="15" s="1"/>
  <c r="B5" i="5"/>
  <c r="E9" s="1"/>
  <c r="B6" i="143"/>
  <c r="E8" s="1"/>
  <c r="B5" i="104"/>
  <c r="E9" s="1"/>
  <c r="B4" i="135"/>
  <c r="B9" s="1"/>
  <c r="B249" i="15" s="1"/>
  <c r="B3" i="133"/>
  <c r="B4" i="86"/>
  <c r="B9" s="1"/>
  <c r="B5" i="105"/>
  <c r="E9" s="1"/>
  <c r="B5" i="92"/>
  <c r="E9" s="1"/>
  <c r="B6" i="158"/>
  <c r="E8" s="1"/>
  <c r="B4" i="128"/>
  <c r="B9" s="1"/>
  <c r="B207" i="15" s="1"/>
  <c r="B6" i="156"/>
  <c r="E8" s="1"/>
  <c r="B4" i="99"/>
  <c r="B9" s="1"/>
  <c r="B111" i="15" s="1"/>
  <c r="B5" i="107"/>
  <c r="E9" s="1"/>
  <c r="B6" i="147"/>
  <c r="E8" s="1"/>
  <c r="B4" i="100"/>
  <c r="B9" s="1"/>
  <c r="B4" i="150"/>
  <c r="B9" s="1"/>
  <c r="B339" i="15" s="1"/>
  <c r="B6" i="132"/>
  <c r="E8" s="1"/>
  <c r="B5" i="134"/>
  <c r="E9" s="1"/>
  <c r="B4"/>
  <c r="B9" s="1"/>
  <c r="B243" i="15" s="1"/>
  <c r="B5" i="103"/>
  <c r="E9" s="1"/>
  <c r="B3" i="140"/>
  <c r="B5" i="156"/>
  <c r="E9" s="1"/>
  <c r="B4" i="146"/>
  <c r="B9" s="1"/>
  <c r="B315" i="15" s="1"/>
  <c r="B6" i="99"/>
  <c r="E8" s="1"/>
  <c r="B3" i="147"/>
  <c r="B6" i="95"/>
  <c r="E8" s="1"/>
  <c r="B3" i="127"/>
  <c r="B6" i="6"/>
  <c r="E8" s="1"/>
  <c r="B6" i="86"/>
  <c r="E8" s="1"/>
  <c r="B5" i="96"/>
  <c r="E9" s="1"/>
  <c r="B6" i="134"/>
  <c r="E8" s="1"/>
  <c r="B4" i="133"/>
  <c r="B9" s="1"/>
  <c r="B5" i="129"/>
  <c r="E9" s="1"/>
  <c r="B5" i="151"/>
  <c r="E9" s="1"/>
  <c r="B3" i="86"/>
  <c r="B3" i="87"/>
  <c r="B5" i="143"/>
  <c r="E9" s="1"/>
  <c r="B6" i="145"/>
  <c r="E8" s="1"/>
  <c r="B6" i="135"/>
  <c r="E8" s="1"/>
  <c r="B3" i="145"/>
  <c r="B3" i="92"/>
  <c r="B3" i="156"/>
  <c r="B5" i="136"/>
  <c r="E9" s="1"/>
  <c r="B3" i="101"/>
  <c r="B4" i="104"/>
  <c r="B9" s="1"/>
  <c r="B81" i="15" s="1"/>
  <c r="B3" i="153"/>
  <c r="B4" i="144"/>
  <c r="B9" s="1"/>
  <c r="B303" i="15" s="1"/>
  <c r="B6" i="141"/>
  <c r="E8" s="1"/>
  <c r="B3" i="152"/>
  <c r="B5" i="88"/>
  <c r="E9" s="1"/>
  <c r="B6" i="92"/>
  <c r="E8" s="1"/>
  <c r="B4" i="9"/>
  <c r="B9" s="1"/>
  <c r="B45" i="15" s="1"/>
  <c r="C9" i="124"/>
  <c r="B4" i="145"/>
  <c r="B9" s="1"/>
  <c r="B309" i="15" s="1"/>
  <c r="B3" i="154"/>
  <c r="B6" i="85"/>
  <c r="E8" s="1"/>
  <c r="B3" i="142"/>
  <c r="B4" i="158"/>
  <c r="B9" s="1"/>
  <c r="B387" i="15" s="1"/>
  <c r="B3" i="129"/>
  <c r="B6" i="144"/>
  <c r="E8" s="1"/>
  <c r="B6" i="10"/>
  <c r="E8" s="1"/>
  <c r="B3" i="103"/>
  <c r="B6" i="106"/>
  <c r="E8" s="1"/>
  <c r="B5" i="90"/>
  <c r="E9" s="1"/>
  <c r="B4" i="147"/>
  <c r="B9" s="1"/>
  <c r="B321" i="15" s="1"/>
  <c r="B5" i="148"/>
  <c r="E9" s="1"/>
  <c r="C5" i="124"/>
  <c r="B4" i="139"/>
  <c r="B9" s="1"/>
  <c r="B273" i="15" s="1"/>
  <c r="B6" i="150"/>
  <c r="E8" s="1"/>
  <c r="B4" i="96"/>
  <c r="B9" s="1"/>
  <c r="B5" i="140"/>
  <c r="E9" s="1"/>
  <c r="B6" i="128"/>
  <c r="E8" s="1"/>
  <c r="B6" i="131"/>
  <c r="E8" s="1"/>
  <c r="B5"/>
  <c r="E9" s="1"/>
  <c r="B4" i="152"/>
  <c r="B9" s="1"/>
  <c r="B351" i="15" s="1"/>
  <c r="B5" i="1"/>
  <c r="E9" s="1"/>
  <c r="B5" i="155"/>
  <c r="E9" s="1"/>
  <c r="B4" i="127"/>
  <c r="B9" s="1"/>
  <c r="B3" i="5"/>
  <c r="B6" i="93"/>
  <c r="E8" s="1"/>
  <c r="B3" i="149"/>
  <c r="B6" i="137"/>
  <c r="E8" s="1"/>
  <c r="B3" i="106"/>
  <c r="B4" i="156"/>
  <c r="B9" s="1"/>
  <c r="B375" i="15" s="1"/>
  <c r="B6" i="101"/>
  <c r="E8" s="1"/>
  <c r="B3" i="143"/>
  <c r="B6" i="1"/>
  <c r="E8" s="1"/>
  <c r="B3" i="90"/>
  <c r="B5" i="127"/>
  <c r="E9" s="1"/>
  <c r="B5" i="100"/>
  <c r="E9" s="1"/>
  <c r="B4" i="107"/>
  <c r="B9" s="1"/>
  <c r="B63" i="15" s="1"/>
  <c r="B5" i="141"/>
  <c r="E9" s="1"/>
  <c r="B6" i="157"/>
  <c r="E8" s="1"/>
  <c r="B6" i="139"/>
  <c r="E8" s="1"/>
  <c r="B5" i="157"/>
  <c r="E9" s="1"/>
  <c r="B4" i="105"/>
  <c r="B9" s="1"/>
  <c r="B75" i="15" s="1"/>
  <c r="B5" i="99"/>
  <c r="E9" s="1"/>
  <c r="B4" i="95"/>
  <c r="B9" s="1"/>
  <c r="B6" i="8"/>
  <c r="E8" s="1"/>
  <c r="B4" i="93"/>
  <c r="B9" s="1"/>
  <c r="B147" i="15" s="1"/>
  <c r="B5" i="86"/>
  <c r="E9" s="1"/>
  <c r="B3" i="157"/>
  <c r="B4" i="108"/>
  <c r="B9" s="1"/>
  <c r="B57" i="15" s="1"/>
  <c r="B6" i="133"/>
  <c r="E8" s="1"/>
  <c r="B4" i="101"/>
  <c r="B9" s="1"/>
  <c r="B6" i="151"/>
  <c r="E8" s="1"/>
  <c r="B5" i="146"/>
  <c r="E9" s="1"/>
  <c r="B4" i="149"/>
  <c r="B9" s="1"/>
  <c r="B333" i="15" s="1"/>
  <c r="B5" i="128"/>
  <c r="E9" s="1"/>
  <c r="B4" i="85"/>
  <c r="B9" s="1"/>
  <c r="B195" i="15" s="1"/>
  <c r="B3" i="128"/>
  <c r="B5" i="149"/>
  <c r="E9" s="1"/>
  <c r="B3" i="96"/>
  <c r="C9" i="84"/>
  <c r="B6" i="155"/>
  <c r="E8" s="1"/>
  <c r="B6" i="98"/>
  <c r="E8" s="1"/>
  <c r="B5" i="158"/>
  <c r="E9" s="1"/>
  <c r="B5" i="145"/>
  <c r="E9" s="1"/>
  <c r="B5" i="132"/>
  <c r="E9" s="1"/>
  <c r="B4" i="5"/>
  <c r="B9" s="1"/>
  <c r="B3" i="91"/>
  <c r="B3" i="130"/>
  <c r="C5" i="84"/>
  <c r="B5" i="137"/>
  <c r="E9" s="1"/>
  <c r="B5" i="6"/>
  <c r="E9" s="1"/>
  <c r="B5" i="101"/>
  <c r="E9" s="1"/>
  <c r="B6" i="94"/>
  <c r="E8" s="1"/>
  <c r="B3" i="102"/>
  <c r="B5" i="153"/>
  <c r="E9" s="1"/>
  <c r="B6" i="154"/>
  <c r="E8" s="1"/>
  <c r="B3" i="100"/>
  <c r="B3" i="7"/>
  <c r="B3" i="155"/>
  <c r="B5" i="93"/>
  <c r="E9" s="1"/>
  <c r="B6" i="5"/>
  <c r="E8" s="1"/>
  <c r="B3" i="95"/>
  <c r="B5" i="98"/>
  <c r="E9" s="1"/>
  <c r="B5" i="4"/>
  <c r="E9" s="1"/>
  <c r="B4" i="130"/>
  <c r="B9" s="1"/>
  <c r="B6" i="129"/>
  <c r="E8" s="1"/>
  <c r="C4" i="124"/>
  <c r="B3" i="148"/>
  <c r="B4" i="91"/>
  <c r="B9" s="1"/>
  <c r="B159" i="15" s="1"/>
  <c r="B5" i="152"/>
  <c r="E9" s="1"/>
  <c r="B3" i="131"/>
  <c r="B5" i="138"/>
  <c r="E9" s="1"/>
  <c r="B4" i="136"/>
  <c r="B9" s="1"/>
  <c r="B6" i="140"/>
  <c r="E8" s="1"/>
  <c r="B5" i="7"/>
  <c r="E9" s="1"/>
  <c r="B3" i="151"/>
  <c r="B3" i="99"/>
  <c r="B6" i="87"/>
  <c r="E8" s="1"/>
  <c r="B6" i="88"/>
  <c r="E8" s="1"/>
  <c r="B6" i="7"/>
  <c r="E8" s="1"/>
  <c r="B3" i="105"/>
  <c r="B4" i="137"/>
  <c r="B9" s="1"/>
  <c r="B5" i="147"/>
  <c r="E9" s="1"/>
  <c r="B4" i="151"/>
  <c r="B9" s="1"/>
  <c r="B345" i="15" s="1"/>
  <c r="B5" i="139"/>
  <c r="E9" s="1"/>
  <c r="B5" i="102"/>
  <c r="E9" s="1"/>
  <c r="B3" i="89"/>
  <c r="B6" i="136"/>
  <c r="E8" s="1"/>
  <c r="B4" i="10"/>
  <c r="B9" s="1"/>
  <c r="C4" i="84"/>
  <c r="B5" i="130"/>
  <c r="E9" s="1"/>
  <c r="B3" i="158"/>
  <c r="B5" i="135"/>
  <c r="E9" s="1"/>
  <c r="B5" i="106"/>
  <c r="E9" s="1"/>
  <c r="B3" i="139"/>
  <c r="B4" i="103"/>
  <c r="B9" s="1"/>
  <c r="B4" i="140"/>
  <c r="B9" s="1"/>
  <c r="B279" i="15" s="1"/>
  <c r="B4" i="4"/>
  <c r="B9" s="1"/>
  <c r="B15" i="15" s="1"/>
  <c r="B4" i="138"/>
  <c r="B9" s="1"/>
  <c r="B267" i="15" s="1"/>
  <c r="B4" i="90"/>
  <c r="B9" s="1"/>
  <c r="B5" i="95"/>
  <c r="E9" s="1"/>
  <c r="B3" i="88"/>
  <c r="B3" i="132"/>
  <c r="B5" i="154"/>
  <c r="E9" s="1"/>
  <c r="B5" i="10"/>
  <c r="E9" s="1"/>
  <c r="B6" i="149"/>
  <c r="E8" s="1"/>
  <c r="B4" i="154"/>
  <c r="B9" s="1"/>
  <c r="B363" i="15" s="1"/>
  <c r="B4" i="132"/>
  <c r="B9" s="1"/>
  <c r="B231" i="15" s="1"/>
  <c r="B3" i="97"/>
  <c r="B6" i="152"/>
  <c r="E8" s="1"/>
  <c r="B6" i="142"/>
  <c r="E8" s="1"/>
  <c r="B4" i="6"/>
  <c r="B9" s="1"/>
  <c r="B3" i="138"/>
  <c r="B3" i="94"/>
  <c r="B3" i="4"/>
  <c r="B4" i="155"/>
  <c r="B9" s="1"/>
  <c r="B369" i="15" s="1"/>
  <c r="B3" i="10"/>
  <c r="B5" i="97"/>
  <c r="E9" s="1"/>
  <c r="B6" i="103"/>
  <c r="E8" s="1"/>
  <c r="B5" i="87"/>
  <c r="E9" s="1"/>
  <c r="B3" i="93"/>
  <c r="B3" i="107"/>
  <c r="B4" i="92"/>
  <c r="B9" s="1"/>
  <c r="C8" i="124"/>
  <c r="B6" i="104"/>
  <c r="E8" s="1"/>
  <c r="B4" i="88"/>
  <c r="B9" s="1"/>
  <c r="B3" i="85"/>
  <c r="B3" i="146"/>
  <c r="B6" i="105"/>
  <c r="E8" s="1"/>
  <c r="B3" i="104"/>
  <c r="B4" i="102"/>
  <c r="B9" s="1"/>
  <c r="B3" i="144"/>
  <c r="B4" i="129"/>
  <c r="B9" s="1"/>
  <c r="B213" i="15" s="1"/>
  <c r="B3" i="8"/>
  <c r="BT54" i="115"/>
  <c r="BU54"/>
  <c r="BU38"/>
  <c r="BU53"/>
  <c r="BT53"/>
  <c r="BT59"/>
  <c r="BU59"/>
  <c r="BU35"/>
  <c r="BT58"/>
  <c r="BU58"/>
  <c r="BU42"/>
  <c r="BU44"/>
  <c r="BU31"/>
  <c r="BU34"/>
  <c r="BT61"/>
  <c r="BU61"/>
  <c r="BU46"/>
  <c r="BT63"/>
  <c r="BU63"/>
  <c r="BT60"/>
  <c r="BU60"/>
  <c r="BT64"/>
  <c r="BU64"/>
  <c r="BU43"/>
  <c r="BT50"/>
  <c r="BU50"/>
  <c r="BT52"/>
  <c r="BU52"/>
  <c r="BT56"/>
  <c r="BU56"/>
  <c r="BU28"/>
  <c r="BU37"/>
  <c r="BT57"/>
  <c r="BU57"/>
  <c r="BU33"/>
  <c r="BT65"/>
  <c r="BU65"/>
  <c r="BU62"/>
  <c r="BT62"/>
  <c r="BJ9"/>
  <c r="I54" i="109" s="1"/>
  <c r="AU9" i="115" s="1"/>
  <c r="E28" i="110" s="1"/>
  <c r="BX9" i="115"/>
  <c r="BH9"/>
  <c r="E52" i="109" s="1"/>
  <c r="CA9" i="115"/>
  <c r="BW9"/>
  <c r="BL9"/>
  <c r="M58" i="109" s="1"/>
  <c r="AW9" i="115" s="1"/>
  <c r="I30" i="110" s="1"/>
  <c r="AJ9" i="115" s="1"/>
  <c r="E16" i="119" s="1"/>
  <c r="BY9" i="115"/>
  <c r="S9"/>
  <c r="I9" s="1"/>
  <c r="B8" i="116" s="1"/>
  <c r="F8" s="1"/>
  <c r="C8" s="1"/>
  <c r="BZ9" i="115"/>
  <c r="BV9"/>
  <c r="BJ15"/>
  <c r="I30" i="109" s="1"/>
  <c r="AU15" i="115" s="1"/>
  <c r="E16" i="110" s="1"/>
  <c r="BW15" i="115"/>
  <c r="AE15"/>
  <c r="I15" s="1"/>
  <c r="B14" i="116" s="1"/>
  <c r="F14" s="1"/>
  <c r="C14" s="1"/>
  <c r="BH15" i="115"/>
  <c r="E28" i="109" s="1"/>
  <c r="BY15" i="115"/>
  <c r="BW24"/>
  <c r="BU6"/>
  <c r="BV24"/>
  <c r="BH24"/>
  <c r="E45" i="109" s="1"/>
  <c r="BU26" i="115"/>
  <c r="BW30"/>
  <c r="BH30"/>
  <c r="E21" i="109" s="1"/>
  <c r="BU12" i="115"/>
  <c r="BU23"/>
  <c r="BJ18"/>
  <c r="I7" i="109" s="1"/>
  <c r="AU18" i="115" s="1"/>
  <c r="E5" i="110" s="1"/>
  <c r="AE18" i="115"/>
  <c r="I18" s="1"/>
  <c r="B17" i="116" s="1"/>
  <c r="F17" s="1"/>
  <c r="C17" s="1"/>
  <c r="BH18" i="115"/>
  <c r="E9" i="109" s="1"/>
  <c r="BY18" i="115"/>
  <c r="BW18"/>
  <c r="BU25"/>
  <c r="BJ13"/>
  <c r="I46" i="109" s="1"/>
  <c r="AU13" i="115" s="1"/>
  <c r="E24" i="110" s="1"/>
  <c r="BY13" i="115"/>
  <c r="BW13"/>
  <c r="BV13"/>
  <c r="AE13"/>
  <c r="I13" s="1"/>
  <c r="B12" i="116" s="1"/>
  <c r="F12" s="1"/>
  <c r="C12" s="1"/>
  <c r="BH13" i="115"/>
  <c r="E44" i="109" s="1"/>
  <c r="BX13" i="115"/>
  <c r="C142"/>
  <c r="C35"/>
  <c r="A12" i="159" s="1"/>
  <c r="C224" i="115"/>
  <c r="C13"/>
  <c r="A13" i="56" s="1"/>
  <c r="C80" i="115"/>
  <c r="C190"/>
  <c r="B189"/>
  <c r="B212"/>
  <c r="B233"/>
  <c r="C100"/>
  <c r="B160"/>
  <c r="C113"/>
  <c r="B97"/>
  <c r="B129"/>
  <c r="C230"/>
  <c r="B243"/>
  <c r="C182"/>
  <c r="C123"/>
  <c r="B120"/>
  <c r="C103"/>
  <c r="C85"/>
  <c r="B157"/>
  <c r="B145"/>
  <c r="C14"/>
  <c r="A97" i="159" s="1"/>
  <c r="B136" i="115"/>
  <c r="B134"/>
  <c r="B235"/>
  <c r="C238"/>
  <c r="B231"/>
  <c r="B153"/>
  <c r="C177"/>
  <c r="B154"/>
  <c r="C126"/>
  <c r="C181"/>
  <c r="C77"/>
  <c r="C246"/>
  <c r="C43"/>
  <c r="B121"/>
  <c r="B106"/>
  <c r="C56"/>
  <c r="C37"/>
  <c r="B119"/>
  <c r="B238"/>
  <c r="C74"/>
  <c r="C151"/>
  <c r="C139"/>
  <c r="C209"/>
  <c r="C144"/>
  <c r="B130"/>
  <c r="C183"/>
  <c r="C184"/>
  <c r="C202"/>
  <c r="B181"/>
  <c r="C200"/>
  <c r="C133"/>
  <c r="B125"/>
  <c r="C125"/>
  <c r="C51"/>
  <c r="A16" i="120" s="1"/>
  <c r="C166" i="115"/>
  <c r="B215"/>
  <c r="B182"/>
  <c r="C29"/>
  <c r="C194"/>
  <c r="C195"/>
  <c r="C91"/>
  <c r="B188"/>
  <c r="C240"/>
  <c r="B141"/>
  <c r="C221"/>
  <c r="C220"/>
  <c r="C25"/>
  <c r="B162"/>
  <c r="C5"/>
  <c r="C82"/>
  <c r="C172"/>
  <c r="B197"/>
  <c r="C94"/>
  <c r="C60"/>
  <c r="A201" i="159" s="1"/>
  <c r="C10" i="115"/>
  <c r="C131"/>
  <c r="C107"/>
  <c r="C241"/>
  <c r="B173"/>
  <c r="B225"/>
  <c r="C32"/>
  <c r="C223"/>
  <c r="B171"/>
  <c r="C130"/>
  <c r="C93"/>
  <c r="B180"/>
  <c r="B100"/>
  <c r="B255"/>
  <c r="C165"/>
  <c r="B132"/>
  <c r="B93"/>
  <c r="B147"/>
  <c r="C175"/>
  <c r="C57"/>
  <c r="A220" i="159" s="1"/>
  <c r="B258" i="115"/>
  <c r="C213"/>
  <c r="B210"/>
  <c r="B139"/>
  <c r="C132"/>
  <c r="C179"/>
  <c r="B123"/>
  <c r="C154"/>
  <c r="C247"/>
  <c r="B138"/>
  <c r="C53"/>
  <c r="C201"/>
  <c r="B202"/>
  <c r="B144"/>
  <c r="C27"/>
  <c r="B251"/>
  <c r="B193"/>
  <c r="B114"/>
  <c r="C6"/>
  <c r="B239"/>
  <c r="C193"/>
  <c r="C127"/>
  <c r="B109"/>
  <c r="C61"/>
  <c r="A188" i="159" s="1"/>
  <c r="B127" i="115"/>
  <c r="B176"/>
  <c r="C192"/>
  <c r="C191"/>
  <c r="C163"/>
  <c r="C117"/>
  <c r="C237"/>
  <c r="C158"/>
  <c r="C215"/>
  <c r="C26"/>
  <c r="A49" i="159" s="1"/>
  <c r="C257" i="115"/>
  <c r="B128"/>
  <c r="C198"/>
  <c r="C20"/>
  <c r="A121" i="120" s="1"/>
  <c r="C109" i="115"/>
  <c r="C160"/>
  <c r="C214"/>
  <c r="B166"/>
  <c r="C95"/>
  <c r="C170"/>
  <c r="C24"/>
  <c r="C90"/>
  <c r="B229"/>
  <c r="C210"/>
  <c r="B91"/>
  <c r="B220"/>
  <c r="C78"/>
  <c r="C18"/>
  <c r="A4" i="56" s="1"/>
  <c r="B126" i="115"/>
  <c r="C250"/>
  <c r="C48"/>
  <c r="B192"/>
  <c r="C208"/>
  <c r="C153"/>
  <c r="C233"/>
  <c r="B224"/>
  <c r="C39"/>
  <c r="B184"/>
  <c r="C187"/>
  <c r="C168"/>
  <c r="C188"/>
  <c r="C176"/>
  <c r="C84"/>
  <c r="C92"/>
  <c r="C164"/>
  <c r="C45"/>
  <c r="A88" i="120" s="1"/>
  <c r="C186" i="115"/>
  <c r="C203"/>
  <c r="C73"/>
  <c r="C69"/>
  <c r="C120"/>
  <c r="C111"/>
  <c r="C36"/>
  <c r="B169"/>
  <c r="B135"/>
  <c r="C38"/>
  <c r="A61" i="120" s="1"/>
  <c r="B257" i="115"/>
  <c r="C234"/>
  <c r="C22"/>
  <c r="B246"/>
  <c r="C102"/>
  <c r="C66"/>
  <c r="A9" i="159" s="1"/>
  <c r="B206" i="115"/>
  <c r="B232"/>
  <c r="B183"/>
  <c r="B218"/>
  <c r="B165"/>
  <c r="B191"/>
  <c r="B89"/>
  <c r="C219"/>
  <c r="C47"/>
  <c r="B124"/>
  <c r="B122"/>
  <c r="B137"/>
  <c r="B94"/>
  <c r="C253"/>
  <c r="C59"/>
  <c r="C135"/>
  <c r="B102"/>
  <c r="C63"/>
  <c r="A124" i="159" s="1"/>
  <c r="B201" i="115"/>
  <c r="C152"/>
  <c r="C89"/>
  <c r="B113"/>
  <c r="C243"/>
  <c r="C249"/>
  <c r="B111"/>
  <c r="B219"/>
  <c r="C105"/>
  <c r="C141"/>
  <c r="B179"/>
  <c r="C216"/>
  <c r="B164"/>
  <c r="B95"/>
  <c r="B156"/>
  <c r="B104"/>
  <c r="C31"/>
  <c r="C9"/>
  <c r="C75"/>
  <c r="C180"/>
  <c r="C50"/>
  <c r="A25" i="159" s="1"/>
  <c r="B203" i="115"/>
  <c r="B234"/>
  <c r="C121"/>
  <c r="C251"/>
  <c r="C64"/>
  <c r="C256"/>
  <c r="C242"/>
  <c r="C252"/>
  <c r="C171"/>
  <c r="C248"/>
  <c r="B204"/>
  <c r="B223"/>
  <c r="B143"/>
  <c r="B209"/>
  <c r="C244"/>
  <c r="B256"/>
  <c r="C49"/>
  <c r="C34"/>
  <c r="A5" i="109" s="1"/>
  <c r="B110" i="115"/>
  <c r="B170"/>
  <c r="C21"/>
  <c r="C245"/>
  <c r="C71"/>
  <c r="B214"/>
  <c r="B108"/>
  <c r="B167"/>
  <c r="B211"/>
  <c r="C155"/>
  <c r="C87"/>
  <c r="B254"/>
  <c r="C145"/>
  <c r="C140"/>
  <c r="B194"/>
  <c r="C226"/>
  <c r="B131"/>
  <c r="C134"/>
  <c r="C146"/>
  <c r="B221"/>
  <c r="C72"/>
  <c r="C114"/>
  <c r="C143"/>
  <c r="C110"/>
  <c r="C147"/>
  <c r="B207"/>
  <c r="B116"/>
  <c r="B217"/>
  <c r="C207"/>
  <c r="B187"/>
  <c r="B118"/>
  <c r="C23"/>
  <c r="A44" i="120" s="1"/>
  <c r="B242" i="115"/>
  <c r="B151"/>
  <c r="C138"/>
  <c r="C157"/>
  <c r="C156"/>
  <c r="C68"/>
  <c r="C44"/>
  <c r="B168"/>
  <c r="B205"/>
  <c r="C7"/>
  <c r="A12" i="110" s="1"/>
  <c r="C239" i="115"/>
  <c r="C46"/>
  <c r="A45" i="120" s="1"/>
  <c r="C40" i="115"/>
  <c r="B227"/>
  <c r="B150"/>
  <c r="B226"/>
  <c r="B230"/>
  <c r="C12"/>
  <c r="A113" i="120" s="1"/>
  <c r="B105" i="115"/>
  <c r="C222"/>
  <c r="B146"/>
  <c r="C229"/>
  <c r="B103"/>
  <c r="B200"/>
  <c r="C211"/>
  <c r="B213"/>
  <c r="B199"/>
  <c r="C108"/>
  <c r="B248"/>
  <c r="C28"/>
  <c r="A209" i="159" s="1"/>
  <c r="C42" i="115"/>
  <c r="C148"/>
  <c r="C81"/>
  <c r="B140"/>
  <c r="C58"/>
  <c r="B240"/>
  <c r="B241"/>
  <c r="B177"/>
  <c r="B98"/>
  <c r="C217"/>
  <c r="B178"/>
  <c r="C106"/>
  <c r="B101"/>
  <c r="B244"/>
  <c r="C4"/>
  <c r="B236"/>
  <c r="B96"/>
  <c r="B237"/>
  <c r="C41"/>
  <c r="C96"/>
  <c r="C228"/>
  <c r="B115"/>
  <c r="C11"/>
  <c r="B92"/>
  <c r="C79"/>
  <c r="C128"/>
  <c r="C118"/>
  <c r="C101"/>
  <c r="C97"/>
  <c r="B142"/>
  <c r="B252"/>
  <c r="B216"/>
  <c r="B149"/>
  <c r="C3"/>
  <c r="A4" i="159" s="1"/>
  <c r="C112" i="115"/>
  <c r="B112"/>
  <c r="C196"/>
  <c r="C19"/>
  <c r="A8" i="109" s="1"/>
  <c r="C76" i="115"/>
  <c r="C225"/>
  <c r="B245"/>
  <c r="C17"/>
  <c r="A60" i="109" s="1"/>
  <c r="B155" i="115"/>
  <c r="B159"/>
  <c r="B247"/>
  <c r="B174"/>
  <c r="C65"/>
  <c r="C212"/>
  <c r="C236"/>
  <c r="C197"/>
  <c r="C218"/>
  <c r="B107"/>
  <c r="B208"/>
  <c r="C150"/>
  <c r="C173"/>
  <c r="C67"/>
  <c r="C8"/>
  <c r="C162"/>
  <c r="C227"/>
  <c r="C33"/>
  <c r="A244" i="159" s="1"/>
  <c r="C119" i="115"/>
  <c r="C185"/>
  <c r="C98"/>
  <c r="C199"/>
  <c r="C115"/>
  <c r="C205"/>
  <c r="B195"/>
  <c r="B172"/>
  <c r="B175"/>
  <c r="B158"/>
  <c r="C178"/>
  <c r="B190"/>
  <c r="C52"/>
  <c r="C62"/>
  <c r="A73" i="159" s="1"/>
  <c r="C124" i="115"/>
  <c r="C235"/>
  <c r="B186"/>
  <c r="B133"/>
  <c r="C255"/>
  <c r="C137"/>
  <c r="C122"/>
  <c r="C88"/>
  <c r="B253"/>
  <c r="B90"/>
  <c r="B152"/>
  <c r="C99"/>
  <c r="B148"/>
  <c r="C149"/>
  <c r="C116"/>
  <c r="C189"/>
  <c r="C232"/>
  <c r="C15"/>
  <c r="A9" i="56" s="1"/>
  <c r="C206" i="115"/>
  <c r="C204"/>
  <c r="C254"/>
  <c r="C174"/>
  <c r="B198"/>
  <c r="C104"/>
  <c r="C129"/>
  <c r="B249"/>
  <c r="C86"/>
  <c r="C16"/>
  <c r="A21" i="110" s="1"/>
  <c r="B99" i="115"/>
  <c r="B185"/>
  <c r="C231"/>
  <c r="C161"/>
  <c r="B117"/>
  <c r="B222"/>
  <c r="C159"/>
  <c r="C55"/>
  <c r="A92" i="159" s="1"/>
  <c r="C30" i="115"/>
  <c r="C169"/>
  <c r="C258"/>
  <c r="B196"/>
  <c r="B161"/>
  <c r="B250"/>
  <c r="B163"/>
  <c r="C70"/>
  <c r="C167"/>
  <c r="C83"/>
  <c r="C54"/>
  <c r="C136"/>
  <c r="B228"/>
  <c r="BH16"/>
  <c r="E41" i="109" s="1"/>
  <c r="BW16" i="115"/>
  <c r="BJ16"/>
  <c r="I39" i="109" s="1"/>
  <c r="AU16" i="115" s="1"/>
  <c r="E21" i="110" s="1"/>
  <c r="BV16" i="115"/>
  <c r="AE16"/>
  <c r="I16" s="1"/>
  <c r="B15" i="116" s="1"/>
  <c r="F15" s="1"/>
  <c r="C15" s="1"/>
  <c r="BY16" i="115"/>
  <c r="BX16"/>
  <c r="BU15"/>
  <c r="BH33"/>
  <c r="E64" i="109" s="1"/>
  <c r="BU19" i="115"/>
  <c r="BU21"/>
  <c r="CD4"/>
  <c r="BZ4"/>
  <c r="BQ4"/>
  <c r="BW4"/>
  <c r="BL4"/>
  <c r="M59" i="109" s="1"/>
  <c r="AW4" i="115" s="1"/>
  <c r="I31" i="110" s="1"/>
  <c r="AJ4" i="115" s="1"/>
  <c r="E17" i="119" s="1"/>
  <c r="BP4" i="115"/>
  <c r="U35" i="109" s="1"/>
  <c r="BA4" i="115" s="1"/>
  <c r="Q19" i="110" s="1"/>
  <c r="AN4" i="115" s="1"/>
  <c r="M11" i="119" s="1"/>
  <c r="Z4" i="115" s="1"/>
  <c r="I7" i="118" s="1"/>
  <c r="BY4" i="115"/>
  <c r="CA4"/>
  <c r="BX4"/>
  <c r="CB4"/>
  <c r="BJ4"/>
  <c r="I63" i="109" s="1"/>
  <c r="AU4" i="115" s="1"/>
  <c r="E33" i="110" s="1"/>
  <c r="BN4" i="115"/>
  <c r="Q51" i="109" s="1"/>
  <c r="AY4" i="115" s="1"/>
  <c r="M27" i="110" s="1"/>
  <c r="AL4" i="115" s="1"/>
  <c r="I15" i="119" s="1"/>
  <c r="X4" i="115" s="1"/>
  <c r="E9" i="118" s="1"/>
  <c r="BH4" i="115"/>
  <c r="E65" i="109" s="1"/>
  <c r="CE4" i="115"/>
  <c r="CC4"/>
  <c r="CF4"/>
  <c r="BV4"/>
  <c r="BH26"/>
  <c r="E13" i="109" s="1"/>
  <c r="BU8" i="115"/>
  <c r="BW26"/>
  <c r="BH29"/>
  <c r="E48" i="109" s="1"/>
  <c r="BW29" i="115"/>
  <c r="BU11"/>
  <c r="BV29"/>
  <c r="BW10"/>
  <c r="BJ10"/>
  <c r="I15" i="109" s="1"/>
  <c r="AU10" i="115" s="1"/>
  <c r="E9" i="110" s="1"/>
  <c r="BY10" i="115"/>
  <c r="CA10"/>
  <c r="BH10"/>
  <c r="E17" i="109" s="1"/>
  <c r="BL10" i="115"/>
  <c r="M11" i="109" s="1"/>
  <c r="AW10" i="115" s="1"/>
  <c r="I7" i="110" s="1"/>
  <c r="AJ10" i="115" s="1"/>
  <c r="E5" i="119" s="1"/>
  <c r="S10" i="115"/>
  <c r="I10" s="1"/>
  <c r="B9" i="116" s="1"/>
  <c r="F9" s="1"/>
  <c r="C9" s="1"/>
  <c r="CA8" i="115"/>
  <c r="BH8"/>
  <c r="E49" i="109" s="1"/>
  <c r="BY8" i="115"/>
  <c r="BZ8"/>
  <c r="BX8"/>
  <c r="BJ8"/>
  <c r="I47" i="109" s="1"/>
  <c r="AU8" i="115" s="1"/>
  <c r="E25" i="110" s="1"/>
  <c r="BW8" i="115"/>
  <c r="BL8"/>
  <c r="M43" i="109" s="1"/>
  <c r="AW8" i="115" s="1"/>
  <c r="I23" i="110" s="1"/>
  <c r="AJ8" i="115" s="1"/>
  <c r="E13" i="119" s="1"/>
  <c r="BV8" i="115"/>
  <c r="S8"/>
  <c r="I8" s="1"/>
  <c r="B7" i="116" s="1"/>
  <c r="F7" s="1"/>
  <c r="C7" s="1"/>
  <c r="BZ5" i="115"/>
  <c r="BW5"/>
  <c r="BY5"/>
  <c r="BJ5"/>
  <c r="I38" i="109" s="1"/>
  <c r="AU5" i="115" s="1"/>
  <c r="E20" i="110" s="1"/>
  <c r="BN5" i="115"/>
  <c r="Q50" i="109" s="1"/>
  <c r="AY5" i="115" s="1"/>
  <c r="M26" i="110" s="1"/>
  <c r="AL5" i="115" s="1"/>
  <c r="I14" i="119" s="1"/>
  <c r="X5" i="115" s="1"/>
  <c r="E8" i="118" s="1"/>
  <c r="BH5" i="115"/>
  <c r="E36" i="109" s="1"/>
  <c r="BR5" i="115"/>
  <c r="BX5"/>
  <c r="CE5"/>
  <c r="CG5"/>
  <c r="BV5"/>
  <c r="CA5"/>
  <c r="BP5"/>
  <c r="U57" i="109" s="1"/>
  <c r="BA5" i="115" s="1"/>
  <c r="Q33" i="110" s="1"/>
  <c r="AN5" i="115" s="1"/>
  <c r="M21" i="119" s="1"/>
  <c r="Z5" i="115" s="1"/>
  <c r="I17" i="118" s="1"/>
  <c r="CB5" i="115"/>
  <c r="BL5"/>
  <c r="M42" i="109" s="1"/>
  <c r="AW5" i="115" s="1"/>
  <c r="I22" i="110" s="1"/>
  <c r="AJ5" i="115" s="1"/>
  <c r="E12" i="119" s="1"/>
  <c r="CD5" i="115"/>
  <c r="CC5"/>
  <c r="BU5"/>
  <c r="BW23"/>
  <c r="BH23"/>
  <c r="E24" i="109" s="1"/>
  <c r="F67" i="115"/>
  <c r="A67" s="1"/>
  <c r="F163"/>
  <c r="A163" s="1"/>
  <c r="F248"/>
  <c r="A248" s="1"/>
  <c r="F183"/>
  <c r="A183" s="1"/>
  <c r="F209"/>
  <c r="A209" s="1"/>
  <c r="F195"/>
  <c r="A195" s="1"/>
  <c r="F187"/>
  <c r="A187" s="1"/>
  <c r="F166"/>
  <c r="A166" s="1"/>
  <c r="F219"/>
  <c r="A219" s="1"/>
  <c r="F129"/>
  <c r="A129" s="1"/>
  <c r="F179"/>
  <c r="A179" s="1"/>
  <c r="A88" i="159" l="1"/>
  <c r="X56" i="109"/>
  <c r="BD5" i="115" s="1"/>
  <c r="BA6"/>
  <c r="Q32" i="110" s="1"/>
  <c r="X34" i="109"/>
  <c r="BB3" i="115" s="1"/>
  <c r="X35" i="109"/>
  <c r="BB4" i="115" s="1"/>
  <c r="BA3"/>
  <c r="Q18" i="110" s="1"/>
  <c r="E10" i="102"/>
  <c r="B93" i="15"/>
  <c r="B11" i="105"/>
  <c r="D74" i="15"/>
  <c r="K74" s="1"/>
  <c r="B8" i="85"/>
  <c r="B194" i="15" s="1"/>
  <c r="L1" i="85"/>
  <c r="B11" i="104"/>
  <c r="D80" i="15"/>
  <c r="K80" s="1"/>
  <c r="B153"/>
  <c r="E10" i="92"/>
  <c r="B8" i="93"/>
  <c r="B146" i="15" s="1"/>
  <c r="L1" i="93"/>
  <c r="D86" i="15"/>
  <c r="K86" s="1"/>
  <c r="B11" i="103"/>
  <c r="B8" i="10"/>
  <c r="B50" i="15" s="1"/>
  <c r="L1" i="10"/>
  <c r="B8" i="4"/>
  <c r="B14" i="15" s="1"/>
  <c r="L1" i="4"/>
  <c r="B8" i="138"/>
  <c r="B266" i="15" s="1"/>
  <c r="L1" i="138"/>
  <c r="D290" i="15"/>
  <c r="K290" s="1"/>
  <c r="B11" i="142"/>
  <c r="B8" i="97"/>
  <c r="B122" i="15" s="1"/>
  <c r="L1" i="97"/>
  <c r="D51" i="15"/>
  <c r="K51" s="1"/>
  <c r="E11" i="10"/>
  <c r="D53" i="15" s="1"/>
  <c r="K53" s="1"/>
  <c r="B8" i="132"/>
  <c r="B230" i="15" s="1"/>
  <c r="L1" i="132"/>
  <c r="D135" i="15"/>
  <c r="K135" s="1"/>
  <c r="E11" i="95"/>
  <c r="D137" i="15" s="1"/>
  <c r="K137" s="1"/>
  <c r="B8" i="139"/>
  <c r="B272" i="15" s="1"/>
  <c r="L1" i="139"/>
  <c r="E10" i="135"/>
  <c r="D249" i="15"/>
  <c r="K249" s="1"/>
  <c r="E11" i="135"/>
  <c r="D251" i="15" s="1"/>
  <c r="K251" s="1"/>
  <c r="D219"/>
  <c r="K219" s="1"/>
  <c r="E11" i="130"/>
  <c r="B51" i="15"/>
  <c r="E10" i="10"/>
  <c r="B8" i="89"/>
  <c r="B170" i="15" s="1"/>
  <c r="L1" i="89"/>
  <c r="D273" i="15"/>
  <c r="K273" s="1"/>
  <c r="E11" i="139"/>
  <c r="D275" i="15" s="1"/>
  <c r="K275" s="1"/>
  <c r="D321"/>
  <c r="K321" s="1"/>
  <c r="E11" i="147"/>
  <c r="D323" i="15" s="1"/>
  <c r="K323" s="1"/>
  <c r="B8" i="105"/>
  <c r="B74" i="15" s="1"/>
  <c r="L1" i="105"/>
  <c r="D176" i="15"/>
  <c r="K176" s="1"/>
  <c r="B11" i="88"/>
  <c r="B8" i="99"/>
  <c r="B110" i="15" s="1"/>
  <c r="L1" i="99"/>
  <c r="E11" i="7"/>
  <c r="D35" i="15" s="1"/>
  <c r="K35" s="1"/>
  <c r="D33"/>
  <c r="K33" s="1"/>
  <c r="E10" i="7"/>
  <c r="B255" i="15"/>
  <c r="E10" i="136"/>
  <c r="B8" i="131"/>
  <c r="B224" i="15" s="1"/>
  <c r="L1" i="131"/>
  <c r="L1" i="124"/>
  <c r="L2" s="1"/>
  <c r="G12"/>
  <c r="G6"/>
  <c r="B219" i="15"/>
  <c r="E10" i="130"/>
  <c r="D117" i="15"/>
  <c r="K117" s="1"/>
  <c r="E11" i="98"/>
  <c r="D119" i="15" s="1"/>
  <c r="K119" s="1"/>
  <c r="E10" i="98"/>
  <c r="D20" i="15"/>
  <c r="K20" s="1"/>
  <c r="B11" i="5"/>
  <c r="B8" i="155"/>
  <c r="B368" i="15" s="1"/>
  <c r="L1" i="155"/>
  <c r="B8" i="100"/>
  <c r="B104" i="15" s="1"/>
  <c r="L1" i="100"/>
  <c r="D357" i="15"/>
  <c r="K357" s="1"/>
  <c r="E11" i="153"/>
  <c r="D359" i="15" s="1"/>
  <c r="K359" s="1"/>
  <c r="D140"/>
  <c r="K140" s="1"/>
  <c r="B11" i="94"/>
  <c r="D27" i="15"/>
  <c r="K27" s="1"/>
  <c r="E11" i="6"/>
  <c r="D29" i="15" s="1"/>
  <c r="K29" s="1"/>
  <c r="B8" i="91"/>
  <c r="B158" i="15" s="1"/>
  <c r="L1" i="91"/>
  <c r="E10" i="132"/>
  <c r="E11"/>
  <c r="D231" i="15"/>
  <c r="K231" s="1"/>
  <c r="D387"/>
  <c r="K387" s="1"/>
  <c r="E11" i="158"/>
  <c r="D389" i="15" s="1"/>
  <c r="K389" s="1"/>
  <c r="D368"/>
  <c r="K368" s="1"/>
  <c r="B11" i="155"/>
  <c r="B10"/>
  <c r="B370" i="15" s="1"/>
  <c r="B8" i="96"/>
  <c r="B128" i="15" s="1"/>
  <c r="L1" i="96"/>
  <c r="B8" i="128"/>
  <c r="B206" i="15" s="1"/>
  <c r="L1" i="128"/>
  <c r="E11"/>
  <c r="D207" i="15"/>
  <c r="K207" s="1"/>
  <c r="E10" i="128"/>
  <c r="D315" i="15"/>
  <c r="K315" s="1"/>
  <c r="E11" i="146"/>
  <c r="D317" i="15" s="1"/>
  <c r="K317" s="1"/>
  <c r="B99"/>
  <c r="E10" i="101"/>
  <c r="D189" i="15"/>
  <c r="K189" s="1"/>
  <c r="E11" i="86"/>
  <c r="D191" i="15" s="1"/>
  <c r="K191" s="1"/>
  <c r="D38"/>
  <c r="K38" s="1"/>
  <c r="B11" i="8"/>
  <c r="E11" i="99"/>
  <c r="D113" i="15" s="1"/>
  <c r="K113" s="1"/>
  <c r="E10" i="99"/>
  <c r="D111" i="15"/>
  <c r="K111" s="1"/>
  <c r="D381"/>
  <c r="K381" s="1"/>
  <c r="E11" i="157"/>
  <c r="D383" i="15" s="1"/>
  <c r="K383" s="1"/>
  <c r="B11" i="157"/>
  <c r="D380" i="15"/>
  <c r="K380" s="1"/>
  <c r="D201"/>
  <c r="K201" s="1"/>
  <c r="E11" i="127"/>
  <c r="B11" i="1"/>
  <c r="D8" i="15"/>
  <c r="K8" s="1"/>
  <c r="D98"/>
  <c r="K98" s="1"/>
  <c r="B11" i="101"/>
  <c r="B8" i="106"/>
  <c r="B68" i="15" s="1"/>
  <c r="L1" i="106"/>
  <c r="B8" i="149"/>
  <c r="B332" i="15" s="1"/>
  <c r="L1" i="149"/>
  <c r="B8" i="5"/>
  <c r="B20" i="15" s="1"/>
  <c r="L1" i="5"/>
  <c r="D369" i="15"/>
  <c r="K369" s="1"/>
  <c r="E11" i="155"/>
  <c r="D371" i="15" s="1"/>
  <c r="K371" s="1"/>
  <c r="B10" i="131"/>
  <c r="B226" i="15" s="1"/>
  <c r="D224"/>
  <c r="K224" s="1"/>
  <c r="B11" i="131"/>
  <c r="D279" i="15"/>
  <c r="K279" s="1"/>
  <c r="E11" i="140"/>
  <c r="D281" i="15" s="1"/>
  <c r="K281" s="1"/>
  <c r="D338"/>
  <c r="K338" s="1"/>
  <c r="B11" i="150"/>
  <c r="B11" i="106"/>
  <c r="D68" i="15"/>
  <c r="K68" s="1"/>
  <c r="B10" i="106"/>
  <c r="B70" i="15" s="1"/>
  <c r="B10" i="10"/>
  <c r="D50" i="15"/>
  <c r="K50" s="1"/>
  <c r="B11" i="10"/>
  <c r="B8" i="129"/>
  <c r="B212" i="15" s="1"/>
  <c r="L1" i="129"/>
  <c r="B8" i="142"/>
  <c r="B290" i="15" s="1"/>
  <c r="L1" i="142"/>
  <c r="B8" i="154"/>
  <c r="B362" i="15" s="1"/>
  <c r="L1" i="154"/>
  <c r="D152" i="15"/>
  <c r="K152" s="1"/>
  <c r="B11" i="92"/>
  <c r="B8" i="152"/>
  <c r="B350" i="15" s="1"/>
  <c r="L1" i="152"/>
  <c r="D255" i="15"/>
  <c r="K255" s="1"/>
  <c r="E11" i="136"/>
  <c r="B8" i="92"/>
  <c r="B152" i="15" s="1"/>
  <c r="L1" i="92"/>
  <c r="D248" i="15"/>
  <c r="K248" s="1"/>
  <c r="B11" i="135"/>
  <c r="E11" i="143"/>
  <c r="D299" i="15" s="1"/>
  <c r="K299" s="1"/>
  <c r="D297"/>
  <c r="K297" s="1"/>
  <c r="B8" i="86"/>
  <c r="B188" i="15" s="1"/>
  <c r="L1" i="86"/>
  <c r="E10" i="129"/>
  <c r="E11"/>
  <c r="D215" i="15" s="1"/>
  <c r="K215" s="1"/>
  <c r="D213"/>
  <c r="K213" s="1"/>
  <c r="B11" i="134"/>
  <c r="D242" i="15"/>
  <c r="K242" s="1"/>
  <c r="D188"/>
  <c r="K188" s="1"/>
  <c r="B11" i="86"/>
  <c r="B10"/>
  <c r="B8" i="127"/>
  <c r="B200" i="15" s="1"/>
  <c r="L1" i="127"/>
  <c r="B8" i="147"/>
  <c r="B320" i="15" s="1"/>
  <c r="L1" i="147"/>
  <c r="B8" i="140"/>
  <c r="B278" i="15" s="1"/>
  <c r="L1" i="140"/>
  <c r="D230" i="15"/>
  <c r="K230" s="1"/>
  <c r="B11" i="132"/>
  <c r="B10"/>
  <c r="E10" i="100"/>
  <c r="B105" i="15"/>
  <c r="D63"/>
  <c r="K63" s="1"/>
  <c r="E11" i="107"/>
  <c r="D65" i="15" s="1"/>
  <c r="K65" s="1"/>
  <c r="E10" i="107"/>
  <c r="D374" i="15"/>
  <c r="K374" s="1"/>
  <c r="B11" i="156"/>
  <c r="D386" i="15"/>
  <c r="K386" s="1"/>
  <c r="B11" i="158"/>
  <c r="E11" i="105"/>
  <c r="D77" i="15" s="1"/>
  <c r="K77" s="1"/>
  <c r="E10" i="105"/>
  <c r="D75" i="15"/>
  <c r="K75" s="1"/>
  <c r="B8" i="133"/>
  <c r="B236" i="15" s="1"/>
  <c r="L1" i="133"/>
  <c r="D81" i="15"/>
  <c r="K81" s="1"/>
  <c r="E10" i="104"/>
  <c r="E11"/>
  <c r="D83" i="15" s="1"/>
  <c r="K83" s="1"/>
  <c r="D21"/>
  <c r="K21" s="1"/>
  <c r="E11" i="5"/>
  <c r="D23" i="15" s="1"/>
  <c r="K23" s="1"/>
  <c r="E10" i="131"/>
  <c r="B225" i="15"/>
  <c r="B10" i="96"/>
  <c r="B130" i="15" s="1"/>
  <c r="D128"/>
  <c r="K128" s="1"/>
  <c r="B11" i="96"/>
  <c r="D291" i="15"/>
  <c r="K291" s="1"/>
  <c r="E11" i="142"/>
  <c r="D293" i="15" s="1"/>
  <c r="K293" s="1"/>
  <c r="D314"/>
  <c r="K314" s="1"/>
  <c r="B11" i="146"/>
  <c r="B10" i="127"/>
  <c r="D200" i="15"/>
  <c r="K200" s="1"/>
  <c r="B11" i="127"/>
  <c r="D104" i="15"/>
  <c r="K104" s="1"/>
  <c r="B11" i="100"/>
  <c r="B10"/>
  <c r="B106" i="15" s="1"/>
  <c r="D218"/>
  <c r="K218" s="1"/>
  <c r="B11" i="130"/>
  <c r="B8" i="1"/>
  <c r="B8" i="15" s="1"/>
  <c r="L1" i="1"/>
  <c r="E11" i="8"/>
  <c r="D41" i="15" s="1"/>
  <c r="K41" s="1"/>
  <c r="E10" i="8"/>
  <c r="D39" i="15"/>
  <c r="K39" s="1"/>
  <c r="L1" i="9"/>
  <c r="B8"/>
  <c r="B44" i="15" s="1"/>
  <c r="E10" i="89"/>
  <c r="B171" i="15"/>
  <c r="L1" i="108"/>
  <c r="B8"/>
  <c r="B56" i="15" s="1"/>
  <c r="D356"/>
  <c r="K356" s="1"/>
  <c r="B11" i="153"/>
  <c r="D326" i="15"/>
  <c r="K326" s="1"/>
  <c r="B11" i="148"/>
  <c r="B11" i="107"/>
  <c r="D62" i="15"/>
  <c r="K62" s="1"/>
  <c r="D339"/>
  <c r="K339" s="1"/>
  <c r="E11" i="150"/>
  <c r="D341" i="15" s="1"/>
  <c r="K341" s="1"/>
  <c r="B8" i="150"/>
  <c r="B338" i="15" s="1"/>
  <c r="L1" i="150"/>
  <c r="E10" i="85"/>
  <c r="D195" i="15"/>
  <c r="K195" s="1"/>
  <c r="E11" i="85"/>
  <c r="D197" i="15" s="1"/>
  <c r="K197" s="1"/>
  <c r="D14"/>
  <c r="K14" s="1"/>
  <c r="B10" i="4"/>
  <c r="B11"/>
  <c r="B8" i="137"/>
  <c r="B260" i="15" s="1"/>
  <c r="L1" i="137"/>
  <c r="B123" i="15"/>
  <c r="E10" i="97"/>
  <c r="E10" i="108"/>
  <c r="D57" i="15"/>
  <c r="K57" s="1"/>
  <c r="E11" i="108"/>
  <c r="D59" i="15" s="1"/>
  <c r="K59" s="1"/>
  <c r="E11" i="91"/>
  <c r="D161" i="15" s="1"/>
  <c r="K161" s="1"/>
  <c r="D159"/>
  <c r="K159" s="1"/>
  <c r="E10" i="91"/>
  <c r="E10" i="87"/>
  <c r="B183" i="15"/>
  <c r="D141"/>
  <c r="K141" s="1"/>
  <c r="E11" i="94"/>
  <c r="D143" i="15" s="1"/>
  <c r="K143" s="1"/>
  <c r="B11" i="108"/>
  <c r="D56" i="15"/>
  <c r="K56" s="1"/>
  <c r="B10" i="108"/>
  <c r="AK29" i="47"/>
  <c r="I77" i="61"/>
  <c r="E12" i="112"/>
  <c r="I13" i="61"/>
  <c r="AK13" i="47"/>
  <c r="E4" i="112"/>
  <c r="AK139" i="47"/>
  <c r="AK116"/>
  <c r="AK62"/>
  <c r="I413" i="61"/>
  <c r="I169"/>
  <c r="AK98" i="47"/>
  <c r="AK88"/>
  <c r="I345" i="61"/>
  <c r="I309"/>
  <c r="AK94" i="47"/>
  <c r="AK69"/>
  <c r="AK71"/>
  <c r="I321" i="61"/>
  <c r="I425"/>
  <c r="AK104" i="47"/>
  <c r="I461" i="61"/>
  <c r="AK100" i="47"/>
  <c r="I453" i="61"/>
  <c r="I253"/>
  <c r="I273"/>
  <c r="AK117" i="47"/>
  <c r="AK101"/>
  <c r="I237" i="61"/>
  <c r="I429"/>
  <c r="I353"/>
  <c r="AK83" i="47"/>
  <c r="AK74"/>
  <c r="I257" i="61"/>
  <c r="I297"/>
  <c r="AK125" i="47"/>
  <c r="AK44"/>
  <c r="AK90"/>
  <c r="I405" i="61"/>
  <c r="AK134" i="47"/>
  <c r="AK56"/>
  <c r="AK143"/>
  <c r="AK52"/>
  <c r="AK133"/>
  <c r="I65" i="61"/>
  <c r="I293"/>
  <c r="AK113" i="47"/>
  <c r="AK91"/>
  <c r="I277" i="61"/>
  <c r="I337"/>
  <c r="I469"/>
  <c r="AK118" i="47"/>
  <c r="I221" i="61"/>
  <c r="I365"/>
  <c r="AK147" i="47"/>
  <c r="AK85"/>
  <c r="AK78"/>
  <c r="AK26"/>
  <c r="I433" i="61"/>
  <c r="AK79" i="47"/>
  <c r="I493" i="61"/>
  <c r="AK150" i="47"/>
  <c r="AK121"/>
  <c r="I313" i="61"/>
  <c r="I497"/>
  <c r="I361"/>
  <c r="AK84" i="47"/>
  <c r="AK65"/>
  <c r="I325" i="61"/>
  <c r="I245"/>
  <c r="AK153" i="47"/>
  <c r="AK87"/>
  <c r="I301" i="61"/>
  <c r="I445"/>
  <c r="AK144" i="47"/>
  <c r="AK123"/>
  <c r="AK21"/>
  <c r="I209" i="61"/>
  <c r="I377"/>
  <c r="AK111" i="47"/>
  <c r="I185" i="61"/>
  <c r="AK127" i="47"/>
  <c r="I137" i="61"/>
  <c r="AK73" i="47"/>
  <c r="AK96"/>
  <c r="I45" i="61"/>
  <c r="E132" i="112"/>
  <c r="I109" i="61"/>
  <c r="AK37" i="47"/>
  <c r="E16" i="112"/>
  <c r="AK14" i="47"/>
  <c r="I17" i="61"/>
  <c r="E18" i="112"/>
  <c r="AK148" i="47"/>
  <c r="AK152"/>
  <c r="AK146"/>
  <c r="AK142"/>
  <c r="AK151"/>
  <c r="AK140"/>
  <c r="E146" i="112"/>
  <c r="AK145" i="47"/>
  <c r="E17" i="112"/>
  <c r="AI145" i="47" s="1"/>
  <c r="I265" i="61"/>
  <c r="AK76" i="47"/>
  <c r="E5" i="112"/>
  <c r="I369" i="61"/>
  <c r="AK105" i="47"/>
  <c r="AK115"/>
  <c r="AK110"/>
  <c r="I329" i="61"/>
  <c r="I269"/>
  <c r="AK32" i="47"/>
  <c r="AK77"/>
  <c r="I89" i="61"/>
  <c r="AK23" i="47"/>
  <c r="AK102"/>
  <c r="I333" i="61"/>
  <c r="I421"/>
  <c r="I53"/>
  <c r="AK27" i="47"/>
  <c r="AK92"/>
  <c r="I69" i="61"/>
  <c r="I381"/>
  <c r="I401"/>
  <c r="AK93" i="47"/>
  <c r="E67" i="112"/>
  <c r="A52" i="159"/>
  <c r="A29" i="109"/>
  <c r="A9" i="118"/>
  <c r="A124" i="120"/>
  <c r="A65" i="159"/>
  <c r="A33" i="109"/>
  <c r="A72" i="159"/>
  <c r="A208"/>
  <c r="A89"/>
  <c r="A12" i="56"/>
  <c r="A184" i="159"/>
  <c r="A149"/>
  <c r="A69" i="120"/>
  <c r="A160" i="159"/>
  <c r="A252"/>
  <c r="A21" i="109"/>
  <c r="A136" i="159"/>
  <c r="A28" i="110"/>
  <c r="A108" i="120"/>
  <c r="A241" i="159"/>
  <c r="A17" i="119"/>
  <c r="A105" i="120"/>
  <c r="A5" i="110"/>
  <c r="A125" i="159"/>
  <c r="A84" i="120"/>
  <c r="A173" i="159"/>
  <c r="A40" i="120"/>
  <c r="A133" i="159"/>
  <c r="A117"/>
  <c r="A109"/>
  <c r="D69"/>
  <c r="A189"/>
  <c r="D205"/>
  <c r="A237"/>
  <c r="A65" i="120"/>
  <c r="A40" i="109"/>
  <c r="A129" i="120"/>
  <c r="A153" i="159"/>
  <c r="A20"/>
  <c r="A148"/>
  <c r="A181"/>
  <c r="A17" i="56"/>
  <c r="D128" i="159"/>
  <c r="D160"/>
  <c r="D224"/>
  <c r="A44" i="109"/>
  <c r="A60" i="159"/>
  <c r="A29"/>
  <c r="A68"/>
  <c r="A29" i="120"/>
  <c r="A5" i="118"/>
  <c r="A17" i="110"/>
  <c r="A157" i="159"/>
  <c r="A248"/>
  <c r="D37"/>
  <c r="A45" i="109"/>
  <c r="A81" i="120"/>
  <c r="D13" i="159"/>
  <c r="D101"/>
  <c r="A37" i="120"/>
  <c r="A236" i="159"/>
  <c r="A13"/>
  <c r="A213"/>
  <c r="A5" i="119"/>
  <c r="A4" i="120"/>
  <c r="A81" i="159"/>
  <c r="A25" i="109"/>
  <c r="D53" i="159"/>
  <c r="A165"/>
  <c r="A16"/>
  <c r="A104"/>
  <c r="D192"/>
  <c r="A76"/>
  <c r="D141"/>
  <c r="A8"/>
  <c r="A16" i="119"/>
  <c r="A132" i="159"/>
  <c r="A64" i="120"/>
  <c r="A9"/>
  <c r="A93"/>
  <c r="A89"/>
  <c r="A140" i="159"/>
  <c r="A16" i="109"/>
  <c r="A9" i="110"/>
  <c r="A4" i="109"/>
  <c r="D229" i="159"/>
  <c r="D240"/>
  <c r="A128" i="120"/>
  <c r="A25" i="110"/>
  <c r="D245" i="159"/>
  <c r="D176"/>
  <c r="A117" i="120"/>
  <c r="D5" i="159"/>
  <c r="A164"/>
  <c r="A217"/>
  <c r="A17" i="109"/>
  <c r="A73" i="120"/>
  <c r="A13" i="109"/>
  <c r="A212" i="159"/>
  <c r="D117"/>
  <c r="A112"/>
  <c r="A109" i="120"/>
  <c r="A80"/>
  <c r="A56"/>
  <c r="A108" i="159"/>
  <c r="A5" i="56"/>
  <c r="A13" i="110"/>
  <c r="A20"/>
  <c r="A4" i="55"/>
  <c r="A125" i="120"/>
  <c r="D152" i="159"/>
  <c r="A24"/>
  <c r="D165"/>
  <c r="D208"/>
  <c r="A97" i="120"/>
  <c r="D45" i="159"/>
  <c r="A192"/>
  <c r="A52" i="109"/>
  <c r="A96" i="159"/>
  <c r="A240"/>
  <c r="A21" i="120"/>
  <c r="A57" i="159"/>
  <c r="A100" i="120"/>
  <c r="BT49" i="115"/>
  <c r="BU49"/>
  <c r="B8" i="8"/>
  <c r="B38" i="15" s="1"/>
  <c r="L1" i="8"/>
  <c r="B8" i="144"/>
  <c r="B302" i="15" s="1"/>
  <c r="L1" i="144"/>
  <c r="B8" i="104"/>
  <c r="B80" i="15" s="1"/>
  <c r="L1" i="104"/>
  <c r="B8" i="146"/>
  <c r="B314" i="15" s="1"/>
  <c r="L1" i="146"/>
  <c r="E10" i="88"/>
  <c r="B177" i="15"/>
  <c r="G7" i="124"/>
  <c r="G13"/>
  <c r="B8" i="107"/>
  <c r="B62" i="15" s="1"/>
  <c r="L1" i="107"/>
  <c r="E11" i="87"/>
  <c r="D183" i="15"/>
  <c r="K183" s="1"/>
  <c r="D123"/>
  <c r="K123" s="1"/>
  <c r="E11" i="97"/>
  <c r="D125" i="15" s="1"/>
  <c r="K125" s="1"/>
  <c r="B8" i="94"/>
  <c r="B140" i="15" s="1"/>
  <c r="L1" i="94"/>
  <c r="E10" i="6"/>
  <c r="B27" i="15"/>
  <c r="B11" i="152"/>
  <c r="D350" i="15"/>
  <c r="K350" s="1"/>
  <c r="B10" i="152"/>
  <c r="B352" i="15" s="1"/>
  <c r="B10" i="149"/>
  <c r="B334" i="15" s="1"/>
  <c r="D332"/>
  <c r="K332" s="1"/>
  <c r="B11" i="149"/>
  <c r="D363" i="15"/>
  <c r="K363" s="1"/>
  <c r="E11" i="154"/>
  <c r="D365" i="15" s="1"/>
  <c r="K365" s="1"/>
  <c r="B8" i="88"/>
  <c r="B176" i="15" s="1"/>
  <c r="L1" i="88"/>
  <c r="E10" i="90"/>
  <c r="B165" i="15"/>
  <c r="E10" i="103"/>
  <c r="B87" i="15"/>
  <c r="D69"/>
  <c r="K69" s="1"/>
  <c r="E11" i="106"/>
  <c r="D71" i="15" s="1"/>
  <c r="K71" s="1"/>
  <c r="B8" i="158"/>
  <c r="B386" i="15" s="1"/>
  <c r="L1" i="158"/>
  <c r="L1" i="84"/>
  <c r="L2" s="1"/>
  <c r="G6"/>
  <c r="G12"/>
  <c r="D254" i="15"/>
  <c r="K254" s="1"/>
  <c r="B10" i="136"/>
  <c r="E11" i="102"/>
  <c r="D95" i="15" s="1"/>
  <c r="K95" s="1"/>
  <c r="D93"/>
  <c r="K93" s="1"/>
  <c r="B261"/>
  <c r="E10" i="137"/>
  <c r="B11" i="7"/>
  <c r="D32" i="15"/>
  <c r="K32" s="1"/>
  <c r="D182"/>
  <c r="K182" s="1"/>
  <c r="B11" i="87"/>
  <c r="B8" i="151"/>
  <c r="B344" i="15" s="1"/>
  <c r="L1" i="151"/>
  <c r="D278" i="15"/>
  <c r="K278" s="1"/>
  <c r="B11" i="140"/>
  <c r="B10"/>
  <c r="B280" i="15" s="1"/>
  <c r="D267"/>
  <c r="K267" s="1"/>
  <c r="E11" i="138"/>
  <c r="D269" i="15" s="1"/>
  <c r="K269" s="1"/>
  <c r="D351"/>
  <c r="K351" s="1"/>
  <c r="E11" i="152"/>
  <c r="D353" i="15" s="1"/>
  <c r="K353" s="1"/>
  <c r="B8" i="148"/>
  <c r="B326" i="15" s="1"/>
  <c r="L1" i="148"/>
  <c r="D212" i="15"/>
  <c r="K212" s="1"/>
  <c r="B10" i="129"/>
  <c r="B214" i="15" s="1"/>
  <c r="B11" i="129"/>
  <c r="E11" i="4"/>
  <c r="D17" i="15" s="1"/>
  <c r="K17" s="1"/>
  <c r="D15"/>
  <c r="K15" s="1"/>
  <c r="E10" i="4"/>
  <c r="B8" i="95"/>
  <c r="B134" i="15" s="1"/>
  <c r="L1" i="95"/>
  <c r="E11" i="93"/>
  <c r="D149" i="15" s="1"/>
  <c r="K149" s="1"/>
  <c r="E10" i="93"/>
  <c r="D147" i="15"/>
  <c r="K147" s="1"/>
  <c r="B8" i="7"/>
  <c r="B32" i="15" s="1"/>
  <c r="L1" i="7"/>
  <c r="D362" i="15"/>
  <c r="K362" s="1"/>
  <c r="B11" i="154"/>
  <c r="B10"/>
  <c r="B364" i="15" s="1"/>
  <c r="B8" i="102"/>
  <c r="B92" i="15" s="1"/>
  <c r="L1" i="102"/>
  <c r="D99" i="15"/>
  <c r="K99" s="1"/>
  <c r="E11" i="101"/>
  <c r="D101" i="15" s="1"/>
  <c r="K101" s="1"/>
  <c r="D261"/>
  <c r="K261" s="1"/>
  <c r="E11" i="137"/>
  <c r="D263" i="15" s="1"/>
  <c r="K263" s="1"/>
  <c r="B8" i="130"/>
  <c r="B218" i="15" s="1"/>
  <c r="L1" i="130"/>
  <c r="B21" i="15"/>
  <c r="E10" i="5"/>
  <c r="D309" i="15"/>
  <c r="K309" s="1"/>
  <c r="E11" i="145"/>
  <c r="D311" i="15" s="1"/>
  <c r="K311" s="1"/>
  <c r="D116"/>
  <c r="K116" s="1"/>
  <c r="B11" i="98"/>
  <c r="D333" i="15"/>
  <c r="K333" s="1"/>
  <c r="E11" i="149"/>
  <c r="D335" i="15" s="1"/>
  <c r="K335" s="1"/>
  <c r="D344"/>
  <c r="K344" s="1"/>
  <c r="B11" i="151"/>
  <c r="B10"/>
  <c r="B346" i="15" s="1"/>
  <c r="B10" i="133"/>
  <c r="B238" i="15" s="1"/>
  <c r="D236"/>
  <c r="K236" s="1"/>
  <c r="B11" i="133"/>
  <c r="B8" i="157"/>
  <c r="B380" i="15" s="1"/>
  <c r="L1" i="157"/>
  <c r="B135" i="15"/>
  <c r="E10" i="95"/>
  <c r="D272" i="15"/>
  <c r="K272" s="1"/>
  <c r="B10" i="139"/>
  <c r="B274" i="15" s="1"/>
  <c r="B11" i="139"/>
  <c r="E11" i="141"/>
  <c r="D287" i="15" s="1"/>
  <c r="K287" s="1"/>
  <c r="D285"/>
  <c r="K285" s="1"/>
  <c r="E11" i="100"/>
  <c r="D107" i="15" s="1"/>
  <c r="K107" s="1"/>
  <c r="D105"/>
  <c r="K105" s="1"/>
  <c r="B8" i="90"/>
  <c r="B164" i="15" s="1"/>
  <c r="L1" i="90"/>
  <c r="B8" i="143"/>
  <c r="B296" i="15" s="1"/>
  <c r="L1" i="143"/>
  <c r="B10" i="137"/>
  <c r="D260" i="15"/>
  <c r="K260" s="1"/>
  <c r="B11" i="137"/>
  <c r="D146" i="15"/>
  <c r="K146" s="1"/>
  <c r="B11" i="93"/>
  <c r="B10"/>
  <c r="B148" i="15" s="1"/>
  <c r="B201"/>
  <c r="E10" i="127"/>
  <c r="D9" i="15"/>
  <c r="K9" s="1"/>
  <c r="E11" i="1"/>
  <c r="D11" i="15" s="1"/>
  <c r="K11" s="1"/>
  <c r="D225"/>
  <c r="K225" s="1"/>
  <c r="E11" i="131"/>
  <c r="D227" i="15" s="1"/>
  <c r="K227" s="1"/>
  <c r="D206"/>
  <c r="K206" s="1"/>
  <c r="B11" i="128"/>
  <c r="B10"/>
  <c r="B208" i="15" s="1"/>
  <c r="E10" i="96"/>
  <c r="B129" i="15"/>
  <c r="D327"/>
  <c r="K327" s="1"/>
  <c r="E11" i="148"/>
  <c r="D329" i="15" s="1"/>
  <c r="K329" s="1"/>
  <c r="D165"/>
  <c r="K165" s="1"/>
  <c r="E11" i="90"/>
  <c r="D167" i="15" s="1"/>
  <c r="K167" s="1"/>
  <c r="B8" i="103"/>
  <c r="B86" i="15" s="1"/>
  <c r="L1" i="103"/>
  <c r="D302" i="15"/>
  <c r="K302" s="1"/>
  <c r="B11" i="144"/>
  <c r="B10"/>
  <c r="B304" i="15" s="1"/>
  <c r="B11" i="85"/>
  <c r="D194" i="15"/>
  <c r="K194" s="1"/>
  <c r="B10" i="85"/>
  <c r="D177" i="15"/>
  <c r="K177" s="1"/>
  <c r="E11" i="88"/>
  <c r="D179" i="15" s="1"/>
  <c r="K179" s="1"/>
  <c r="D284"/>
  <c r="K284" s="1"/>
  <c r="B11" i="141"/>
  <c r="B8" i="153"/>
  <c r="B356" i="15" s="1"/>
  <c r="L1" i="153"/>
  <c r="B8" i="101"/>
  <c r="B98" i="15" s="1"/>
  <c r="L1" i="101"/>
  <c r="B8" i="156"/>
  <c r="B374" i="15" s="1"/>
  <c r="L1" i="156"/>
  <c r="L1" i="145"/>
  <c r="B8"/>
  <c r="B308" i="15" s="1"/>
  <c r="D308"/>
  <c r="K308" s="1"/>
  <c r="B10" i="145"/>
  <c r="B310" i="15" s="1"/>
  <c r="B11" i="145"/>
  <c r="B8" i="87"/>
  <c r="B182" i="15" s="1"/>
  <c r="L1" i="87"/>
  <c r="D345" i="15"/>
  <c r="K345" s="1"/>
  <c r="E11" i="151"/>
  <c r="D347" i="15" s="1"/>
  <c r="K347" s="1"/>
  <c r="B237"/>
  <c r="E10" i="133"/>
  <c r="D129" i="15"/>
  <c r="K129" s="1"/>
  <c r="E11" i="96"/>
  <c r="D131" i="15" s="1"/>
  <c r="K131" s="1"/>
  <c r="D26"/>
  <c r="K26" s="1"/>
  <c r="B11" i="6"/>
  <c r="B11" i="95"/>
  <c r="B10"/>
  <c r="B136" i="15" s="1"/>
  <c r="D134"/>
  <c r="K134" s="1"/>
  <c r="D110"/>
  <c r="K110" s="1"/>
  <c r="B11" i="99"/>
  <c r="B10"/>
  <c r="B112" i="15" s="1"/>
  <c r="D375"/>
  <c r="K375" s="1"/>
  <c r="E11" i="156"/>
  <c r="D377" i="15" s="1"/>
  <c r="K377" s="1"/>
  <c r="D87"/>
  <c r="K87" s="1"/>
  <c r="E11" i="103"/>
  <c r="D89" i="15" s="1"/>
  <c r="K89" s="1"/>
  <c r="D243"/>
  <c r="K243" s="1"/>
  <c r="E10" i="134"/>
  <c r="E11"/>
  <c r="D320" i="15"/>
  <c r="K320" s="1"/>
  <c r="B11" i="147"/>
  <c r="B10"/>
  <c r="B322" i="15" s="1"/>
  <c r="D153"/>
  <c r="K153" s="1"/>
  <c r="E11" i="92"/>
  <c r="D155" i="15" s="1"/>
  <c r="K155" s="1"/>
  <c r="B189"/>
  <c r="E10" i="86"/>
  <c r="D296" i="15"/>
  <c r="K296" s="1"/>
  <c r="B11" i="143"/>
  <c r="B10"/>
  <c r="B298" i="15" s="1"/>
  <c r="B9"/>
  <c r="E10" i="1"/>
  <c r="E10" i="106"/>
  <c r="B69" i="15"/>
  <c r="D303"/>
  <c r="K303" s="1"/>
  <c r="E11" i="144"/>
  <c r="D305" i="15" s="1"/>
  <c r="K305" s="1"/>
  <c r="B10" i="97"/>
  <c r="D122" i="15"/>
  <c r="K122" s="1"/>
  <c r="B11" i="97"/>
  <c r="D171" i="15"/>
  <c r="K171" s="1"/>
  <c r="E11" i="89"/>
  <c r="D173" i="15" s="1"/>
  <c r="K173" s="1"/>
  <c r="G7" i="84"/>
  <c r="G13"/>
  <c r="E11" i="133"/>
  <c r="D237" i="15"/>
  <c r="K237" s="1"/>
  <c r="D170"/>
  <c r="K170" s="1"/>
  <c r="B11" i="89"/>
  <c r="B10"/>
  <c r="B8" i="136"/>
  <c r="B254" i="15" s="1"/>
  <c r="L1" i="136"/>
  <c r="D158" i="15"/>
  <c r="K158" s="1"/>
  <c r="B11" i="91"/>
  <c r="B10"/>
  <c r="B160" i="15" s="1"/>
  <c r="B10" i="138"/>
  <c r="B268" i="15" s="1"/>
  <c r="D266"/>
  <c r="K266" s="1"/>
  <c r="B11" i="138"/>
  <c r="D92" i="15"/>
  <c r="K92" s="1"/>
  <c r="B11" i="102"/>
  <c r="B10"/>
  <c r="D44" i="15"/>
  <c r="K44" s="1"/>
  <c r="B11" i="9"/>
  <c r="B10"/>
  <c r="B8" i="135"/>
  <c r="B248" i="15" s="1"/>
  <c r="L1" i="135"/>
  <c r="B8" i="98"/>
  <c r="B116" i="15" s="1"/>
  <c r="L1" i="98"/>
  <c r="B8" i="6"/>
  <c r="B26" i="15" s="1"/>
  <c r="L1" i="6"/>
  <c r="B8" i="134"/>
  <c r="B242" i="15" s="1"/>
  <c r="L1" i="134"/>
  <c r="B10" i="90"/>
  <c r="D164" i="15"/>
  <c r="K164" s="1"/>
  <c r="B11" i="90"/>
  <c r="B8" i="141"/>
  <c r="B284" i="15" s="1"/>
  <c r="L1" i="141"/>
  <c r="E10" i="94"/>
  <c r="B141" i="15"/>
  <c r="E10" i="9"/>
  <c r="D45" i="15"/>
  <c r="K45" s="1"/>
  <c r="E11" i="9"/>
  <c r="D47" i="15" s="1"/>
  <c r="K47" s="1"/>
  <c r="I133" i="61"/>
  <c r="AK43" i="47"/>
  <c r="E7" i="112"/>
  <c r="I261" i="61"/>
  <c r="AK75" i="47"/>
  <c r="E11" i="112"/>
  <c r="I417" i="61"/>
  <c r="AK114" i="47"/>
  <c r="E15" i="112"/>
  <c r="AK72" i="47"/>
  <c r="I249" i="61"/>
  <c r="E14" i="112"/>
  <c r="AK61" i="47"/>
  <c r="AK24"/>
  <c r="AK58"/>
  <c r="AK141"/>
  <c r="AK18"/>
  <c r="I441" i="61"/>
  <c r="I385"/>
  <c r="AK120" i="47"/>
  <c r="I389" i="61"/>
  <c r="I205"/>
  <c r="AK11" i="47"/>
  <c r="I33" i="61"/>
  <c r="I125"/>
  <c r="I5"/>
  <c r="AK80" i="47"/>
  <c r="AK86"/>
  <c r="AK16"/>
  <c r="AK41"/>
  <c r="I149" i="61"/>
  <c r="AK47" i="47"/>
  <c r="AK107"/>
  <c r="I281" i="61"/>
  <c r="I305"/>
  <c r="AK40" i="47"/>
  <c r="I121" i="61"/>
  <c r="AK106" i="47"/>
  <c r="AK60"/>
  <c r="I201" i="61"/>
  <c r="I25"/>
  <c r="I193"/>
  <c r="I57"/>
  <c r="E35" i="112"/>
  <c r="I85" i="61"/>
  <c r="I373"/>
  <c r="I145"/>
  <c r="AK108" i="47"/>
  <c r="AK97"/>
  <c r="AK82"/>
  <c r="AK89"/>
  <c r="AK124"/>
  <c r="I409" i="61"/>
  <c r="I357"/>
  <c r="I73"/>
  <c r="I341"/>
  <c r="I289"/>
  <c r="I393"/>
  <c r="AK119" i="47"/>
  <c r="AK149"/>
  <c r="I141" i="61"/>
  <c r="AK137" i="47"/>
  <c r="AK36"/>
  <c r="I225" i="61"/>
  <c r="AK66" i="47"/>
  <c r="I473" i="61"/>
  <c r="AK112" i="47"/>
  <c r="AK103"/>
  <c r="I437" i="61"/>
  <c r="I105"/>
  <c r="I317"/>
  <c r="AK28" i="47"/>
  <c r="AK35"/>
  <c r="I509" i="61"/>
  <c r="I349"/>
  <c r="AK128" i="47"/>
  <c r="I101" i="61"/>
  <c r="I157"/>
  <c r="AK95" i="47"/>
  <c r="AK45"/>
  <c r="AK46"/>
  <c r="I505" i="61"/>
  <c r="AK31" i="47"/>
  <c r="AK49"/>
  <c r="AK99"/>
  <c r="I457" i="61"/>
  <c r="AK136" i="47"/>
  <c r="E89" i="112"/>
  <c r="I37" i="61"/>
  <c r="AK19" i="47"/>
  <c r="E9" i="112"/>
  <c r="I21" i="61"/>
  <c r="AK15" i="47"/>
  <c r="E13" i="112"/>
  <c r="AK55" i="47"/>
  <c r="I181" i="61"/>
  <c r="E10" i="112"/>
  <c r="I9" i="61"/>
  <c r="AK12" i="47"/>
  <c r="E6" i="112"/>
  <c r="AK17" i="47"/>
  <c r="I29" i="61"/>
  <c r="E8" i="112"/>
  <c r="I41" i="61"/>
  <c r="AK20" i="47"/>
  <c r="E19" i="112"/>
  <c r="A25" i="120"/>
  <c r="A33" i="110"/>
  <c r="A104" i="120"/>
  <c r="A113" i="159"/>
  <c r="A257"/>
  <c r="A9" i="119"/>
  <c r="A129" i="159"/>
  <c r="A69"/>
  <c r="D184"/>
  <c r="A80"/>
  <c r="A48" i="120"/>
  <c r="A28" i="159"/>
  <c r="A32"/>
  <c r="A93"/>
  <c r="A48"/>
  <c r="A21"/>
  <c r="A12" i="109"/>
  <c r="D32" i="159"/>
  <c r="A205"/>
  <c r="A44"/>
  <c r="A33" i="120"/>
  <c r="A65" i="109"/>
  <c r="A225" i="159"/>
  <c r="A116" i="120"/>
  <c r="A116" i="159"/>
  <c r="A28" i="120"/>
  <c r="A101"/>
  <c r="D216" i="159"/>
  <c r="A253"/>
  <c r="A36"/>
  <c r="A17"/>
  <c r="A168"/>
  <c r="D96"/>
  <c r="A76" i="120"/>
  <c r="D197" i="159"/>
  <c r="A85"/>
  <c r="A193"/>
  <c r="A56"/>
  <c r="A33"/>
  <c r="A4" i="119"/>
  <c r="A57" i="120"/>
  <c r="A41"/>
  <c r="A17"/>
  <c r="D16" i="159"/>
  <c r="A221"/>
  <c r="A5"/>
  <c r="A169"/>
  <c r="A161"/>
  <c r="A224"/>
  <c r="A229"/>
  <c r="A40"/>
  <c r="A24" i="110"/>
  <c r="A12" i="119"/>
  <c r="A256" i="159"/>
  <c r="A29" i="110"/>
  <c r="A77" i="120"/>
  <c r="A57" i="109"/>
  <c r="A8" i="118"/>
  <c r="A61" i="109"/>
  <c r="A12" i="120"/>
  <c r="A8" i="56"/>
  <c r="A16" i="110"/>
  <c r="A200" i="159"/>
  <c r="D144"/>
  <c r="A8" i="110"/>
  <c r="D248" i="159"/>
  <c r="A32" i="120"/>
  <c r="A13"/>
  <c r="A137" i="159"/>
  <c r="A101"/>
  <c r="A68" i="120"/>
  <c r="D77" i="159"/>
  <c r="A180"/>
  <c r="A56" i="109"/>
  <c r="A204" i="159"/>
  <c r="A172"/>
  <c r="A32" i="110"/>
  <c r="A41" i="109"/>
  <c r="A4" i="118"/>
  <c r="A49" i="120"/>
  <c r="A52"/>
  <c r="D213" i="159"/>
  <c r="A45"/>
  <c r="A24" i="120"/>
  <c r="A37" i="159"/>
  <c r="D112"/>
  <c r="D133"/>
  <c r="D56"/>
  <c r="D120"/>
  <c r="D181"/>
  <c r="D256"/>
  <c r="A141"/>
  <c r="A196"/>
  <c r="A48" i="109"/>
  <c r="A92" i="120"/>
  <c r="A53" i="109"/>
  <c r="A228" i="159"/>
  <c r="A121"/>
  <c r="A177"/>
  <c r="A9" i="109"/>
  <c r="A5" i="55"/>
  <c r="A152" i="159"/>
  <c r="A105"/>
  <c r="A32" i="109"/>
  <c r="A112" i="120"/>
  <c r="D48" i="159"/>
  <c r="A96" i="120"/>
  <c r="A53"/>
  <c r="A85"/>
  <c r="A16" i="56"/>
  <c r="A49" i="109"/>
  <c r="D85" i="159"/>
  <c r="A120"/>
  <c r="A20" i="120"/>
  <c r="A249" i="159"/>
  <c r="A60" i="120"/>
  <c r="A84" i="159"/>
  <c r="A4" i="110"/>
  <c r="A20" i="109"/>
  <c r="A245" i="159"/>
  <c r="A144"/>
  <c r="A232"/>
  <c r="A53"/>
  <c r="A128"/>
  <c r="A64" i="109"/>
  <c r="A197" i="159"/>
  <c r="D64"/>
  <c r="D21"/>
  <c r="A61"/>
  <c r="A233"/>
  <c r="A156"/>
  <c r="A24" i="109"/>
  <c r="A37"/>
  <c r="A72" i="120"/>
  <c r="A8" i="119"/>
  <c r="A145" i="159"/>
  <c r="A36" i="120"/>
  <c r="A28" i="109"/>
  <c r="A216" i="159"/>
  <c r="A36" i="109"/>
  <c r="A41" i="159"/>
  <c r="A64"/>
  <c r="D80"/>
  <c r="A13" i="119"/>
  <c r="A77" i="159"/>
  <c r="A176"/>
  <c r="A8" i="120"/>
  <c r="A5"/>
  <c r="A120"/>
  <c r="A100" i="159"/>
  <c r="A185"/>
  <c r="X2" i="123"/>
  <c r="T2"/>
  <c r="AL2"/>
  <c r="AS2"/>
  <c r="R2"/>
  <c r="BI2"/>
  <c r="Q2"/>
  <c r="BF2"/>
  <c r="Y2"/>
  <c r="AG2"/>
  <c r="BA2"/>
  <c r="AT2"/>
  <c r="BB2"/>
  <c r="V2"/>
  <c r="O2"/>
  <c r="AJ2"/>
  <c r="AA2"/>
  <c r="AW2"/>
  <c r="BG2"/>
  <c r="P2"/>
  <c r="BJ2"/>
  <c r="AU2"/>
  <c r="AF2"/>
  <c r="H2"/>
  <c r="B2"/>
  <c r="AR2"/>
  <c r="AB2"/>
  <c r="L2"/>
  <c r="AK2"/>
  <c r="Z2"/>
  <c r="U2"/>
  <c r="AH2"/>
  <c r="K2"/>
  <c r="BC2"/>
  <c r="C2"/>
  <c r="AI2"/>
  <c r="AV2"/>
  <c r="BH2"/>
  <c r="AE2"/>
  <c r="AM2"/>
  <c r="A2"/>
  <c r="G2"/>
  <c r="I2"/>
  <c r="BD2"/>
  <c r="AQ2"/>
  <c r="F2"/>
  <c r="AX2"/>
  <c r="M2"/>
  <c r="AZ2"/>
  <c r="J2"/>
  <c r="W2"/>
  <c r="AC2"/>
  <c r="BL2"/>
  <c r="BE2"/>
  <c r="E2"/>
  <c r="BK2"/>
  <c r="N2"/>
  <c r="AY2"/>
  <c r="AD2"/>
  <c r="AP2"/>
  <c r="AO2"/>
  <c r="S2"/>
  <c r="D2"/>
  <c r="AN2"/>
  <c r="AN3" l="1"/>
  <c r="D3"/>
  <c r="S3"/>
  <c r="AO3"/>
  <c r="AP3"/>
  <c r="AD3"/>
  <c r="AY5"/>
  <c r="AY3"/>
  <c r="N3"/>
  <c r="BK3"/>
  <c r="BK5"/>
  <c r="E3"/>
  <c r="BE5"/>
  <c r="BE3"/>
  <c r="BL3"/>
  <c r="BL4"/>
  <c r="BL5"/>
  <c r="AC3"/>
  <c r="W3"/>
  <c r="J3"/>
  <c r="AZ5"/>
  <c r="AZ4"/>
  <c r="AZ3"/>
  <c r="M3"/>
  <c r="AX3"/>
  <c r="AX5"/>
  <c r="F3"/>
  <c r="AQ3"/>
  <c r="BD5"/>
  <c r="BD3"/>
  <c r="I3"/>
  <c r="G3"/>
  <c r="A4"/>
  <c r="A3"/>
  <c r="A5" s="1"/>
  <c r="B4" s="1"/>
  <c r="AM3"/>
  <c r="AE3"/>
  <c r="BH5"/>
  <c r="BH3"/>
  <c r="AV5"/>
  <c r="AV3"/>
  <c r="AI3"/>
  <c r="C3"/>
  <c r="BC5"/>
  <c r="BC3"/>
  <c r="K3"/>
  <c r="AH3"/>
  <c r="U3"/>
  <c r="Z3"/>
  <c r="AK3"/>
  <c r="L3"/>
  <c r="AB3"/>
  <c r="AR5"/>
  <c r="AR3"/>
  <c r="B3"/>
  <c r="H3"/>
  <c r="AF3"/>
  <c r="AU5"/>
  <c r="AU3"/>
  <c r="BJ5"/>
  <c r="BK4" s="1"/>
  <c r="BJ3"/>
  <c r="P3"/>
  <c r="BG3"/>
  <c r="BG5"/>
  <c r="BH4" s="1"/>
  <c r="AW3"/>
  <c r="AW5"/>
  <c r="AW4"/>
  <c r="AA3"/>
  <c r="AJ3"/>
  <c r="O3"/>
  <c r="V3"/>
  <c r="BB5"/>
  <c r="BB3"/>
  <c r="AT3"/>
  <c r="AT5"/>
  <c r="BA5"/>
  <c r="BB4" s="1"/>
  <c r="BA3"/>
  <c r="BA4"/>
  <c r="AG3"/>
  <c r="Y3"/>
  <c r="BF3"/>
  <c r="BF4"/>
  <c r="BF5"/>
  <c r="Q3"/>
  <c r="BI5"/>
  <c r="BI3"/>
  <c r="BI4"/>
  <c r="R3"/>
  <c r="AS5"/>
  <c r="AS3"/>
  <c r="AS4"/>
  <c r="AL3"/>
  <c r="T3"/>
  <c r="X3"/>
  <c r="AI20" i="47"/>
  <c r="G41" i="61"/>
  <c r="G9"/>
  <c r="AI12" i="47"/>
  <c r="AI15"/>
  <c r="G21" i="61"/>
  <c r="AI49" i="47"/>
  <c r="G409" i="61"/>
  <c r="AI112" i="47"/>
  <c r="G317" i="61"/>
  <c r="G393"/>
  <c r="AI97" i="47"/>
  <c r="G289" i="61"/>
  <c r="AI136" i="47"/>
  <c r="G473" i="61"/>
  <c r="G341"/>
  <c r="G73"/>
  <c r="G505"/>
  <c r="G225"/>
  <c r="AI128" i="47"/>
  <c r="AI82"/>
  <c r="G357" i="61"/>
  <c r="AI108" i="47"/>
  <c r="AI124"/>
  <c r="AI31"/>
  <c r="AI95"/>
  <c r="G105" i="61"/>
  <c r="G141"/>
  <c r="AI137" i="47"/>
  <c r="AI89"/>
  <c r="AI99"/>
  <c r="G145" i="61"/>
  <c r="AI66" i="47"/>
  <c r="AI28"/>
  <c r="AI149"/>
  <c r="AI46"/>
  <c r="AI103"/>
  <c r="G437" i="61"/>
  <c r="G85"/>
  <c r="AI36" i="47"/>
  <c r="AI119"/>
  <c r="G349" i="61"/>
  <c r="AI35" i="47"/>
  <c r="G373" i="61"/>
  <c r="G157"/>
  <c r="AI45" i="47"/>
  <c r="G509" i="61"/>
  <c r="G101"/>
  <c r="G457"/>
  <c r="G25"/>
  <c r="AI141" i="47"/>
  <c r="G5" i="61"/>
  <c r="AI41" i="47"/>
  <c r="G57" i="61"/>
  <c r="G205"/>
  <c r="G201"/>
  <c r="AI120" i="47"/>
  <c r="AI16"/>
  <c r="G441" i="61"/>
  <c r="G385"/>
  <c r="AI58" i="47"/>
  <c r="G389" i="61"/>
  <c r="AI86" i="47"/>
  <c r="G193" i="61"/>
  <c r="AI11" i="47"/>
  <c r="G33" i="61"/>
  <c r="AI60" i="47"/>
  <c r="AI24"/>
  <c r="G121" i="61"/>
  <c r="G149"/>
  <c r="G281"/>
  <c r="AI18" i="47"/>
  <c r="G305" i="61"/>
  <c r="AI107" i="47"/>
  <c r="AI47"/>
  <c r="G125" i="61"/>
  <c r="AI61" i="47"/>
  <c r="AI106"/>
  <c r="AI40"/>
  <c r="AI80"/>
  <c r="AI72"/>
  <c r="G249" i="61"/>
  <c r="AI75" i="47"/>
  <c r="G261" i="61"/>
  <c r="D46" i="15"/>
  <c r="K46" s="1"/>
  <c r="B12" i="9"/>
  <c r="B12" i="94"/>
  <c r="D142" i="15"/>
  <c r="K142" s="1"/>
  <c r="T1" i="134"/>
  <c r="T1" i="6"/>
  <c r="T1" i="98"/>
  <c r="T1" i="135"/>
  <c r="B14" i="9"/>
  <c r="D27" i="50" s="1"/>
  <c r="B46" i="15"/>
  <c r="B17" i="102"/>
  <c r="D62" i="50" s="1"/>
  <c r="B95" i="15"/>
  <c r="E12" i="102"/>
  <c r="E12" i="138"/>
  <c r="D270" i="15" s="1"/>
  <c r="K270" s="1"/>
  <c r="B269"/>
  <c r="B161"/>
  <c r="B17" i="91"/>
  <c r="D106" i="50" s="1"/>
  <c r="E12" i="91"/>
  <c r="T1" i="136"/>
  <c r="B14" i="89"/>
  <c r="D111" i="50" s="1"/>
  <c r="B172" i="15"/>
  <c r="D239"/>
  <c r="K239" s="1"/>
  <c r="B17" i="133"/>
  <c r="D158" i="50" s="1"/>
  <c r="D10" i="15"/>
  <c r="K10" s="1"/>
  <c r="B12" i="1"/>
  <c r="E12" i="147"/>
  <c r="D324" i="15" s="1"/>
  <c r="K324" s="1"/>
  <c r="B323"/>
  <c r="D245"/>
  <c r="K245" s="1"/>
  <c r="B17" i="134"/>
  <c r="D162" i="50" s="1"/>
  <c r="B113" i="15"/>
  <c r="B17" i="99"/>
  <c r="D74" i="50" s="1"/>
  <c r="E12" i="99"/>
  <c r="E12" i="95"/>
  <c r="B17"/>
  <c r="D90" i="50" s="1"/>
  <c r="B137" i="15"/>
  <c r="B29"/>
  <c r="B17" i="6"/>
  <c r="D18" i="50" s="1"/>
  <c r="E12" i="6"/>
  <c r="D238" i="15"/>
  <c r="K238" s="1"/>
  <c r="B14" i="133"/>
  <c r="D155" i="50" s="1"/>
  <c r="B12" i="133"/>
  <c r="T1" i="87"/>
  <c r="B311" i="15"/>
  <c r="E12" i="145"/>
  <c r="D312" i="15" s="1"/>
  <c r="K312" s="1"/>
  <c r="T1" i="145"/>
  <c r="E12" i="141"/>
  <c r="D288" i="15" s="1"/>
  <c r="K288" s="1"/>
  <c r="B287"/>
  <c r="B14" i="85"/>
  <c r="D127" i="50" s="1"/>
  <c r="B196" i="15"/>
  <c r="B197"/>
  <c r="E12" i="85"/>
  <c r="B17"/>
  <c r="D130" i="50" s="1"/>
  <c r="E12" i="144"/>
  <c r="D306" i="15" s="1"/>
  <c r="K306" s="1"/>
  <c r="B305"/>
  <c r="T1" i="103"/>
  <c r="B17" i="93"/>
  <c r="D98" i="50" s="1"/>
  <c r="B149" i="15"/>
  <c r="E12" i="93"/>
  <c r="B17" i="137"/>
  <c r="D174" i="50" s="1"/>
  <c r="E12" i="137"/>
  <c r="B263" i="15"/>
  <c r="B14" i="137"/>
  <c r="D171" i="50" s="1"/>
  <c r="B262" i="15"/>
  <c r="D136"/>
  <c r="K136" s="1"/>
  <c r="B14" i="95"/>
  <c r="D87" i="50" s="1"/>
  <c r="B12" i="95"/>
  <c r="T1" i="157"/>
  <c r="E12" i="133"/>
  <c r="B239" i="15"/>
  <c r="E12" i="151"/>
  <c r="D348" i="15" s="1"/>
  <c r="K348" s="1"/>
  <c r="B347"/>
  <c r="E12" i="98"/>
  <c r="B17"/>
  <c r="D78" i="50" s="1"/>
  <c r="B119" i="15"/>
  <c r="B365"/>
  <c r="E12" i="154"/>
  <c r="D366" i="15" s="1"/>
  <c r="K366" s="1"/>
  <c r="T1" i="7"/>
  <c r="B215" i="15"/>
  <c r="B17" i="129"/>
  <c r="D142" i="50" s="1"/>
  <c r="E12" i="129"/>
  <c r="E12" i="140"/>
  <c r="D282" i="15" s="1"/>
  <c r="K282" s="1"/>
  <c r="B281"/>
  <c r="T1" i="151"/>
  <c r="D262" i="15"/>
  <c r="K262" s="1"/>
  <c r="B12" i="137"/>
  <c r="T1" i="158"/>
  <c r="T1" i="88"/>
  <c r="E12" i="149"/>
  <c r="D336" i="15" s="1"/>
  <c r="K336" s="1"/>
  <c r="B335"/>
  <c r="T1" i="94"/>
  <c r="T1" i="107"/>
  <c r="T1" i="146"/>
  <c r="T1" i="104"/>
  <c r="T1" i="144"/>
  <c r="T1" i="8"/>
  <c r="G265" i="61"/>
  <c r="AI76" i="47"/>
  <c r="AI14"/>
  <c r="G17" i="61"/>
  <c r="AI127" i="47"/>
  <c r="AI78"/>
  <c r="G273" i="61"/>
  <c r="G297"/>
  <c r="AI96" i="47"/>
  <c r="G353" i="61"/>
  <c r="AI117" i="47"/>
  <c r="AI101"/>
  <c r="AI62"/>
  <c r="AI56"/>
  <c r="G497" i="61"/>
  <c r="G309"/>
  <c r="AI153" i="47"/>
  <c r="G209" i="61"/>
  <c r="G337"/>
  <c r="AI104" i="47"/>
  <c r="G345" i="61"/>
  <c r="G221"/>
  <c r="G169"/>
  <c r="AI88" i="47"/>
  <c r="AI94"/>
  <c r="AI121"/>
  <c r="G257" i="61"/>
  <c r="G425"/>
  <c r="AI100" i="47"/>
  <c r="G377" i="61"/>
  <c r="AI98" i="47"/>
  <c r="AI134"/>
  <c r="AI52"/>
  <c r="AI74"/>
  <c r="G65" i="61"/>
  <c r="G461"/>
  <c r="AI147" i="47"/>
  <c r="AI26"/>
  <c r="G325" i="61"/>
  <c r="AI85" i="47"/>
  <c r="AI87"/>
  <c r="AI79"/>
  <c r="G445" i="61"/>
  <c r="AI71" i="47"/>
  <c r="AI150"/>
  <c r="AI44"/>
  <c r="G493" i="61"/>
  <c r="G45"/>
  <c r="AI116" i="47"/>
  <c r="G405" i="61"/>
  <c r="AI143" i="47"/>
  <c r="AI113"/>
  <c r="AI65"/>
  <c r="AI73"/>
  <c r="G185" i="61"/>
  <c r="G245"/>
  <c r="G469"/>
  <c r="AI133" i="47"/>
  <c r="G137" i="61"/>
  <c r="G313"/>
  <c r="G429"/>
  <c r="G413"/>
  <c r="G433"/>
  <c r="AI125" i="47"/>
  <c r="AI139"/>
  <c r="AI118"/>
  <c r="G253" i="61"/>
  <c r="G365"/>
  <c r="AI84" i="47"/>
  <c r="AI90"/>
  <c r="AI144"/>
  <c r="AI83"/>
  <c r="AI91"/>
  <c r="AI111"/>
  <c r="G237" i="61"/>
  <c r="G293"/>
  <c r="G361"/>
  <c r="AI123" i="47"/>
  <c r="G277" i="61"/>
  <c r="G453"/>
  <c r="G321"/>
  <c r="AI69" i="47"/>
  <c r="G301" i="61"/>
  <c r="AI21" i="47"/>
  <c r="G77" i="61"/>
  <c r="AI29" i="47"/>
  <c r="B14" i="91"/>
  <c r="D103" i="50" s="1"/>
  <c r="D160" i="15"/>
  <c r="K160" s="1"/>
  <c r="B12" i="91"/>
  <c r="D124" i="15"/>
  <c r="K124" s="1"/>
  <c r="B12" i="97"/>
  <c r="T1" i="137"/>
  <c r="B17" i="4"/>
  <c r="D10" i="50" s="1"/>
  <c r="E12" i="4"/>
  <c r="B17" i="15"/>
  <c r="T1" i="150"/>
  <c r="B17" i="107"/>
  <c r="D42" i="50" s="1"/>
  <c r="B65" i="15"/>
  <c r="E12" i="107"/>
  <c r="E12" i="153"/>
  <c r="D360" i="15" s="1"/>
  <c r="K360" s="1"/>
  <c r="B359"/>
  <c r="T1" i="108"/>
  <c r="D172" i="15"/>
  <c r="K172" s="1"/>
  <c r="B12" i="89"/>
  <c r="T1" i="9"/>
  <c r="D40" i="15"/>
  <c r="K40" s="1"/>
  <c r="B12" i="8"/>
  <c r="T1" i="1"/>
  <c r="E12" i="130"/>
  <c r="B221" i="15"/>
  <c r="E12" i="100"/>
  <c r="B17"/>
  <c r="D70" i="50" s="1"/>
  <c r="B107" i="15"/>
  <c r="E12" i="127"/>
  <c r="B203" i="15"/>
  <c r="B14" i="127"/>
  <c r="D131" i="50" s="1"/>
  <c r="B202" i="15"/>
  <c r="B17" i="96"/>
  <c r="D86" i="50" s="1"/>
  <c r="B131" i="15"/>
  <c r="E12" i="96"/>
  <c r="B14" i="131"/>
  <c r="D147" i="50" s="1"/>
  <c r="D226" i="15"/>
  <c r="K226" s="1"/>
  <c r="B12" i="131"/>
  <c r="B14" i="104"/>
  <c r="D51" i="50" s="1"/>
  <c r="D82" i="15"/>
  <c r="K82" s="1"/>
  <c r="T1" i="133"/>
  <c r="E12" i="158"/>
  <c r="D390" i="15" s="1"/>
  <c r="K390" s="1"/>
  <c r="B389"/>
  <c r="B14" i="132"/>
  <c r="D151" i="50" s="1"/>
  <c r="B232" i="15"/>
  <c r="E12" i="86"/>
  <c r="B191" i="15"/>
  <c r="B17" i="86"/>
  <c r="D126" i="50" s="1"/>
  <c r="T1" i="86"/>
  <c r="B17" i="135"/>
  <c r="D166" i="50" s="1"/>
  <c r="B251" i="15"/>
  <c r="E12" i="135"/>
  <c r="E12" i="92"/>
  <c r="B17"/>
  <c r="D102" i="50" s="1"/>
  <c r="B155" i="15"/>
  <c r="T1" i="154"/>
  <c r="T1" i="142"/>
  <c r="T1" i="129"/>
  <c r="B17" i="10"/>
  <c r="D34" i="50" s="1"/>
  <c r="B53" i="15"/>
  <c r="E12" i="10"/>
  <c r="B14"/>
  <c r="D31" i="50" s="1"/>
  <c r="B52" i="15"/>
  <c r="E12" i="150"/>
  <c r="D342" i="15" s="1"/>
  <c r="K342" s="1"/>
  <c r="B341"/>
  <c r="T1" i="5"/>
  <c r="T1" i="149"/>
  <c r="T1" i="106"/>
  <c r="B17" i="127"/>
  <c r="D134" i="50" s="1"/>
  <c r="D203" i="15"/>
  <c r="K203" s="1"/>
  <c r="B383"/>
  <c r="E12" i="157"/>
  <c r="D384" i="15" s="1"/>
  <c r="K384" s="1"/>
  <c r="B14" i="99"/>
  <c r="D71" i="50" s="1"/>
  <c r="D112" i="15"/>
  <c r="K112" s="1"/>
  <c r="B12" i="99"/>
  <c r="B17" i="8"/>
  <c r="D26" i="50" s="1"/>
  <c r="E12" i="8"/>
  <c r="B41" i="15"/>
  <c r="T1" i="128"/>
  <c r="T1" i="96"/>
  <c r="D233" i="15"/>
  <c r="K233" s="1"/>
  <c r="B17" i="132"/>
  <c r="D154" i="50" s="1"/>
  <c r="T1" i="91"/>
  <c r="B17" i="94"/>
  <c r="D94" i="50" s="1"/>
  <c r="B143" i="15"/>
  <c r="E12" i="94"/>
  <c r="B17" i="5"/>
  <c r="D14" i="50" s="1"/>
  <c r="B23" i="15"/>
  <c r="E12" i="5"/>
  <c r="D118" i="15"/>
  <c r="K118" s="1"/>
  <c r="B12" i="98"/>
  <c r="T1" i="131"/>
  <c r="D256" i="15"/>
  <c r="K256" s="1"/>
  <c r="B12" i="136"/>
  <c r="D34" i="15"/>
  <c r="K34" s="1"/>
  <c r="B12" i="7"/>
  <c r="B17" i="88"/>
  <c r="D118" i="50" s="1"/>
  <c r="B179" i="15"/>
  <c r="E12" i="88"/>
  <c r="T1" i="105"/>
  <c r="T1" i="89"/>
  <c r="D52" i="15"/>
  <c r="K52" s="1"/>
  <c r="B12" i="10"/>
  <c r="D221" i="15"/>
  <c r="K221" s="1"/>
  <c r="B17" i="130"/>
  <c r="D146" i="50" s="1"/>
  <c r="D250" i="15"/>
  <c r="K250" s="1"/>
  <c r="B12" i="135"/>
  <c r="T1" i="138"/>
  <c r="T1" i="4"/>
  <c r="T1" i="10"/>
  <c r="B89" i="15"/>
  <c r="B17" i="103"/>
  <c r="D58" i="50" s="1"/>
  <c r="E12" i="103"/>
  <c r="T1" i="85"/>
  <c r="B17" i="105"/>
  <c r="D50" i="50" s="1"/>
  <c r="B77" i="15"/>
  <c r="E12" i="105"/>
  <c r="D94" i="15"/>
  <c r="K94" s="1"/>
  <c r="B12" i="102"/>
  <c r="T33" i="110"/>
  <c r="AQ6" i="115" s="1"/>
  <c r="T32" i="110"/>
  <c r="AQ5" i="115" s="1"/>
  <c r="AN6"/>
  <c r="M20" i="119" s="1"/>
  <c r="B10" i="87"/>
  <c r="B11" i="136"/>
  <c r="B10" i="153"/>
  <c r="B358" i="15" s="1"/>
  <c r="B10" i="156"/>
  <c r="B376" i="15" s="1"/>
  <c r="B10" i="134"/>
  <c r="B10" i="135"/>
  <c r="B10" i="150"/>
  <c r="B340" i="15" s="1"/>
  <c r="B10" i="101"/>
  <c r="B100" i="15" s="1"/>
  <c r="B10" i="8"/>
  <c r="B10" i="94"/>
  <c r="B10" i="142"/>
  <c r="B292" i="15" s="1"/>
  <c r="B10" i="103"/>
  <c r="B10" i="105"/>
  <c r="AI17" i="47"/>
  <c r="G29" i="61"/>
  <c r="AI55" i="47"/>
  <c r="G181" i="61"/>
  <c r="AI19" i="47"/>
  <c r="G37" i="61"/>
  <c r="AI114" i="47"/>
  <c r="G417" i="61"/>
  <c r="AI43" i="47"/>
  <c r="G133" i="61"/>
  <c r="T1" i="141"/>
  <c r="B17" i="90"/>
  <c r="D110" i="50" s="1"/>
  <c r="E12" i="90"/>
  <c r="B167" i="15"/>
  <c r="B14" i="90"/>
  <c r="D107" i="50" s="1"/>
  <c r="B166" i="15"/>
  <c r="E12" i="9"/>
  <c r="B17"/>
  <c r="D30" i="50" s="1"/>
  <c r="B47" i="15"/>
  <c r="B14" i="102"/>
  <c r="D59" i="50" s="1"/>
  <c r="B94" i="15"/>
  <c r="B173"/>
  <c r="B17" i="89"/>
  <c r="D114" i="50" s="1"/>
  <c r="E12" i="89"/>
  <c r="B125" i="15"/>
  <c r="E12" i="97"/>
  <c r="B17"/>
  <c r="D82" i="50" s="1"/>
  <c r="B14" i="97"/>
  <c r="D79" i="50" s="1"/>
  <c r="B124" i="15"/>
  <c r="B14" i="106"/>
  <c r="D43" i="50" s="1"/>
  <c r="D70" i="15"/>
  <c r="K70" s="1"/>
  <c r="B12" i="106"/>
  <c r="E12" i="143"/>
  <c r="D300" i="15" s="1"/>
  <c r="K300" s="1"/>
  <c r="B299"/>
  <c r="D190"/>
  <c r="K190" s="1"/>
  <c r="B12" i="86"/>
  <c r="D244" i="15"/>
  <c r="K244" s="1"/>
  <c r="B12" i="134"/>
  <c r="T1" i="156"/>
  <c r="T1" i="101"/>
  <c r="T1" i="153"/>
  <c r="B12" i="96"/>
  <c r="B14"/>
  <c r="D83" i="50" s="1"/>
  <c r="D130" i="15"/>
  <c r="K130" s="1"/>
  <c r="E12" i="128"/>
  <c r="B209" i="15"/>
  <c r="D202"/>
  <c r="K202" s="1"/>
  <c r="B12" i="127"/>
  <c r="T1" i="143"/>
  <c r="T1" i="90"/>
  <c r="B275" i="15"/>
  <c r="E12" i="139"/>
  <c r="D276" i="15" s="1"/>
  <c r="K276" s="1"/>
  <c r="D22"/>
  <c r="K22" s="1"/>
  <c r="B12" i="5"/>
  <c r="T1" i="130"/>
  <c r="T1" i="102"/>
  <c r="D148" i="15"/>
  <c r="K148" s="1"/>
  <c r="B14" i="93"/>
  <c r="D95" i="50" s="1"/>
  <c r="B12" i="93"/>
  <c r="T1" i="95"/>
  <c r="D16" i="15"/>
  <c r="K16" s="1"/>
  <c r="B12" i="4"/>
  <c r="T1" i="148"/>
  <c r="E12" i="87"/>
  <c r="B185" i="15"/>
  <c r="B17" i="7"/>
  <c r="D22" i="50" s="1"/>
  <c r="E12" i="7"/>
  <c r="B35" i="15"/>
  <c r="B14" i="136"/>
  <c r="D167" i="50" s="1"/>
  <c r="B256" i="15"/>
  <c r="D88"/>
  <c r="K88" s="1"/>
  <c r="B12" i="103"/>
  <c r="D166" i="15"/>
  <c r="K166" s="1"/>
  <c r="B12" i="90"/>
  <c r="B353" i="15"/>
  <c r="E12" i="152"/>
  <c r="D354" i="15" s="1"/>
  <c r="K354" s="1"/>
  <c r="D28"/>
  <c r="K28" s="1"/>
  <c r="B12" i="6"/>
  <c r="B17" i="87"/>
  <c r="D122" i="50" s="1"/>
  <c r="D185" i="15"/>
  <c r="K185" s="1"/>
  <c r="D178"/>
  <c r="K178" s="1"/>
  <c r="B14" i="88"/>
  <c r="D115" i="50" s="1"/>
  <c r="G401" i="61"/>
  <c r="G421"/>
  <c r="G333"/>
  <c r="AI32" i="47"/>
  <c r="AI92"/>
  <c r="AI77"/>
  <c r="AI110"/>
  <c r="G69" i="61"/>
  <c r="AI93" i="47"/>
  <c r="G329" i="61"/>
  <c r="AI27" i="47"/>
  <c r="AI102"/>
  <c r="G89" i="61"/>
  <c r="G369"/>
  <c r="G381"/>
  <c r="AI105" i="47"/>
  <c r="AI23"/>
  <c r="G53" i="61"/>
  <c r="G269"/>
  <c r="AI115" i="47"/>
  <c r="AI152"/>
  <c r="AI146"/>
  <c r="AI148"/>
  <c r="AI142"/>
  <c r="AI140"/>
  <c r="AI151"/>
  <c r="AI37"/>
  <c r="G109" i="61"/>
  <c r="G13"/>
  <c r="AI13" i="47"/>
  <c r="B14" i="108"/>
  <c r="D35" i="50" s="1"/>
  <c r="B58" i="15"/>
  <c r="B17" i="108"/>
  <c r="D38" i="50" s="1"/>
  <c r="B59" i="15"/>
  <c r="E12" i="108"/>
  <c r="D184" i="15"/>
  <c r="K184" s="1"/>
  <c r="B12" i="87"/>
  <c r="D58" i="15"/>
  <c r="K58" s="1"/>
  <c r="B12" i="108"/>
  <c r="B14" i="4"/>
  <c r="D7" i="50" s="1"/>
  <c r="B16" i="15"/>
  <c r="D196"/>
  <c r="K196" s="1"/>
  <c r="B12" i="85"/>
  <c r="E12" i="148"/>
  <c r="D330" i="15" s="1"/>
  <c r="K330" s="1"/>
  <c r="B329"/>
  <c r="E12" i="146"/>
  <c r="D318" i="15" s="1"/>
  <c r="K318" s="1"/>
  <c r="B317"/>
  <c r="D76"/>
  <c r="K76" s="1"/>
  <c r="B12" i="105"/>
  <c r="B377" i="15"/>
  <c r="E12" i="156"/>
  <c r="D378" i="15" s="1"/>
  <c r="K378" s="1"/>
  <c r="D64"/>
  <c r="K64" s="1"/>
  <c r="B12" i="107"/>
  <c r="B14" i="100"/>
  <c r="D67" i="50" s="1"/>
  <c r="D106" i="15"/>
  <c r="K106" s="1"/>
  <c r="B12" i="100"/>
  <c r="E12" i="132"/>
  <c r="B233" i="15"/>
  <c r="T1" i="140"/>
  <c r="T1" i="147"/>
  <c r="T1" i="127"/>
  <c r="B190" i="15"/>
  <c r="B14" i="86"/>
  <c r="D123" i="50" s="1"/>
  <c r="B245" i="15"/>
  <c r="E12" i="134"/>
  <c r="D214" i="15"/>
  <c r="K214" s="1"/>
  <c r="B14" i="129"/>
  <c r="D139" i="50" s="1"/>
  <c r="B12" i="129"/>
  <c r="T1" i="92"/>
  <c r="B17" i="136"/>
  <c r="D170" i="50" s="1"/>
  <c r="D257" i="15"/>
  <c r="K257" s="1"/>
  <c r="T1" i="152"/>
  <c r="B71" i="15"/>
  <c r="B17" i="106"/>
  <c r="D46" i="50" s="1"/>
  <c r="E12" i="106"/>
  <c r="B17" i="131"/>
  <c r="D150" i="50" s="1"/>
  <c r="B227" i="15"/>
  <c r="E12" i="131"/>
  <c r="B101" i="15"/>
  <c r="B17" i="101"/>
  <c r="D66" i="50" s="1"/>
  <c r="E12" i="101"/>
  <c r="B17" i="1"/>
  <c r="D6" i="50" s="1"/>
  <c r="E12" i="1"/>
  <c r="B11" i="15"/>
  <c r="D100"/>
  <c r="K100" s="1"/>
  <c r="B14" i="101"/>
  <c r="D63" i="50" s="1"/>
  <c r="B12" i="101"/>
  <c r="B14" i="128"/>
  <c r="D135" i="50" s="1"/>
  <c r="D208" i="15"/>
  <c r="K208" s="1"/>
  <c r="B12" i="128"/>
  <c r="D209" i="15"/>
  <c r="K209" s="1"/>
  <c r="B17" i="128"/>
  <c r="D138" i="50" s="1"/>
  <c r="E12" i="155"/>
  <c r="D372" i="15" s="1"/>
  <c r="K372" s="1"/>
  <c r="B371"/>
  <c r="D232"/>
  <c r="K232" s="1"/>
  <c r="B12" i="132"/>
  <c r="T1" i="100"/>
  <c r="T1" i="155"/>
  <c r="B14" i="130"/>
  <c r="D143" i="50" s="1"/>
  <c r="D220" i="15"/>
  <c r="K220" s="1"/>
  <c r="T1" i="99"/>
  <c r="T1" i="139"/>
  <c r="T1" i="132"/>
  <c r="T1" i="97"/>
  <c r="E12" i="142"/>
  <c r="D294" i="15" s="1"/>
  <c r="K294" s="1"/>
  <c r="B293"/>
  <c r="T1" i="93"/>
  <c r="B14" i="92"/>
  <c r="D99" i="50" s="1"/>
  <c r="D154" i="15"/>
  <c r="K154" s="1"/>
  <c r="E12" i="104"/>
  <c r="B17"/>
  <c r="D54" i="50" s="1"/>
  <c r="B83" i="15"/>
  <c r="T18" i="110"/>
  <c r="AO3" i="115" s="1"/>
  <c r="T19" i="110"/>
  <c r="AO4" i="115" s="1"/>
  <c r="AN3"/>
  <c r="M10" i="119" s="1"/>
  <c r="B10" i="6"/>
  <c r="B10" i="141"/>
  <c r="B286" i="15" s="1"/>
  <c r="B10" i="98"/>
  <c r="B10" i="7"/>
  <c r="B10" i="107"/>
  <c r="B10" i="148"/>
  <c r="B328" i="15" s="1"/>
  <c r="B10" i="130"/>
  <c r="B220" i="15" s="1"/>
  <c r="B10" i="146"/>
  <c r="B316" i="15" s="1"/>
  <c r="B10" i="158"/>
  <c r="B388" i="15" s="1"/>
  <c r="B10" i="92"/>
  <c r="B154" i="15" s="1"/>
  <c r="B10" i="1"/>
  <c r="B10" i="157"/>
  <c r="B382" i="15" s="1"/>
  <c r="B10" i="5"/>
  <c r="B10" i="88"/>
  <c r="B178" i="15" s="1"/>
  <c r="B10" i="104"/>
  <c r="B82" i="15" s="1"/>
  <c r="G381"/>
  <c r="S1" i="157"/>
  <c r="G383" i="15"/>
  <c r="G387"/>
  <c r="G389"/>
  <c r="S1" i="158"/>
  <c r="G315" i="15"/>
  <c r="S1" i="146"/>
  <c r="G317" i="15"/>
  <c r="G10"/>
  <c r="H2" i="124"/>
  <c r="P2"/>
  <c r="R1" i="1"/>
  <c r="G8" i="15"/>
  <c r="G12"/>
  <c r="S1" i="154"/>
  <c r="G365" i="15"/>
  <c r="G363"/>
  <c r="G293"/>
  <c r="S1" i="142"/>
  <c r="G291" i="15"/>
  <c r="R1" i="4"/>
  <c r="G14" i="15"/>
  <c r="G16"/>
  <c r="G18"/>
  <c r="H2" i="84"/>
  <c r="G375" i="15"/>
  <c r="G377"/>
  <c r="S1" i="156"/>
  <c r="S1" i="153"/>
  <c r="G357" i="15"/>
  <c r="G359"/>
  <c r="S1" i="143"/>
  <c r="G299" i="15"/>
  <c r="G297"/>
  <c r="S1" i="148"/>
  <c r="G329" i="15"/>
  <c r="G327"/>
  <c r="G279"/>
  <c r="S1" i="140"/>
  <c r="G281" i="15"/>
  <c r="S1" i="147"/>
  <c r="G323" i="15"/>
  <c r="G321"/>
  <c r="R1" i="147"/>
  <c r="G320" i="15"/>
  <c r="G324"/>
  <c r="G322"/>
  <c r="G352"/>
  <c r="R1" i="152"/>
  <c r="G350" i="15"/>
  <c r="G354"/>
  <c r="S1" i="145"/>
  <c r="G311" i="15"/>
  <c r="G309"/>
  <c r="G347"/>
  <c r="G345"/>
  <c r="S1" i="151"/>
  <c r="G386" i="15"/>
  <c r="G390"/>
  <c r="R1" i="158"/>
  <c r="G388" i="15"/>
  <c r="G314"/>
  <c r="G318"/>
  <c r="G316"/>
  <c r="R1" i="146"/>
  <c r="S1" i="144"/>
  <c r="G305" i="15"/>
  <c r="G303"/>
  <c r="G341"/>
  <c r="G339"/>
  <c r="S1" i="150"/>
  <c r="G11" i="15"/>
  <c r="G9"/>
  <c r="S1" i="1"/>
  <c r="J2" i="124"/>
  <c r="G333" i="15"/>
  <c r="S1" i="149"/>
  <c r="G335" i="15"/>
  <c r="G269"/>
  <c r="G267"/>
  <c r="S1" i="138"/>
  <c r="G287" i="15"/>
  <c r="S1" i="141"/>
  <c r="G285" i="15"/>
  <c r="G300"/>
  <c r="G298"/>
  <c r="R1" i="143"/>
  <c r="G296" i="15"/>
  <c r="G351"/>
  <c r="G353"/>
  <c r="S1" i="152"/>
  <c r="S1" i="155"/>
  <c r="G371" i="15"/>
  <c r="G369"/>
  <c r="R1" i="155"/>
  <c r="G368" i="15"/>
  <c r="G372"/>
  <c r="G370"/>
  <c r="S1" i="139"/>
  <c r="G273" i="15"/>
  <c r="G275"/>
  <c r="G274"/>
  <c r="G276"/>
  <c r="R1" i="139"/>
  <c r="G272" i="15"/>
  <c r="G382"/>
  <c r="G384"/>
  <c r="G380"/>
  <c r="R1" i="157"/>
  <c r="G362" i="15"/>
  <c r="G364"/>
  <c r="G366"/>
  <c r="R1" i="154"/>
  <c r="R1" i="148"/>
  <c r="G330" i="15"/>
  <c r="G328"/>
  <c r="G326"/>
  <c r="B5" i="123" l="1"/>
  <c r="B12" i="130"/>
  <c r="H11" i="124"/>
  <c r="D7"/>
  <c r="H17" i="84"/>
  <c r="H5"/>
  <c r="D3"/>
  <c r="H5" i="124"/>
  <c r="H17"/>
  <c r="D3"/>
  <c r="C4" i="123"/>
  <c r="B16" i="101"/>
  <c r="D65" i="50" s="1"/>
  <c r="B102" i="15"/>
  <c r="D12"/>
  <c r="K12" s="1"/>
  <c r="B15" i="1"/>
  <c r="D4" i="50" s="1"/>
  <c r="B16" i="134"/>
  <c r="D161" i="50" s="1"/>
  <c r="D246" i="15"/>
  <c r="K246" s="1"/>
  <c r="D234"/>
  <c r="K234" s="1"/>
  <c r="B15" i="132"/>
  <c r="D152" i="50" s="1"/>
  <c r="B15" i="107"/>
  <c r="D40" i="50" s="1"/>
  <c r="B66" i="15"/>
  <c r="B15" i="105"/>
  <c r="D48" i="50" s="1"/>
  <c r="B78" i="15"/>
  <c r="B15" i="87"/>
  <c r="D120" i="50" s="1"/>
  <c r="B186" i="15"/>
  <c r="B38" i="50"/>
  <c r="A38"/>
  <c r="B14" i="5"/>
  <c r="D11" i="50" s="1"/>
  <c r="B22" i="15"/>
  <c r="B14" i="1"/>
  <c r="D3" i="50" s="1"/>
  <c r="B10" i="15"/>
  <c r="B14" i="107"/>
  <c r="D39" i="50" s="1"/>
  <c r="B64" i="15"/>
  <c r="B118"/>
  <c r="B14" i="98"/>
  <c r="D75" i="50" s="1"/>
  <c r="B14" i="6"/>
  <c r="D15" i="50" s="1"/>
  <c r="B28" i="15"/>
  <c r="D84"/>
  <c r="K84" s="1"/>
  <c r="B16" i="104"/>
  <c r="D53" i="50" s="1"/>
  <c r="B143"/>
  <c r="A143"/>
  <c r="B16" i="132"/>
  <c r="D153" i="50" s="1"/>
  <c r="B234" i="15"/>
  <c r="A138" i="50"/>
  <c r="B138"/>
  <c r="B16" i="128"/>
  <c r="D137" i="50" s="1"/>
  <c r="B210" i="15"/>
  <c r="A135" i="50"/>
  <c r="B135"/>
  <c r="A63"/>
  <c r="B63"/>
  <c r="A6"/>
  <c r="B6"/>
  <c r="B66"/>
  <c r="A66"/>
  <c r="B16" i="131"/>
  <c r="D149" i="50" s="1"/>
  <c r="D228" i="15"/>
  <c r="K228" s="1"/>
  <c r="B150" i="50"/>
  <c r="A150"/>
  <c r="B46"/>
  <c r="A46"/>
  <c r="A170"/>
  <c r="B170"/>
  <c r="B15" i="129"/>
  <c r="D140" i="50" s="1"/>
  <c r="B216" i="15"/>
  <c r="B15" i="100"/>
  <c r="D68" i="50" s="1"/>
  <c r="B108" i="15"/>
  <c r="A67" i="50"/>
  <c r="B67"/>
  <c r="B7"/>
  <c r="A7"/>
  <c r="B122"/>
  <c r="A122"/>
  <c r="B167"/>
  <c r="A167"/>
  <c r="B15" i="7"/>
  <c r="D20" i="50" s="1"/>
  <c r="D36" i="15"/>
  <c r="K36" s="1"/>
  <c r="B15" i="93"/>
  <c r="D96" i="50" s="1"/>
  <c r="B150" i="15"/>
  <c r="B15" i="128"/>
  <c r="D136" i="50" s="1"/>
  <c r="D210" i="15"/>
  <c r="K210" s="1"/>
  <c r="B83" i="50"/>
  <c r="A83"/>
  <c r="B82"/>
  <c r="A82"/>
  <c r="A114"/>
  <c r="B114"/>
  <c r="B16" i="9"/>
  <c r="D29" i="50" s="1"/>
  <c r="D48" i="15"/>
  <c r="K48" s="1"/>
  <c r="A107" i="50"/>
  <c r="B107"/>
  <c r="B16" i="90"/>
  <c r="D109" i="50" s="1"/>
  <c r="D168" i="15"/>
  <c r="K168" s="1"/>
  <c r="B14" i="103"/>
  <c r="D55" i="50" s="1"/>
  <c r="B88" i="15"/>
  <c r="B142"/>
  <c r="B14" i="94"/>
  <c r="D91" i="50" s="1"/>
  <c r="B14" i="135"/>
  <c r="D163" i="50" s="1"/>
  <c r="B250" i="15"/>
  <c r="B257"/>
  <c r="E12" i="136"/>
  <c r="P20" i="119"/>
  <c r="P21"/>
  <c r="Z6" i="115"/>
  <c r="I16" i="118" s="1"/>
  <c r="B58" i="50"/>
  <c r="A58"/>
  <c r="B16" i="7"/>
  <c r="D21" i="50" s="1"/>
  <c r="B36" i="15"/>
  <c r="B15" i="136"/>
  <c r="D168" i="50" s="1"/>
  <c r="B258" i="15"/>
  <c r="B15" i="94"/>
  <c r="D92" i="50" s="1"/>
  <c r="D144" i="15"/>
  <c r="K144" s="1"/>
  <c r="A94" i="50"/>
  <c r="B94"/>
  <c r="B154"/>
  <c r="A154"/>
  <c r="A26"/>
  <c r="B26"/>
  <c r="A31"/>
  <c r="B31"/>
  <c r="A102"/>
  <c r="B102"/>
  <c r="D252" i="15"/>
  <c r="K252" s="1"/>
  <c r="B16" i="135"/>
  <c r="D165" i="50" s="1"/>
  <c r="B166"/>
  <c r="A166"/>
  <c r="B126"/>
  <c r="A126"/>
  <c r="D192" i="15"/>
  <c r="K192" s="1"/>
  <c r="B16" i="86"/>
  <c r="D125" i="50" s="1"/>
  <c r="B151"/>
  <c r="A151"/>
  <c r="A51"/>
  <c r="B51"/>
  <c r="B16" i="96"/>
  <c r="D85" i="50" s="1"/>
  <c r="D132" i="15"/>
  <c r="K132" s="1"/>
  <c r="B86" i="50"/>
  <c r="A86"/>
  <c r="A131"/>
  <c r="B131"/>
  <c r="D204" i="15"/>
  <c r="K204" s="1"/>
  <c r="B16" i="127"/>
  <c r="D133" i="50" s="1"/>
  <c r="B70"/>
  <c r="A70"/>
  <c r="B16" i="89"/>
  <c r="D113" i="50" s="1"/>
  <c r="B174" i="15"/>
  <c r="D18"/>
  <c r="K18" s="1"/>
  <c r="B15" i="4"/>
  <c r="D8" i="50" s="1"/>
  <c r="B15" i="137"/>
  <c r="D172" i="50" s="1"/>
  <c r="B264" i="15"/>
  <c r="A142" i="50"/>
  <c r="B142"/>
  <c r="B78"/>
  <c r="A78"/>
  <c r="B87"/>
  <c r="A87"/>
  <c r="B174"/>
  <c r="A174"/>
  <c r="B16" i="85"/>
  <c r="D129" i="50" s="1"/>
  <c r="D198" i="15"/>
  <c r="K198" s="1"/>
  <c r="B15" i="133"/>
  <c r="D156" i="50" s="1"/>
  <c r="B240" i="15"/>
  <c r="B18" i="50"/>
  <c r="A18"/>
  <c r="D138" i="15"/>
  <c r="K138" s="1"/>
  <c r="B16" i="95"/>
  <c r="D89" i="50" s="1"/>
  <c r="A74"/>
  <c r="B74"/>
  <c r="B162"/>
  <c r="A162"/>
  <c r="B16" i="1"/>
  <c r="D5" i="50" s="1"/>
  <c r="B12" i="15"/>
  <c r="A158" i="50"/>
  <c r="B158"/>
  <c r="B106"/>
  <c r="A106"/>
  <c r="D96" i="15"/>
  <c r="K96" s="1"/>
  <c r="B16" i="102"/>
  <c r="D61" i="50" s="1"/>
  <c r="A62"/>
  <c r="B62"/>
  <c r="B27"/>
  <c r="A27"/>
  <c r="B16" i="94"/>
  <c r="D93" i="50" s="1"/>
  <c r="B144" i="15"/>
  <c r="B12" i="92"/>
  <c r="B12" i="88"/>
  <c r="B12" i="104"/>
  <c r="AT4" i="123"/>
  <c r="BG4"/>
  <c r="BE4"/>
  <c r="B14" i="7"/>
  <c r="D19" i="50" s="1"/>
  <c r="B34" i="15"/>
  <c r="P11" i="119"/>
  <c r="AA4" i="115" s="1"/>
  <c r="P10" i="119"/>
  <c r="AA3" i="115" s="1"/>
  <c r="Z3"/>
  <c r="I6" i="118" s="1"/>
  <c r="B54" i="50"/>
  <c r="A54"/>
  <c r="A99"/>
  <c r="B99"/>
  <c r="B15" i="130"/>
  <c r="D144" i="50" s="1"/>
  <c r="B222" i="15"/>
  <c r="D102"/>
  <c r="K102" s="1"/>
  <c r="B15" i="101"/>
  <c r="D64" i="50" s="1"/>
  <c r="B15" i="106"/>
  <c r="D44" i="50" s="1"/>
  <c r="D72" i="15"/>
  <c r="K72" s="1"/>
  <c r="A139" i="50"/>
  <c r="B139"/>
  <c r="A123"/>
  <c r="B123"/>
  <c r="B15" i="85"/>
  <c r="D128" i="50" s="1"/>
  <c r="B198" i="15"/>
  <c r="B15" i="108"/>
  <c r="D36" i="50" s="1"/>
  <c r="B60" i="15"/>
  <c r="D60"/>
  <c r="K60" s="1"/>
  <c r="B16" i="108"/>
  <c r="D37" i="50" s="1"/>
  <c r="B35"/>
  <c r="A35"/>
  <c r="B115"/>
  <c r="A115"/>
  <c r="B15" i="6"/>
  <c r="D16" i="50" s="1"/>
  <c r="B30" i="15"/>
  <c r="B15" i="90"/>
  <c r="D108" i="50" s="1"/>
  <c r="B168" i="15"/>
  <c r="B16" i="103"/>
  <c r="D57" i="50" s="1"/>
  <c r="B90" i="15"/>
  <c r="B22" i="50"/>
  <c r="A22"/>
  <c r="B16" i="87"/>
  <c r="D121" i="50" s="1"/>
  <c r="D186" i="15"/>
  <c r="K186" s="1"/>
  <c r="B16" i="4"/>
  <c r="D9" i="50" s="1"/>
  <c r="B18" i="15"/>
  <c r="B95" i="50"/>
  <c r="A95"/>
  <c r="B24" i="15"/>
  <c r="B16" i="5"/>
  <c r="D13" i="50" s="1"/>
  <c r="B15" i="127"/>
  <c r="D132" i="50" s="1"/>
  <c r="B204" i="15"/>
  <c r="B15" i="96"/>
  <c r="D84" i="50" s="1"/>
  <c r="B132" i="15"/>
  <c r="B15" i="134"/>
  <c r="D160" i="50" s="1"/>
  <c r="B246" i="15"/>
  <c r="B15" i="86"/>
  <c r="D124" i="50" s="1"/>
  <c r="B192" i="15"/>
  <c r="B16" i="106"/>
  <c r="D45" i="50" s="1"/>
  <c r="B72" i="15"/>
  <c r="A43" i="50"/>
  <c r="B43"/>
  <c r="B79"/>
  <c r="A79"/>
  <c r="D126" i="15"/>
  <c r="K126" s="1"/>
  <c r="B16" i="97"/>
  <c r="D81" i="50" s="1"/>
  <c r="B15" i="89"/>
  <c r="D112" i="50" s="1"/>
  <c r="D174" i="15"/>
  <c r="K174" s="1"/>
  <c r="B59" i="50"/>
  <c r="A59"/>
  <c r="B30"/>
  <c r="A30"/>
  <c r="A110"/>
  <c r="B110"/>
  <c r="B14" i="105"/>
  <c r="D47" i="50" s="1"/>
  <c r="B76" i="15"/>
  <c r="B14" i="8"/>
  <c r="D23" i="50" s="1"/>
  <c r="B40" i="15"/>
  <c r="B14" i="134"/>
  <c r="D159" i="50" s="1"/>
  <c r="B244" i="15"/>
  <c r="B14" i="87"/>
  <c r="D119" i="50" s="1"/>
  <c r="B184" i="15"/>
  <c r="B96"/>
  <c r="B15" i="102"/>
  <c r="D60" i="50" s="1"/>
  <c r="D78" i="15"/>
  <c r="K78" s="1"/>
  <c r="B16" i="105"/>
  <c r="D49" i="50" s="1"/>
  <c r="A50"/>
  <c r="B50"/>
  <c r="D90" i="15"/>
  <c r="K90" s="1"/>
  <c r="B15" i="103"/>
  <c r="D56" i="50" s="1"/>
  <c r="B15" i="135"/>
  <c r="D164" i="50" s="1"/>
  <c r="B252" i="15"/>
  <c r="A146" i="50"/>
  <c r="B146"/>
  <c r="B15" i="10"/>
  <c r="D32" i="50" s="1"/>
  <c r="B54" i="15"/>
  <c r="D180"/>
  <c r="K180" s="1"/>
  <c r="B16" i="88"/>
  <c r="D117" i="50" s="1"/>
  <c r="B118"/>
  <c r="A118"/>
  <c r="B15" i="98"/>
  <c r="D76" i="50" s="1"/>
  <c r="B120" i="15"/>
  <c r="D24"/>
  <c r="K24" s="1"/>
  <c r="B15" i="5"/>
  <c r="D12" i="50" s="1"/>
  <c r="A14"/>
  <c r="B14"/>
  <c r="D42" i="15"/>
  <c r="K42" s="1"/>
  <c r="B16" i="8"/>
  <c r="D25" i="50" s="1"/>
  <c r="B15" i="99"/>
  <c r="D72" i="50" s="1"/>
  <c r="B114" i="15"/>
  <c r="B71" i="50"/>
  <c r="A71"/>
  <c r="A134"/>
  <c r="B134"/>
  <c r="D54" i="15"/>
  <c r="K54" s="1"/>
  <c r="B16" i="10"/>
  <c r="D33" i="50" s="1"/>
  <c r="B34"/>
  <c r="A34"/>
  <c r="B16" i="92"/>
  <c r="D101" i="50" s="1"/>
  <c r="D156" i="15"/>
  <c r="K156" s="1"/>
  <c r="B15" i="131"/>
  <c r="D148" i="50" s="1"/>
  <c r="B228" i="15"/>
  <c r="A147" i="50"/>
  <c r="B147"/>
  <c r="D108" i="15"/>
  <c r="K108" s="1"/>
  <c r="B16" i="100"/>
  <c r="D69" i="50" s="1"/>
  <c r="D222" i="15"/>
  <c r="K222" s="1"/>
  <c r="B16" i="130"/>
  <c r="D145" i="50" s="1"/>
  <c r="B15" i="8"/>
  <c r="D24" i="50" s="1"/>
  <c r="B42" i="15"/>
  <c r="D66"/>
  <c r="K66" s="1"/>
  <c r="B16" i="107"/>
  <c r="D41" i="50" s="1"/>
  <c r="A42"/>
  <c r="B42"/>
  <c r="A10"/>
  <c r="B10"/>
  <c r="B15" i="97"/>
  <c r="D80" i="50" s="1"/>
  <c r="B126" i="15"/>
  <c r="B15" i="91"/>
  <c r="D104" i="50" s="1"/>
  <c r="B162" i="15"/>
  <c r="A103" i="50"/>
  <c r="B103"/>
  <c r="B16" i="129"/>
  <c r="D141" i="50" s="1"/>
  <c r="D216" i="15"/>
  <c r="K216" s="1"/>
  <c r="D120"/>
  <c r="K120" s="1"/>
  <c r="B16" i="98"/>
  <c r="D77" i="50" s="1"/>
  <c r="B16" i="133"/>
  <c r="D157" i="50" s="1"/>
  <c r="D240" i="15"/>
  <c r="K240" s="1"/>
  <c r="B15" i="95"/>
  <c r="D88" i="50" s="1"/>
  <c r="B138" i="15"/>
  <c r="A171" i="50"/>
  <c r="B171"/>
  <c r="D264" i="15"/>
  <c r="K264" s="1"/>
  <c r="B16" i="137"/>
  <c r="D173" i="50" s="1"/>
  <c r="D150" i="15"/>
  <c r="K150" s="1"/>
  <c r="B16" i="93"/>
  <c r="D97" i="50" s="1"/>
  <c r="A98"/>
  <c r="B98"/>
  <c r="B130"/>
  <c r="A130"/>
  <c r="A127"/>
  <c r="B127"/>
  <c r="B155"/>
  <c r="A155"/>
  <c r="B16" i="6"/>
  <c r="D17" i="50" s="1"/>
  <c r="D30" i="15"/>
  <c r="K30" s="1"/>
  <c r="B90" i="50"/>
  <c r="A90"/>
  <c r="D114" i="15"/>
  <c r="K114" s="1"/>
  <c r="B16" i="99"/>
  <c r="D73" i="50" s="1"/>
  <c r="A111"/>
  <c r="B111"/>
  <c r="B16" i="91"/>
  <c r="D105" i="50" s="1"/>
  <c r="D162" i="15"/>
  <c r="K162" s="1"/>
  <c r="B15" i="9"/>
  <c r="D28" i="50" s="1"/>
  <c r="B48" i="15"/>
  <c r="BJ4" i="123"/>
  <c r="AU4"/>
  <c r="BC4"/>
  <c r="AV4"/>
  <c r="BD4"/>
  <c r="AX4"/>
  <c r="AY4"/>
  <c r="G17" i="15"/>
  <c r="G15"/>
  <c r="S1" i="4"/>
  <c r="J2" i="84"/>
  <c r="G280" i="15"/>
  <c r="G282"/>
  <c r="G278"/>
  <c r="R1" i="140"/>
  <c r="G344" i="15"/>
  <c r="G346"/>
  <c r="G348"/>
  <c r="R1" i="151"/>
  <c r="G376" i="15"/>
  <c r="G378"/>
  <c r="R1" i="156"/>
  <c r="G374" i="15"/>
  <c r="G338"/>
  <c r="G342"/>
  <c r="G340"/>
  <c r="R1" i="150"/>
  <c r="G22" i="15"/>
  <c r="R1" i="5"/>
  <c r="G24" i="15"/>
  <c r="G20"/>
  <c r="G358"/>
  <c r="R1" i="153"/>
  <c r="G356" i="15"/>
  <c r="G360"/>
  <c r="R1" i="141"/>
  <c r="G284" i="15"/>
  <c r="G288"/>
  <c r="G286"/>
  <c r="G290"/>
  <c r="R1" i="142"/>
  <c r="G292" i="15"/>
  <c r="G294"/>
  <c r="G306"/>
  <c r="G302"/>
  <c r="R1" i="144"/>
  <c r="G304" i="15"/>
  <c r="G336"/>
  <c r="G334"/>
  <c r="G332"/>
  <c r="R1" i="149"/>
  <c r="G310" i="15"/>
  <c r="G308"/>
  <c r="R1" i="145"/>
  <c r="G312" i="15"/>
  <c r="H11" i="84" l="1"/>
  <c r="D7"/>
  <c r="B28" i="50"/>
  <c r="A28"/>
  <c r="A88"/>
  <c r="B88"/>
  <c r="A80"/>
  <c r="B80"/>
  <c r="A73"/>
  <c r="B73"/>
  <c r="B97"/>
  <c r="A97"/>
  <c r="A173"/>
  <c r="B173"/>
  <c r="B77"/>
  <c r="A77"/>
  <c r="A41"/>
  <c r="B41"/>
  <c r="B145"/>
  <c r="A145"/>
  <c r="A69"/>
  <c r="B69"/>
  <c r="A33"/>
  <c r="B33"/>
  <c r="A25"/>
  <c r="B25"/>
  <c r="A12"/>
  <c r="B12"/>
  <c r="A117"/>
  <c r="B117"/>
  <c r="A56"/>
  <c r="B56"/>
  <c r="B49"/>
  <c r="A49"/>
  <c r="A60"/>
  <c r="B60"/>
  <c r="B81"/>
  <c r="A81"/>
  <c r="A13"/>
  <c r="B13"/>
  <c r="B37"/>
  <c r="A37"/>
  <c r="A64"/>
  <c r="B64"/>
  <c r="L6" i="118"/>
  <c r="N3" i="115" s="1"/>
  <c r="I3" s="1"/>
  <c r="B2" i="116" s="1"/>
  <c r="L7" i="118"/>
  <c r="N4" i="115" s="1"/>
  <c r="I4" s="1"/>
  <c r="B3" i="116" s="1"/>
  <c r="F3" s="1"/>
  <c r="C3" s="1"/>
  <c r="B19" i="50"/>
  <c r="A19"/>
  <c r="B15" i="104"/>
  <c r="D52" i="50" s="1"/>
  <c r="B84" i="15"/>
  <c r="B15" i="92"/>
  <c r="D100" i="50" s="1"/>
  <c r="B156" i="15"/>
  <c r="A93" i="50"/>
  <c r="B93"/>
  <c r="B5"/>
  <c r="A5"/>
  <c r="B156"/>
  <c r="A156"/>
  <c r="B129"/>
  <c r="A129"/>
  <c r="A172"/>
  <c r="B172"/>
  <c r="A113"/>
  <c r="B113"/>
  <c r="B85"/>
  <c r="A85"/>
  <c r="B92"/>
  <c r="A92"/>
  <c r="A168"/>
  <c r="B168"/>
  <c r="B21"/>
  <c r="A21"/>
  <c r="AC6" i="115"/>
  <c r="AA6"/>
  <c r="D258" i="15"/>
  <c r="K258" s="1"/>
  <c r="B16" i="136"/>
  <c r="D169" i="50" s="1"/>
  <c r="A91"/>
  <c r="B91"/>
  <c r="B53"/>
  <c r="A53"/>
  <c r="A75"/>
  <c r="B75"/>
  <c r="B152"/>
  <c r="A152"/>
  <c r="A4"/>
  <c r="B4"/>
  <c r="C5" i="123"/>
  <c r="B105" i="50"/>
  <c r="A105"/>
  <c r="B17"/>
  <c r="A17"/>
  <c r="B157"/>
  <c r="A157"/>
  <c r="A141"/>
  <c r="B141"/>
  <c r="A104"/>
  <c r="B104"/>
  <c r="B24"/>
  <c r="A24"/>
  <c r="A148"/>
  <c r="B148"/>
  <c r="B101"/>
  <c r="A101"/>
  <c r="B72"/>
  <c r="A72"/>
  <c r="A76"/>
  <c r="B76"/>
  <c r="A32"/>
  <c r="B32"/>
  <c r="B164"/>
  <c r="A164"/>
  <c r="B119"/>
  <c r="A119"/>
  <c r="A159"/>
  <c r="B159"/>
  <c r="A23"/>
  <c r="B23"/>
  <c r="B47"/>
  <c r="A47"/>
  <c r="A112"/>
  <c r="B112"/>
  <c r="B45"/>
  <c r="A45"/>
  <c r="B124"/>
  <c r="A124"/>
  <c r="A160"/>
  <c r="B160"/>
  <c r="A84"/>
  <c r="B84"/>
  <c r="B132"/>
  <c r="A132"/>
  <c r="B9"/>
  <c r="A9"/>
  <c r="B121"/>
  <c r="A121"/>
  <c r="A57"/>
  <c r="B57"/>
  <c r="A108"/>
  <c r="B108"/>
  <c r="B16"/>
  <c r="A16"/>
  <c r="B36"/>
  <c r="A36"/>
  <c r="A128"/>
  <c r="B128"/>
  <c r="B44"/>
  <c r="A44"/>
  <c r="B144"/>
  <c r="A144"/>
  <c r="B15" i="88"/>
  <c r="D116" i="50" s="1"/>
  <c r="B180" i="15"/>
  <c r="B61" i="50"/>
  <c r="A61"/>
  <c r="A89"/>
  <c r="B89"/>
  <c r="A8"/>
  <c r="B8"/>
  <c r="A133"/>
  <c r="B133"/>
  <c r="B125"/>
  <c r="A125"/>
  <c r="A165"/>
  <c r="B165"/>
  <c r="L17" i="118"/>
  <c r="P6" i="115" s="1"/>
  <c r="I6" s="1"/>
  <c r="B5" i="116" s="1"/>
  <c r="F5" s="1"/>
  <c r="C5" s="1"/>
  <c r="L16" i="118"/>
  <c r="P5" i="115" s="1"/>
  <c r="I5" s="1"/>
  <c r="B4" i="116" s="1"/>
  <c r="F4" s="1"/>
  <c r="C4" s="1"/>
  <c r="AC5" i="115"/>
  <c r="AA5"/>
  <c r="B163" i="50"/>
  <c r="A163"/>
  <c r="B55"/>
  <c r="A55"/>
  <c r="A109"/>
  <c r="B109"/>
  <c r="B29"/>
  <c r="A29"/>
  <c r="A136"/>
  <c r="B136"/>
  <c r="A96"/>
  <c r="B96"/>
  <c r="B20"/>
  <c r="A20"/>
  <c r="A68"/>
  <c r="B68"/>
  <c r="A140"/>
  <c r="B140"/>
  <c r="A149"/>
  <c r="B149"/>
  <c r="B137"/>
  <c r="A137"/>
  <c r="B153"/>
  <c r="A153"/>
  <c r="B15"/>
  <c r="A15"/>
  <c r="B39"/>
  <c r="A39"/>
  <c r="A3"/>
  <c r="B3"/>
  <c r="B11"/>
  <c r="A11"/>
  <c r="B120"/>
  <c r="A120"/>
  <c r="B48"/>
  <c r="A48"/>
  <c r="B40"/>
  <c r="A40"/>
  <c r="B161"/>
  <c r="A161"/>
  <c r="A65"/>
  <c r="B65"/>
  <c r="S1" i="5"/>
  <c r="G21" i="15"/>
  <c r="G23"/>
  <c r="D4" i="123" l="1"/>
  <c r="B100" i="50"/>
  <c r="A100"/>
  <c r="B52"/>
  <c r="A52"/>
  <c r="D30" i="115" s="1"/>
  <c r="B30" s="1"/>
  <c r="F2" i="116"/>
  <c r="C2" s="1"/>
  <c r="F103" i="75"/>
  <c r="F100"/>
  <c r="F60"/>
  <c r="F123"/>
  <c r="F78"/>
  <c r="F34"/>
  <c r="F109"/>
  <c r="F93"/>
  <c r="F56"/>
  <c r="F69"/>
  <c r="F121"/>
  <c r="F67"/>
  <c r="F30"/>
  <c r="F10"/>
  <c r="F6"/>
  <c r="F80"/>
  <c r="F113"/>
  <c r="F24"/>
  <c r="F74"/>
  <c r="F27"/>
  <c r="F54"/>
  <c r="F48"/>
  <c r="F82"/>
  <c r="F22"/>
  <c r="F68"/>
  <c r="F79"/>
  <c r="F25"/>
  <c r="F71"/>
  <c r="F63"/>
  <c r="F57"/>
  <c r="F14"/>
  <c r="F99"/>
  <c r="F96"/>
  <c r="F16"/>
  <c r="F94"/>
  <c r="F92"/>
  <c r="F110"/>
  <c r="F70"/>
  <c r="F47"/>
  <c r="F129"/>
  <c r="F32"/>
  <c r="F122"/>
  <c r="F44"/>
  <c r="F64"/>
  <c r="F90"/>
  <c r="F50"/>
  <c r="F11"/>
  <c r="F53"/>
  <c r="F33"/>
  <c r="F51"/>
  <c r="F42"/>
  <c r="F62"/>
  <c r="F61"/>
  <c r="F38"/>
  <c r="F15"/>
  <c r="F84"/>
  <c r="F8"/>
  <c r="F23"/>
  <c r="F37"/>
  <c r="F75"/>
  <c r="F125"/>
  <c r="F116"/>
  <c r="F9"/>
  <c r="F45"/>
  <c r="F76"/>
  <c r="F28"/>
  <c r="F35"/>
  <c r="F19"/>
  <c r="F101"/>
  <c r="F114"/>
  <c r="F13"/>
  <c r="F49"/>
  <c r="F59"/>
  <c r="F130"/>
  <c r="F89"/>
  <c r="F117"/>
  <c r="F73"/>
  <c r="F119"/>
  <c r="F105"/>
  <c r="F120"/>
  <c r="F3"/>
  <c r="F95"/>
  <c r="F43"/>
  <c r="F18"/>
  <c r="F126"/>
  <c r="F88"/>
  <c r="F108"/>
  <c r="F128"/>
  <c r="F98"/>
  <c r="F127"/>
  <c r="F7"/>
  <c r="F83"/>
  <c r="F87"/>
  <c r="F107"/>
  <c r="F52"/>
  <c r="F36"/>
  <c r="F106"/>
  <c r="F55"/>
  <c r="F111"/>
  <c r="F20"/>
  <c r="F12"/>
  <c r="F91"/>
  <c r="F112"/>
  <c r="F39"/>
  <c r="F65"/>
  <c r="F41"/>
  <c r="F58"/>
  <c r="F124"/>
  <c r="F5"/>
  <c r="F26"/>
  <c r="F77"/>
  <c r="F104"/>
  <c r="F17"/>
  <c r="F115"/>
  <c r="F97"/>
  <c r="F85"/>
  <c r="F72"/>
  <c r="F40"/>
  <c r="F4"/>
  <c r="F86"/>
  <c r="F102"/>
  <c r="F29"/>
  <c r="F21"/>
  <c r="F81"/>
  <c r="F31"/>
  <c r="F46"/>
  <c r="F66"/>
  <c r="F118"/>
  <c r="D167" i="115"/>
  <c r="D231"/>
  <c r="D129"/>
  <c r="D206"/>
  <c r="D116"/>
  <c r="D255"/>
  <c r="D115"/>
  <c r="D119"/>
  <c r="D8"/>
  <c r="B8" s="1"/>
  <c r="D218"/>
  <c r="D196"/>
  <c r="D97"/>
  <c r="D79"/>
  <c r="B79" s="1"/>
  <c r="D104" i="159" s="1"/>
  <c r="D228" i="115"/>
  <c r="D4"/>
  <c r="B4" s="1"/>
  <c r="D81"/>
  <c r="B81" s="1"/>
  <c r="D232" i="159" s="1"/>
  <c r="D211" i="115"/>
  <c r="D239"/>
  <c r="D156"/>
  <c r="D207"/>
  <c r="D143"/>
  <c r="D146"/>
  <c r="D87"/>
  <c r="B87" s="1"/>
  <c r="D88" i="159" s="1"/>
  <c r="D244" i="115"/>
  <c r="D242"/>
  <c r="D121"/>
  <c r="D9"/>
  <c r="B9" s="1"/>
  <c r="D105"/>
  <c r="D89"/>
  <c r="D22"/>
  <c r="B22" s="1"/>
  <c r="D120"/>
  <c r="D186"/>
  <c r="D84"/>
  <c r="B84" s="1"/>
  <c r="D237" i="159" s="1"/>
  <c r="D187" i="115"/>
  <c r="D233"/>
  <c r="D24"/>
  <c r="B24" s="1"/>
  <c r="D214"/>
  <c r="D198"/>
  <c r="D215"/>
  <c r="D163"/>
  <c r="D193"/>
  <c r="D27"/>
  <c r="B27" s="1"/>
  <c r="D247"/>
  <c r="D175"/>
  <c r="D93"/>
  <c r="D107"/>
  <c r="D94"/>
  <c r="D5"/>
  <c r="B5" s="1"/>
  <c r="D221"/>
  <c r="D91"/>
  <c r="D166"/>
  <c r="D133"/>
  <c r="D209"/>
  <c r="D77"/>
  <c r="B77" s="1"/>
  <c r="D168" i="159" s="1"/>
  <c r="D177" i="115"/>
  <c r="D182"/>
  <c r="D80"/>
  <c r="B80" s="1"/>
  <c r="D157" i="159" s="1"/>
  <c r="D142" i="115"/>
  <c r="D136"/>
  <c r="D70"/>
  <c r="B70" s="1"/>
  <c r="D125" i="159" s="1"/>
  <c r="D174" i="115"/>
  <c r="D15"/>
  <c r="B15" s="1"/>
  <c r="D149"/>
  <c r="D88"/>
  <c r="B88" s="1"/>
  <c r="D173" i="159" s="1"/>
  <c r="D235" i="115"/>
  <c r="D205"/>
  <c r="D185"/>
  <c r="D162"/>
  <c r="D150"/>
  <c r="D212"/>
  <c r="D225"/>
  <c r="D3"/>
  <c r="B3" s="1"/>
  <c r="D128"/>
  <c r="D106"/>
  <c r="D148"/>
  <c r="D108"/>
  <c r="D222"/>
  <c r="D23"/>
  <c r="B23" s="1"/>
  <c r="D114"/>
  <c r="D226"/>
  <c r="D155"/>
  <c r="D252"/>
  <c r="D251"/>
  <c r="D75"/>
  <c r="B75" s="1"/>
  <c r="D40" i="159" s="1"/>
  <c r="D141" i="115"/>
  <c r="D152"/>
  <c r="D135"/>
  <c r="D219"/>
  <c r="D234"/>
  <c r="D111"/>
  <c r="D203"/>
  <c r="D92"/>
  <c r="D168"/>
  <c r="D250"/>
  <c r="D210"/>
  <c r="D170"/>
  <c r="D158"/>
  <c r="D191"/>
  <c r="D127"/>
  <c r="D154"/>
  <c r="D213"/>
  <c r="D130"/>
  <c r="D241"/>
  <c r="D220"/>
  <c r="D29"/>
  <c r="B29" s="1"/>
  <c r="D200"/>
  <c r="D183"/>
  <c r="D139"/>
  <c r="D181"/>
  <c r="D14"/>
  <c r="B14" s="1"/>
  <c r="D123"/>
  <c r="D100"/>
  <c r="D13"/>
  <c r="B13" s="1"/>
  <c r="D258"/>
  <c r="D159"/>
  <c r="D86"/>
  <c r="B86" s="1"/>
  <c r="D109" i="159" s="1"/>
  <c r="D254" i="115"/>
  <c r="D232"/>
  <c r="D122"/>
  <c r="D124"/>
  <c r="D178"/>
  <c r="D98"/>
  <c r="D227"/>
  <c r="D173"/>
  <c r="D236"/>
  <c r="D112"/>
  <c r="D118"/>
  <c r="D11"/>
  <c r="B11" s="1"/>
  <c r="D138"/>
  <c r="D147"/>
  <c r="D145"/>
  <c r="D171"/>
  <c r="D180"/>
  <c r="D216"/>
  <c r="D243"/>
  <c r="D102"/>
  <c r="D73"/>
  <c r="B73" s="1"/>
  <c r="D200" i="159" s="1"/>
  <c r="D164" i="115"/>
  <c r="D188"/>
  <c r="D208"/>
  <c r="D78"/>
  <c r="B78" s="1"/>
  <c r="D93" i="159" s="1"/>
  <c r="D95" i="115"/>
  <c r="D109"/>
  <c r="D257"/>
  <c r="D237"/>
  <c r="D192"/>
  <c r="D6"/>
  <c r="B6" s="1"/>
  <c r="D132"/>
  <c r="D165"/>
  <c r="D10"/>
  <c r="B10" s="1"/>
  <c r="D172"/>
  <c r="D240"/>
  <c r="D194"/>
  <c r="D125"/>
  <c r="D184"/>
  <c r="D151"/>
  <c r="D126"/>
  <c r="D85"/>
  <c r="B85" s="1"/>
  <c r="D149" i="159" s="1"/>
  <c r="D230" i="115"/>
  <c r="D224"/>
  <c r="D83"/>
  <c r="B83" s="1"/>
  <c r="D24" i="159" s="1"/>
  <c r="D169" i="115"/>
  <c r="D161"/>
  <c r="D104"/>
  <c r="D204"/>
  <c r="D189"/>
  <c r="D99"/>
  <c r="D137"/>
  <c r="D199"/>
  <c r="D197"/>
  <c r="D19"/>
  <c r="B19" s="1"/>
  <c r="D101"/>
  <c r="D96"/>
  <c r="D217"/>
  <c r="D28"/>
  <c r="B28" s="1"/>
  <c r="D229"/>
  <c r="D12"/>
  <c r="B12" s="1"/>
  <c r="D7"/>
  <c r="B7" s="1"/>
  <c r="D157"/>
  <c r="D110"/>
  <c r="D134"/>
  <c r="D140"/>
  <c r="D245"/>
  <c r="D248"/>
  <c r="D256"/>
  <c r="D249"/>
  <c r="D253"/>
  <c r="D69"/>
  <c r="B69" s="1"/>
  <c r="D136" i="159" s="1"/>
  <c r="D176" i="115"/>
  <c r="D153"/>
  <c r="D90"/>
  <c r="D160"/>
  <c r="D26"/>
  <c r="B26" s="1"/>
  <c r="D117"/>
  <c r="D61"/>
  <c r="B61" s="1"/>
  <c r="D201"/>
  <c r="D179"/>
  <c r="D223"/>
  <c r="D131"/>
  <c r="D82"/>
  <c r="B82" s="1"/>
  <c r="D29" i="159" s="1"/>
  <c r="D195" i="115"/>
  <c r="D202"/>
  <c r="D144"/>
  <c r="D246"/>
  <c r="D238"/>
  <c r="D103"/>
  <c r="D113"/>
  <c r="D190"/>
  <c r="B116" i="50"/>
  <c r="A116"/>
  <c r="D52" i="115" s="1"/>
  <c r="B52" s="1"/>
  <c r="A169" i="50"/>
  <c r="B169"/>
  <c r="G30" i="15"/>
  <c r="R1" i="6"/>
  <c r="G26" i="15"/>
  <c r="G28"/>
  <c r="D74" i="115" l="1"/>
  <c r="B74" s="1"/>
  <c r="D61" i="159" s="1"/>
  <c r="D18" i="115"/>
  <c r="B18" s="1"/>
  <c r="D66"/>
  <c r="B66" s="1"/>
  <c r="D9" i="159" s="1"/>
  <c r="E7" s="1"/>
  <c r="D63" i="115"/>
  <c r="B63" s="1"/>
  <c r="D31"/>
  <c r="B31" s="1"/>
  <c r="D116" i="159" s="1"/>
  <c r="D17" i="115"/>
  <c r="B17" s="1"/>
  <c r="D67"/>
  <c r="B67" s="1"/>
  <c r="D8" i="159" s="1"/>
  <c r="D62" i="115"/>
  <c r="B62" s="1"/>
  <c r="D25"/>
  <c r="B25" s="1"/>
  <c r="D212" i="159" s="1"/>
  <c r="D64" i="115"/>
  <c r="B64" s="1"/>
  <c r="D71"/>
  <c r="B71" s="1"/>
  <c r="D72" i="159" s="1"/>
  <c r="D72" i="115"/>
  <c r="B72" s="1"/>
  <c r="D189" i="159" s="1"/>
  <c r="D76" i="115"/>
  <c r="B76" s="1"/>
  <c r="D221" i="159" s="1"/>
  <c r="D20" i="115"/>
  <c r="B20" s="1"/>
  <c r="D68"/>
  <c r="B68" s="1"/>
  <c r="D253" i="159" s="1"/>
  <c r="D16" i="115"/>
  <c r="B16" s="1"/>
  <c r="D21"/>
  <c r="B21" s="1"/>
  <c r="D153" i="159" s="1"/>
  <c r="D65" i="115"/>
  <c r="B65" s="1"/>
  <c r="D35"/>
  <c r="B35" s="1"/>
  <c r="D8" i="120" s="1"/>
  <c r="D233" i="159"/>
  <c r="D117" i="120"/>
  <c r="D188" i="159"/>
  <c r="D96" i="120"/>
  <c r="D49" i="159"/>
  <c r="D25" i="120"/>
  <c r="D36"/>
  <c r="D68" i="159"/>
  <c r="D116" i="120"/>
  <c r="D228" i="159"/>
  <c r="D108" i="120"/>
  <c r="D65" i="159"/>
  <c r="D33" i="120"/>
  <c r="D36" i="159"/>
  <c r="D20" i="120"/>
  <c r="D97" i="159"/>
  <c r="D49" i="120"/>
  <c r="D180" i="159"/>
  <c r="D92" i="120"/>
  <c r="D121"/>
  <c r="D241" i="159"/>
  <c r="D84"/>
  <c r="D44" i="120"/>
  <c r="D4" i="159"/>
  <c r="D4" i="120"/>
  <c r="D52"/>
  <c r="D100" i="159"/>
  <c r="D161"/>
  <c r="D81" i="120"/>
  <c r="D57"/>
  <c r="D113" i="159"/>
  <c r="D196"/>
  <c r="D100" i="120"/>
  <c r="D77"/>
  <c r="H231" i="159"/>
  <c r="BT34" i="115" s="1"/>
  <c r="E231" i="159"/>
  <c r="D128" i="120"/>
  <c r="D252" i="159"/>
  <c r="D97" i="120"/>
  <c r="D193" i="159"/>
  <c r="D5" i="123"/>
  <c r="D51" i="115"/>
  <c r="B51" s="1"/>
  <c r="D45"/>
  <c r="B45" s="1"/>
  <c r="D38"/>
  <c r="B38" s="1"/>
  <c r="D50"/>
  <c r="B50" s="1"/>
  <c r="D43"/>
  <c r="B43" s="1"/>
  <c r="D53"/>
  <c r="B53" s="1"/>
  <c r="D40"/>
  <c r="B40" s="1"/>
  <c r="D58"/>
  <c r="B58" s="1"/>
  <c r="D54"/>
  <c r="B54" s="1"/>
  <c r="D56"/>
  <c r="B56" s="1"/>
  <c r="D60"/>
  <c r="B60" s="1"/>
  <c r="D34"/>
  <c r="B34" s="1"/>
  <c r="D46"/>
  <c r="B46" s="1"/>
  <c r="D48"/>
  <c r="B48" s="1"/>
  <c r="D17" i="120"/>
  <c r="D33" i="159"/>
  <c r="D5" i="120"/>
  <c r="D64"/>
  <c r="D124" i="159"/>
  <c r="D60" i="120"/>
  <c r="D113"/>
  <c r="D225" i="159"/>
  <c r="D209"/>
  <c r="D105" i="120"/>
  <c r="D12"/>
  <c r="D20" i="159"/>
  <c r="D37" i="120"/>
  <c r="D73" i="159"/>
  <c r="H71" s="1"/>
  <c r="BT44" i="115" s="1"/>
  <c r="D129" i="159"/>
  <c r="D65" i="120"/>
  <c r="D69"/>
  <c r="D137" i="159"/>
  <c r="E135" s="1"/>
  <c r="D84" i="120"/>
  <c r="D164" i="159"/>
  <c r="D132"/>
  <c r="D68" i="120"/>
  <c r="D28"/>
  <c r="D52" i="159"/>
  <c r="D89" i="120"/>
  <c r="D177" i="159"/>
  <c r="D129" i="120"/>
  <c r="D257" i="159"/>
  <c r="D81"/>
  <c r="D41" i="120"/>
  <c r="D57" i="115"/>
  <c r="B57" s="1"/>
  <c r="D33"/>
  <c r="B33" s="1"/>
  <c r="D32"/>
  <c r="B32" s="1"/>
  <c r="D39"/>
  <c r="B39" s="1"/>
  <c r="D36"/>
  <c r="B36" s="1"/>
  <c r="D59"/>
  <c r="B59" s="1"/>
  <c r="D49"/>
  <c r="B49" s="1"/>
  <c r="D44"/>
  <c r="B44" s="1"/>
  <c r="D42"/>
  <c r="B42" s="1"/>
  <c r="D41"/>
  <c r="B41" s="1"/>
  <c r="D55"/>
  <c r="B55" s="1"/>
  <c r="D37"/>
  <c r="B37" s="1"/>
  <c r="D47"/>
  <c r="B47" s="1"/>
  <c r="S1" i="6"/>
  <c r="G29" i="15"/>
  <c r="G27"/>
  <c r="D12" i="159" l="1"/>
  <c r="H14" s="1"/>
  <c r="D72" i="120"/>
  <c r="D140" i="159"/>
  <c r="D104" i="120"/>
  <c r="D204" i="159"/>
  <c r="D109" i="120"/>
  <c r="D217" i="159"/>
  <c r="D60"/>
  <c r="D32" i="120"/>
  <c r="D40"/>
  <c r="D76" i="159"/>
  <c r="D124" i="120"/>
  <c r="D244" i="159"/>
  <c r="E255"/>
  <c r="H255"/>
  <c r="E175"/>
  <c r="H175"/>
  <c r="BT6" i="115" s="1"/>
  <c r="E51" i="159"/>
  <c r="H54"/>
  <c r="E67" i="120"/>
  <c r="H70"/>
  <c r="E163" i="159"/>
  <c r="H166"/>
  <c r="H22"/>
  <c r="E19"/>
  <c r="H223"/>
  <c r="E223"/>
  <c r="E123"/>
  <c r="H126"/>
  <c r="E31"/>
  <c r="H31"/>
  <c r="BV18" i="115" s="1"/>
  <c r="D148" i="159"/>
  <c r="D76" i="120"/>
  <c r="D9"/>
  <c r="D17" i="159"/>
  <c r="D85" i="120"/>
  <c r="D169" i="159"/>
  <c r="D21" i="120"/>
  <c r="D41" i="159"/>
  <c r="D156"/>
  <c r="D80" i="120"/>
  <c r="D25" i="159"/>
  <c r="D13" i="120"/>
  <c r="E11" s="1"/>
  <c r="D88"/>
  <c r="D172" i="159"/>
  <c r="E4" i="123"/>
  <c r="E127" i="120"/>
  <c r="H127"/>
  <c r="BG4" i="115" s="1"/>
  <c r="D65" i="109" s="1"/>
  <c r="H198" i="159"/>
  <c r="E195"/>
  <c r="E159"/>
  <c r="H159"/>
  <c r="E3"/>
  <c r="H6"/>
  <c r="E83"/>
  <c r="H86"/>
  <c r="H182"/>
  <c r="E179"/>
  <c r="E95"/>
  <c r="H95"/>
  <c r="BV14" i="115" s="1"/>
  <c r="H38" i="159"/>
  <c r="E35"/>
  <c r="E63"/>
  <c r="H63"/>
  <c r="BV10" i="115" s="1"/>
  <c r="H110" i="120"/>
  <c r="E107"/>
  <c r="H118"/>
  <c r="E115"/>
  <c r="H38"/>
  <c r="E35"/>
  <c r="H47" i="159"/>
  <c r="E47"/>
  <c r="H190"/>
  <c r="E187"/>
  <c r="E7" i="120"/>
  <c r="H7"/>
  <c r="BG34" i="115" s="1"/>
  <c r="D5" i="109" s="1"/>
  <c r="H135" i="159"/>
  <c r="BT46" i="115" s="1"/>
  <c r="E71" i="159"/>
  <c r="H7"/>
  <c r="BT48" i="115" s="1"/>
  <c r="D108" i="159"/>
  <c r="D56" i="120"/>
  <c r="D92" i="159"/>
  <c r="D48" i="120"/>
  <c r="D29"/>
  <c r="D57" i="159"/>
  <c r="D236"/>
  <c r="D120" i="120"/>
  <c r="D125"/>
  <c r="D249" i="159"/>
  <c r="D145"/>
  <c r="D73" i="120"/>
  <c r="D112"/>
  <c r="D220" i="159"/>
  <c r="E79"/>
  <c r="H79"/>
  <c r="H30" i="120"/>
  <c r="E27"/>
  <c r="H134" i="159"/>
  <c r="E131"/>
  <c r="H86" i="120"/>
  <c r="E83"/>
  <c r="H127" i="159"/>
  <c r="BV6" i="115" s="1"/>
  <c r="E127" i="159"/>
  <c r="H14" i="120"/>
  <c r="H207" i="159"/>
  <c r="BT10" i="115" s="1"/>
  <c r="E207" i="159"/>
  <c r="H118"/>
  <c r="E115"/>
  <c r="E63" i="120"/>
  <c r="H63"/>
  <c r="BG6" i="115" s="1"/>
  <c r="D33" i="109" s="1"/>
  <c r="D45" i="120"/>
  <c r="D89" i="159"/>
  <c r="D201"/>
  <c r="D101" i="120"/>
  <c r="E99" s="1"/>
  <c r="D105" i="159"/>
  <c r="D53" i="120"/>
  <c r="H54" s="1"/>
  <c r="D93"/>
  <c r="D185" i="159"/>
  <c r="D24" i="120"/>
  <c r="D44" i="159"/>
  <c r="D121"/>
  <c r="D61" i="120"/>
  <c r="E59" s="1"/>
  <c r="D16"/>
  <c r="D28" i="159"/>
  <c r="E191"/>
  <c r="H191"/>
  <c r="E251"/>
  <c r="H254"/>
  <c r="E151"/>
  <c r="H151"/>
  <c r="BT3" i="115" s="1"/>
  <c r="H102" i="120"/>
  <c r="E111" i="159"/>
  <c r="H111"/>
  <c r="E99"/>
  <c r="H102"/>
  <c r="E3" i="120"/>
  <c r="H6"/>
  <c r="G125" i="75"/>
  <c r="G9"/>
  <c r="G28"/>
  <c r="G35"/>
  <c r="G19"/>
  <c r="G13"/>
  <c r="G59"/>
  <c r="G89"/>
  <c r="G73"/>
  <c r="G105"/>
  <c r="G3"/>
  <c r="G30"/>
  <c r="G18"/>
  <c r="G108"/>
  <c r="G83"/>
  <c r="G107"/>
  <c r="G57"/>
  <c r="G55"/>
  <c r="G111"/>
  <c r="G20"/>
  <c r="G112"/>
  <c r="G94"/>
  <c r="G41"/>
  <c r="G129"/>
  <c r="G26"/>
  <c r="G104"/>
  <c r="G122"/>
  <c r="G97"/>
  <c r="G72"/>
  <c r="G50"/>
  <c r="G102"/>
  <c r="G33"/>
  <c r="G38"/>
  <c r="G66"/>
  <c r="G37"/>
  <c r="G100"/>
  <c r="G60"/>
  <c r="G78"/>
  <c r="G34"/>
  <c r="G49"/>
  <c r="G69"/>
  <c r="G95"/>
  <c r="G6"/>
  <c r="G113"/>
  <c r="G24"/>
  <c r="G27"/>
  <c r="G48"/>
  <c r="G127"/>
  <c r="G7"/>
  <c r="G68"/>
  <c r="G71"/>
  <c r="G52"/>
  <c r="G14"/>
  <c r="G96"/>
  <c r="G16"/>
  <c r="G110"/>
  <c r="G47"/>
  <c r="G17"/>
  <c r="G64"/>
  <c r="G90"/>
  <c r="G53"/>
  <c r="G42"/>
  <c r="G21"/>
  <c r="G61"/>
  <c r="G46"/>
  <c r="G23"/>
  <c r="E43" i="120"/>
  <c r="H46"/>
  <c r="H239" i="159"/>
  <c r="E239"/>
  <c r="H94" i="120"/>
  <c r="E91"/>
  <c r="H22"/>
  <c r="E19"/>
  <c r="E211" i="159"/>
  <c r="H214"/>
  <c r="E227"/>
  <c r="H230"/>
  <c r="H70"/>
  <c r="E67"/>
  <c r="H95" i="120"/>
  <c r="BG8" i="115" s="1"/>
  <c r="D49" i="109" s="1"/>
  <c r="E95" i="120"/>
  <c r="E11" i="159"/>
  <c r="G36" i="15"/>
  <c r="G34"/>
  <c r="G32"/>
  <c r="R1" i="7"/>
  <c r="G8" i="75" l="1"/>
  <c r="G15"/>
  <c r="G81"/>
  <c r="G62"/>
  <c r="G51"/>
  <c r="G29"/>
  <c r="G4"/>
  <c r="G44"/>
  <c r="G124"/>
  <c r="G70"/>
  <c r="G65"/>
  <c r="G91"/>
  <c r="G99"/>
  <c r="G36"/>
  <c r="G63"/>
  <c r="G79"/>
  <c r="G22"/>
  <c r="G82"/>
  <c r="G128"/>
  <c r="G54"/>
  <c r="G74"/>
  <c r="G88"/>
  <c r="G80"/>
  <c r="G10"/>
  <c r="G121"/>
  <c r="G56"/>
  <c r="G109"/>
  <c r="G101"/>
  <c r="G123"/>
  <c r="G76"/>
  <c r="G103"/>
  <c r="G118"/>
  <c r="G84"/>
  <c r="G31"/>
  <c r="G11"/>
  <c r="G86"/>
  <c r="G40"/>
  <c r="G85"/>
  <c r="G115"/>
  <c r="G32"/>
  <c r="G77"/>
  <c r="G5"/>
  <c r="G58"/>
  <c r="G92"/>
  <c r="G39"/>
  <c r="G12"/>
  <c r="G106"/>
  <c r="G25"/>
  <c r="G87"/>
  <c r="G98"/>
  <c r="G126"/>
  <c r="G43"/>
  <c r="G67"/>
  <c r="G120"/>
  <c r="G119"/>
  <c r="G117"/>
  <c r="G130"/>
  <c r="G93"/>
  <c r="G114"/>
  <c r="G45"/>
  <c r="G116"/>
  <c r="G75"/>
  <c r="BG15" i="115"/>
  <c r="D28" i="109" s="1"/>
  <c r="BG11" i="115"/>
  <c r="D12" i="109" s="1"/>
  <c r="L91" i="120"/>
  <c r="BI8" i="115" s="1"/>
  <c r="I93" i="120"/>
  <c r="BG29" i="115"/>
  <c r="D48" i="109" s="1"/>
  <c r="H15" i="120"/>
  <c r="BG18" i="115" s="1"/>
  <c r="D9" i="109" s="1"/>
  <c r="E15" i="120"/>
  <c r="H119" i="159"/>
  <c r="BT20" i="115" s="1"/>
  <c r="E119" i="159"/>
  <c r="H23" i="120"/>
  <c r="BG26" i="115" s="1"/>
  <c r="D13" i="109" s="1"/>
  <c r="E23" i="120"/>
  <c r="E103" i="159"/>
  <c r="H103"/>
  <c r="BT36" i="115" s="1"/>
  <c r="E199" i="159"/>
  <c r="H199"/>
  <c r="BT42" i="115" s="1"/>
  <c r="L122" i="159"/>
  <c r="I117"/>
  <c r="BV31" i="115"/>
  <c r="BT13"/>
  <c r="BG13"/>
  <c r="D44" i="109" s="1"/>
  <c r="L138" i="159"/>
  <c r="I133"/>
  <c r="BG27" i="115"/>
  <c r="D16" i="109" s="1"/>
  <c r="E111" i="120"/>
  <c r="H111"/>
  <c r="BG12" i="115" s="1"/>
  <c r="D57" i="109" s="1"/>
  <c r="E143" i="159"/>
  <c r="H143"/>
  <c r="BT14" i="115" s="1"/>
  <c r="H238" i="159"/>
  <c r="E235"/>
  <c r="H94"/>
  <c r="E91"/>
  <c r="E107"/>
  <c r="H110"/>
  <c r="BT5" i="115"/>
  <c r="BV23"/>
  <c r="I5" i="159"/>
  <c r="L10"/>
  <c r="BV3" i="115"/>
  <c r="E5" i="123"/>
  <c r="H87" i="120"/>
  <c r="BG24" i="115" s="1"/>
  <c r="D45" i="109" s="1"/>
  <c r="E87" i="120"/>
  <c r="H23" i="159"/>
  <c r="BT32" i="115" s="1"/>
  <c r="E23" i="159"/>
  <c r="H158"/>
  <c r="E155"/>
  <c r="H150"/>
  <c r="E147"/>
  <c r="L26"/>
  <c r="I21"/>
  <c r="BV19" i="115"/>
  <c r="H126" i="120"/>
  <c r="E123"/>
  <c r="H39"/>
  <c r="BG30" i="115" s="1"/>
  <c r="D21" i="109" s="1"/>
  <c r="E39" i="120"/>
  <c r="E59" i="159"/>
  <c r="H62"/>
  <c r="E103" i="120"/>
  <c r="H103"/>
  <c r="BG28" i="115" s="1"/>
  <c r="D53" i="109" s="1"/>
  <c r="E71" i="120"/>
  <c r="H71"/>
  <c r="BG32" i="115" s="1"/>
  <c r="D37" i="109" s="1"/>
  <c r="E51" i="120"/>
  <c r="H62"/>
  <c r="BT17" i="115"/>
  <c r="I69" i="159"/>
  <c r="L74"/>
  <c r="BV7" i="115"/>
  <c r="L234" i="159"/>
  <c r="I229"/>
  <c r="BT7" i="115"/>
  <c r="BG23"/>
  <c r="D24" i="109" s="1"/>
  <c r="L10" i="120"/>
  <c r="I5"/>
  <c r="BG3" i="115"/>
  <c r="D4" i="109" s="1"/>
  <c r="I101" i="159"/>
  <c r="L106"/>
  <c r="BV15" i="115"/>
  <c r="BT4"/>
  <c r="BV22"/>
  <c r="I101" i="120"/>
  <c r="L106"/>
  <c r="BG9" i="115"/>
  <c r="D52" i="109" s="1"/>
  <c r="I253" i="159"/>
  <c r="L251"/>
  <c r="BT47" i="115"/>
  <c r="E27" i="159"/>
  <c r="H30"/>
  <c r="E43"/>
  <c r="H46"/>
  <c r="E183"/>
  <c r="H183"/>
  <c r="BT22" i="115" s="1"/>
  <c r="H87" i="159"/>
  <c r="BT28" i="115" s="1"/>
  <c r="E87" i="159"/>
  <c r="L11" i="120"/>
  <c r="BI18" i="115" s="1"/>
  <c r="I13" i="120"/>
  <c r="BG19" i="115"/>
  <c r="D8" i="109" s="1"/>
  <c r="BT12" i="115"/>
  <c r="BV30"/>
  <c r="E219" i="159"/>
  <c r="H222"/>
  <c r="E247"/>
  <c r="H247"/>
  <c r="BT18" i="115" s="1"/>
  <c r="E119" i="120"/>
  <c r="H119"/>
  <c r="BG20" i="115" s="1"/>
  <c r="D61" i="109" s="1"/>
  <c r="H55" i="159"/>
  <c r="BT24" i="115" s="1"/>
  <c r="E55" i="159"/>
  <c r="E47" i="120"/>
  <c r="H47"/>
  <c r="BG14" i="115" s="1"/>
  <c r="D25" i="109" s="1"/>
  <c r="E55" i="120"/>
  <c r="H55"/>
  <c r="BG22" i="115" s="1"/>
  <c r="D29" i="109" s="1"/>
  <c r="I189" i="159"/>
  <c r="L187"/>
  <c r="BT43" i="115"/>
  <c r="BT8"/>
  <c r="BV26"/>
  <c r="I37" i="120"/>
  <c r="BG7" i="115"/>
  <c r="D20" i="109" s="1"/>
  <c r="I117" i="120"/>
  <c r="BG17" i="115"/>
  <c r="D60" i="109" s="1"/>
  <c r="L107" i="120"/>
  <c r="BI12" i="115" s="1"/>
  <c r="I109" i="120"/>
  <c r="BG25" i="115"/>
  <c r="D56" i="109" s="1"/>
  <c r="BV11" i="115"/>
  <c r="I181" i="159"/>
  <c r="L186"/>
  <c r="BT11" i="115"/>
  <c r="I197" i="159"/>
  <c r="L202"/>
  <c r="H174"/>
  <c r="E171"/>
  <c r="E79" i="120"/>
  <c r="H79"/>
  <c r="BG16" i="115" s="1"/>
  <c r="D41" i="109" s="1"/>
  <c r="H39" i="159"/>
  <c r="BT40" i="115" s="1"/>
  <c r="E39" i="159"/>
  <c r="E167"/>
  <c r="H167"/>
  <c r="BT38" i="115" s="1"/>
  <c r="E15" i="159"/>
  <c r="H15"/>
  <c r="BT16" i="115" s="1"/>
  <c r="E75" i="120"/>
  <c r="H78"/>
  <c r="I125" i="159"/>
  <c r="L123"/>
  <c r="BX6" i="115" s="1"/>
  <c r="BT45"/>
  <c r="L170" i="159"/>
  <c r="I69" i="120"/>
  <c r="L74"/>
  <c r="BG5" i="115"/>
  <c r="D36" i="109" s="1"/>
  <c r="L58" i="159"/>
  <c r="I53"/>
  <c r="BV27" i="115"/>
  <c r="BT9"/>
  <c r="E243" i="159"/>
  <c r="H246"/>
  <c r="E75"/>
  <c r="H78"/>
  <c r="E31" i="120"/>
  <c r="H31"/>
  <c r="BG10" i="115" s="1"/>
  <c r="D17" i="109" s="1"/>
  <c r="E215" i="159"/>
  <c r="H215"/>
  <c r="BT26" i="115" s="1"/>
  <c r="E203" i="159"/>
  <c r="H206"/>
  <c r="E139"/>
  <c r="H142"/>
  <c r="S1" i="7"/>
  <c r="G33" i="15"/>
  <c r="G35"/>
  <c r="L122" i="120" l="1"/>
  <c r="L42"/>
  <c r="BI5" i="115"/>
  <c r="L171" i="159"/>
  <c r="I173"/>
  <c r="BT27" i="115"/>
  <c r="M185" i="159"/>
  <c r="P179"/>
  <c r="H62" i="109"/>
  <c r="E59"/>
  <c r="BI17" i="115"/>
  <c r="BI7"/>
  <c r="I45" i="159"/>
  <c r="L43"/>
  <c r="BT25" i="115"/>
  <c r="I29" i="159"/>
  <c r="L27"/>
  <c r="BX18" i="115" s="1"/>
  <c r="BT33"/>
  <c r="M105" i="120"/>
  <c r="P114"/>
  <c r="BI9" i="115"/>
  <c r="E23" i="109"/>
  <c r="H23"/>
  <c r="AT14" i="115" s="1"/>
  <c r="D13" i="110" s="1"/>
  <c r="L59" i="120"/>
  <c r="BI6" i="115" s="1"/>
  <c r="I61" i="120"/>
  <c r="BG31" i="115"/>
  <c r="D32" i="109" s="1"/>
  <c r="L123" i="120"/>
  <c r="BI4" i="115" s="1"/>
  <c r="I125" i="120"/>
  <c r="BG33" i="115"/>
  <c r="D64" i="109" s="1"/>
  <c r="F4" i="123"/>
  <c r="BX3" i="115"/>
  <c r="L107" i="159"/>
  <c r="I109"/>
  <c r="BT29" i="115"/>
  <c r="H15" i="109"/>
  <c r="AT10" i="115" s="1"/>
  <c r="D9" i="110" s="1"/>
  <c r="E15" i="109"/>
  <c r="E47"/>
  <c r="H47"/>
  <c r="AT8" i="115" s="1"/>
  <c r="D25" i="110" s="1"/>
  <c r="H30" i="109"/>
  <c r="E27"/>
  <c r="I165" i="159"/>
  <c r="I37"/>
  <c r="I45" i="120"/>
  <c r="I213" i="159"/>
  <c r="L11"/>
  <c r="M9" s="1"/>
  <c r="I85"/>
  <c r="L27" i="120"/>
  <c r="BI10" i="115" s="1"/>
  <c r="I85" i="120"/>
  <c r="I21"/>
  <c r="I53"/>
  <c r="L139" i="159"/>
  <c r="M137" s="1"/>
  <c r="I141"/>
  <c r="BT19" i="115"/>
  <c r="I205" i="159"/>
  <c r="L203"/>
  <c r="BT23" i="115"/>
  <c r="I77" i="159"/>
  <c r="L75"/>
  <c r="BT21" i="115"/>
  <c r="L250" i="159"/>
  <c r="I245"/>
  <c r="BT15" i="115"/>
  <c r="E35" i="109"/>
  <c r="H38"/>
  <c r="P178" i="159"/>
  <c r="M169"/>
  <c r="L75" i="120"/>
  <c r="BI16" i="115" s="1"/>
  <c r="I77" i="120"/>
  <c r="BG21" i="115"/>
  <c r="D40" i="109" s="1"/>
  <c r="P210" i="159"/>
  <c r="M201"/>
  <c r="H55" i="109"/>
  <c r="AT12" i="115" s="1"/>
  <c r="D29" i="110" s="1"/>
  <c r="E55" i="109"/>
  <c r="H22"/>
  <c r="E19"/>
  <c r="I221" i="159"/>
  <c r="L219"/>
  <c r="BT39" i="115"/>
  <c r="E7" i="109"/>
  <c r="H7"/>
  <c r="AT18" i="115" s="1"/>
  <c r="D5" i="110" s="1"/>
  <c r="H54" i="109"/>
  <c r="E51"/>
  <c r="M105" i="159"/>
  <c r="P114"/>
  <c r="BX15" i="115"/>
  <c r="E3" i="109"/>
  <c r="H6"/>
  <c r="H103" i="75"/>
  <c r="H75"/>
  <c r="H125"/>
  <c r="H100"/>
  <c r="H76"/>
  <c r="H60"/>
  <c r="H123"/>
  <c r="H78"/>
  <c r="H101"/>
  <c r="H34"/>
  <c r="H109"/>
  <c r="H114"/>
  <c r="H49"/>
  <c r="H56"/>
  <c r="H121"/>
  <c r="H73"/>
  <c r="H3"/>
  <c r="H95"/>
  <c r="H10"/>
  <c r="H6"/>
  <c r="H18"/>
  <c r="H80"/>
  <c r="H88"/>
  <c r="H74"/>
  <c r="H54"/>
  <c r="H48"/>
  <c r="H128"/>
  <c r="H127"/>
  <c r="H7"/>
  <c r="H22"/>
  <c r="H68"/>
  <c r="H79"/>
  <c r="H71"/>
  <c r="H52"/>
  <c r="H36"/>
  <c r="H55"/>
  <c r="H14"/>
  <c r="H96"/>
  <c r="H91"/>
  <c r="H16"/>
  <c r="H65"/>
  <c r="H110"/>
  <c r="H70"/>
  <c r="H47"/>
  <c r="H124"/>
  <c r="H26"/>
  <c r="H77"/>
  <c r="H104"/>
  <c r="H17"/>
  <c r="H44"/>
  <c r="H115"/>
  <c r="H64"/>
  <c r="H72"/>
  <c r="H4"/>
  <c r="H29"/>
  <c r="H42"/>
  <c r="H62"/>
  <c r="H21"/>
  <c r="H81"/>
  <c r="H61"/>
  <c r="H31"/>
  <c r="H46"/>
  <c r="H8"/>
  <c r="H23"/>
  <c r="H116"/>
  <c r="H9"/>
  <c r="H45"/>
  <c r="H28"/>
  <c r="H35"/>
  <c r="H19"/>
  <c r="H13"/>
  <c r="H93"/>
  <c r="H59"/>
  <c r="H130"/>
  <c r="H69"/>
  <c r="H89"/>
  <c r="H117"/>
  <c r="H119"/>
  <c r="H105"/>
  <c r="H120"/>
  <c r="H67"/>
  <c r="H30"/>
  <c r="H43"/>
  <c r="H113"/>
  <c r="H126"/>
  <c r="H24"/>
  <c r="H27"/>
  <c r="H108"/>
  <c r="H98"/>
  <c r="H82"/>
  <c r="H83"/>
  <c r="H87"/>
  <c r="H107"/>
  <c r="H25"/>
  <c r="H63"/>
  <c r="H57"/>
  <c r="H106"/>
  <c r="H111"/>
  <c r="H99"/>
  <c r="H20"/>
  <c r="H12"/>
  <c r="H112"/>
  <c r="H39"/>
  <c r="H94"/>
  <c r="H92"/>
  <c r="H41"/>
  <c r="H58"/>
  <c r="H129"/>
  <c r="H5"/>
  <c r="H32"/>
  <c r="H122"/>
  <c r="H97"/>
  <c r="H85"/>
  <c r="H40"/>
  <c r="H90"/>
  <c r="H50"/>
  <c r="H86"/>
  <c r="H102"/>
  <c r="H11"/>
  <c r="H53"/>
  <c r="H33"/>
  <c r="H51"/>
  <c r="H38"/>
  <c r="H15"/>
  <c r="H84"/>
  <c r="H66"/>
  <c r="H118"/>
  <c r="H37"/>
  <c r="P18" i="120"/>
  <c r="M9"/>
  <c r="BI3" i="115"/>
  <c r="M73" i="159"/>
  <c r="P82"/>
  <c r="BX7" i="115"/>
  <c r="L59" i="159"/>
  <c r="BX10" i="115" s="1"/>
  <c r="I61" i="159"/>
  <c r="BT41" i="115"/>
  <c r="P19" i="159"/>
  <c r="M25"/>
  <c r="I149"/>
  <c r="L154"/>
  <c r="BT30" i="115"/>
  <c r="L155" i="159"/>
  <c r="I157"/>
  <c r="BT35" i="115"/>
  <c r="L91" i="159"/>
  <c r="BX14" i="115" s="1"/>
  <c r="I93" i="159"/>
  <c r="BT37" i="115"/>
  <c r="L235" i="159"/>
  <c r="M233" s="1"/>
  <c r="I237"/>
  <c r="BT31" i="115"/>
  <c r="H46" i="109"/>
  <c r="E43"/>
  <c r="M121" i="159"/>
  <c r="P115"/>
  <c r="BZ6" i="115" s="1"/>
  <c r="E11" i="109"/>
  <c r="H14"/>
  <c r="L42" i="159"/>
  <c r="L43" i="120"/>
  <c r="BI14" i="115" s="1"/>
  <c r="L218" i="159"/>
  <c r="I13"/>
  <c r="L90"/>
  <c r="I29" i="120"/>
  <c r="L90"/>
  <c r="L26"/>
  <c r="L58"/>
  <c r="G40" i="15"/>
  <c r="R1" i="8"/>
  <c r="G38" i="15"/>
  <c r="G42"/>
  <c r="M25" i="120" l="1"/>
  <c r="P19"/>
  <c r="BK10" i="115" s="1"/>
  <c r="BI11"/>
  <c r="L11" i="109"/>
  <c r="AV10" i="115" s="1"/>
  <c r="I13" i="109"/>
  <c r="AT11" i="115"/>
  <c r="D8" i="110" s="1"/>
  <c r="P51" i="120"/>
  <c r="BK6" i="115" s="1"/>
  <c r="M57" i="120"/>
  <c r="BI15" i="115"/>
  <c r="M89" i="120"/>
  <c r="P83"/>
  <c r="BK8" i="115" s="1"/>
  <c r="BI13"/>
  <c r="M89" i="159"/>
  <c r="P83"/>
  <c r="M217"/>
  <c r="P211"/>
  <c r="P50"/>
  <c r="M41"/>
  <c r="BX11" i="115"/>
  <c r="L43" i="109"/>
  <c r="AV8" i="115" s="1"/>
  <c r="I45" i="109"/>
  <c r="AT13" i="115"/>
  <c r="D24" i="110" s="1"/>
  <c r="I5" i="109"/>
  <c r="L10"/>
  <c r="AT3" i="115"/>
  <c r="D4" i="110" s="1"/>
  <c r="I53" i="109"/>
  <c r="L58"/>
  <c r="AT9" i="115"/>
  <c r="D28" i="110" s="1"/>
  <c r="H39" i="109"/>
  <c r="AT16" i="115" s="1"/>
  <c r="D21" i="110" s="1"/>
  <c r="E39" i="109"/>
  <c r="T163" i="159"/>
  <c r="Q177"/>
  <c r="AT15" i="115"/>
  <c r="D16" i="110" s="1"/>
  <c r="H63" i="109"/>
  <c r="AT4" i="115" s="1"/>
  <c r="D33" i="110" s="1"/>
  <c r="E63" i="109"/>
  <c r="I61"/>
  <c r="L59"/>
  <c r="AV4" i="115" s="1"/>
  <c r="AT17"/>
  <c r="D32" i="110" s="1"/>
  <c r="P242" i="159"/>
  <c r="P146"/>
  <c r="P18"/>
  <c r="P50" i="120"/>
  <c r="P115"/>
  <c r="BK4" i="115" s="1"/>
  <c r="P82" i="120"/>
  <c r="P51" i="159"/>
  <c r="BZ10" i="115" s="1"/>
  <c r="P147" i="159"/>
  <c r="M153"/>
  <c r="Q81"/>
  <c r="T98"/>
  <c r="BZ7" i="115"/>
  <c r="Q17" i="120"/>
  <c r="T34"/>
  <c r="BK3" i="115"/>
  <c r="T99" i="159"/>
  <c r="CB6" i="115" s="1"/>
  <c r="Q113" i="159"/>
  <c r="L26" i="109"/>
  <c r="I21"/>
  <c r="AT7" i="115"/>
  <c r="D12" i="110" s="1"/>
  <c r="T226" i="159"/>
  <c r="Q209"/>
  <c r="L42" i="109"/>
  <c r="I37"/>
  <c r="AT5" i="115"/>
  <c r="D20" i="110" s="1"/>
  <c r="P243" i="159"/>
  <c r="M249"/>
  <c r="F5" i="123"/>
  <c r="H31" i="109"/>
  <c r="AT6" i="115" s="1"/>
  <c r="D17" i="110" s="1"/>
  <c r="E31" i="109"/>
  <c r="T99" i="120"/>
  <c r="BM4" i="115" s="1"/>
  <c r="Q113" i="120"/>
  <c r="BK9" i="115"/>
  <c r="M41" i="120"/>
  <c r="M121"/>
  <c r="M73"/>
  <c r="M57" i="159"/>
  <c r="G39" i="15"/>
  <c r="G41"/>
  <c r="S1" i="8"/>
  <c r="E19" i="110" l="1"/>
  <c r="D12" i="56"/>
  <c r="H22" i="110"/>
  <c r="P50" i="109"/>
  <c r="M41"/>
  <c r="AV5" i="115"/>
  <c r="X67" i="159"/>
  <c r="CD6" i="115" s="1"/>
  <c r="U97" i="159"/>
  <c r="Q17"/>
  <c r="T34"/>
  <c r="BZ3" i="115"/>
  <c r="Q241" i="159"/>
  <c r="T227"/>
  <c r="X195" s="1"/>
  <c r="E15" i="110"/>
  <c r="H15"/>
  <c r="AI6" i="115" s="1"/>
  <c r="D9" i="119" s="1"/>
  <c r="D9" i="56"/>
  <c r="P51" i="109"/>
  <c r="AX4" i="115" s="1"/>
  <c r="M57" i="109"/>
  <c r="AV9" i="115"/>
  <c r="H6" i="110"/>
  <c r="D4" i="56"/>
  <c r="E3" i="110"/>
  <c r="I9" i="75"/>
  <c r="I45"/>
  <c r="I76"/>
  <c r="I28"/>
  <c r="I35"/>
  <c r="I59"/>
  <c r="I69"/>
  <c r="I117"/>
  <c r="I119"/>
  <c r="I105"/>
  <c r="I67"/>
  <c r="I30"/>
  <c r="I95"/>
  <c r="I10"/>
  <c r="I43"/>
  <c r="I113"/>
  <c r="I88"/>
  <c r="I24"/>
  <c r="I27"/>
  <c r="I108"/>
  <c r="I128"/>
  <c r="I98"/>
  <c r="I127"/>
  <c r="I82"/>
  <c r="I83"/>
  <c r="I68"/>
  <c r="I79"/>
  <c r="I87"/>
  <c r="I107"/>
  <c r="I63"/>
  <c r="I57"/>
  <c r="I36"/>
  <c r="I111"/>
  <c r="I99"/>
  <c r="I12"/>
  <c r="I91"/>
  <c r="I39"/>
  <c r="I16"/>
  <c r="I65"/>
  <c r="I92"/>
  <c r="I41"/>
  <c r="I58"/>
  <c r="I47"/>
  <c r="I124"/>
  <c r="I5"/>
  <c r="I32"/>
  <c r="I44"/>
  <c r="I97"/>
  <c r="I85"/>
  <c r="I40"/>
  <c r="I90"/>
  <c r="I50"/>
  <c r="I102"/>
  <c r="I11"/>
  <c r="I53"/>
  <c r="I33"/>
  <c r="I51"/>
  <c r="I42"/>
  <c r="I81"/>
  <c r="I15"/>
  <c r="I46"/>
  <c r="I66"/>
  <c r="I118"/>
  <c r="I37"/>
  <c r="I103"/>
  <c r="I75"/>
  <c r="I125"/>
  <c r="I116"/>
  <c r="I100"/>
  <c r="I60"/>
  <c r="I123"/>
  <c r="I19"/>
  <c r="I78"/>
  <c r="I101"/>
  <c r="I34"/>
  <c r="I109"/>
  <c r="I114"/>
  <c r="I13"/>
  <c r="I93"/>
  <c r="I49"/>
  <c r="I130"/>
  <c r="I56"/>
  <c r="I89"/>
  <c r="I121"/>
  <c r="I73"/>
  <c r="I120"/>
  <c r="I3"/>
  <c r="I6"/>
  <c r="I18"/>
  <c r="I80"/>
  <c r="I126"/>
  <c r="I74"/>
  <c r="I54"/>
  <c r="I48"/>
  <c r="I7"/>
  <c r="I22"/>
  <c r="I25"/>
  <c r="I71"/>
  <c r="I52"/>
  <c r="I106"/>
  <c r="I55"/>
  <c r="I14"/>
  <c r="I96"/>
  <c r="I20"/>
  <c r="I112"/>
  <c r="I94"/>
  <c r="I110"/>
  <c r="I70"/>
  <c r="I129"/>
  <c r="I26"/>
  <c r="I77"/>
  <c r="I104"/>
  <c r="I17"/>
  <c r="I122"/>
  <c r="I115"/>
  <c r="I64"/>
  <c r="I72"/>
  <c r="I4"/>
  <c r="I86"/>
  <c r="I29"/>
  <c r="I62"/>
  <c r="I21"/>
  <c r="I61"/>
  <c r="I31"/>
  <c r="I38"/>
  <c r="I84"/>
  <c r="I8"/>
  <c r="I23"/>
  <c r="T35" i="159"/>
  <c r="Q49"/>
  <c r="L27" i="109"/>
  <c r="AV6" i="115" s="1"/>
  <c r="G4" i="123"/>
  <c r="H14" i="110"/>
  <c r="D8" i="56"/>
  <c r="E11" i="110"/>
  <c r="AV7" i="115"/>
  <c r="X106" i="120"/>
  <c r="BM3" i="115"/>
  <c r="T98" i="120"/>
  <c r="Q81"/>
  <c r="BK5" i="115"/>
  <c r="T35" i="120"/>
  <c r="BM6" i="115" s="1"/>
  <c r="Q49" i="120"/>
  <c r="BK7" i="115"/>
  <c r="Q145" i="159"/>
  <c r="T162"/>
  <c r="D17" i="56"/>
  <c r="H31" i="110"/>
  <c r="AI4" i="115" s="1"/>
  <c r="D17" i="119" s="1"/>
  <c r="E31" i="110"/>
  <c r="E27"/>
  <c r="D16" i="56"/>
  <c r="H30" i="110"/>
  <c r="P18" i="109"/>
  <c r="M9"/>
  <c r="AV3" i="115"/>
  <c r="H23" i="110"/>
  <c r="AI8" i="115" s="1"/>
  <c r="D13" i="119" s="1"/>
  <c r="D13" i="56"/>
  <c r="E23" i="110"/>
  <c r="H7"/>
  <c r="AI10" i="115" s="1"/>
  <c r="D5" i="119" s="1"/>
  <c r="E7" i="110"/>
  <c r="D5" i="56"/>
  <c r="I29" i="109"/>
  <c r="R1" i="9"/>
  <c r="G48" i="15"/>
  <c r="G44"/>
  <c r="G46"/>
  <c r="U33" i="120" l="1"/>
  <c r="M25" i="109"/>
  <c r="AX3" i="115"/>
  <c r="E15" i="56"/>
  <c r="H15"/>
  <c r="H31"/>
  <c r="X107" i="120"/>
  <c r="BO5" i="115" s="1"/>
  <c r="X67" i="120"/>
  <c r="BO4" i="115" s="1"/>
  <c r="U97" i="120"/>
  <c r="BM5" i="115"/>
  <c r="Y105" i="120"/>
  <c r="BO6" i="115"/>
  <c r="L11" i="110"/>
  <c r="AK6" i="115" s="1"/>
  <c r="I13" i="110"/>
  <c r="AI7" i="115"/>
  <c r="D8" i="119" s="1"/>
  <c r="E3" i="56"/>
  <c r="H22"/>
  <c r="H6"/>
  <c r="I21" i="110"/>
  <c r="L26"/>
  <c r="AI5" i="115"/>
  <c r="D12" i="119" s="1"/>
  <c r="U225" i="159"/>
  <c r="L27" i="110"/>
  <c r="AK4" i="115" s="1"/>
  <c r="I29" i="110"/>
  <c r="AI9" i="115"/>
  <c r="D16" i="119" s="1"/>
  <c r="X194" i="159"/>
  <c r="Y193" s="1"/>
  <c r="U161"/>
  <c r="E7" i="56"/>
  <c r="H7"/>
  <c r="H23"/>
  <c r="G5" i="123"/>
  <c r="I5" i="110"/>
  <c r="L10"/>
  <c r="AI3" i="115"/>
  <c r="D4" i="119" s="1"/>
  <c r="X66" i="159"/>
  <c r="U33"/>
  <c r="CB3" i="115"/>
  <c r="T57" i="109"/>
  <c r="T35"/>
  <c r="AZ4" i="115" s="1"/>
  <c r="Q49" i="109"/>
  <c r="AX5" i="115"/>
  <c r="H14" i="56"/>
  <c r="E11"/>
  <c r="H30"/>
  <c r="X66" i="120"/>
  <c r="P19" i="109"/>
  <c r="AX6" i="115" s="1"/>
  <c r="G45" i="15"/>
  <c r="S1" i="9"/>
  <c r="G47" i="15"/>
  <c r="I29" i="56" l="1"/>
  <c r="L27"/>
  <c r="L35"/>
  <c r="L19"/>
  <c r="L11"/>
  <c r="I13"/>
  <c r="AZ5" i="115"/>
  <c r="X57" i="109"/>
  <c r="BD6" i="115" s="1"/>
  <c r="H6" i="119"/>
  <c r="E3"/>
  <c r="D4" i="55"/>
  <c r="J103" i="75"/>
  <c r="J75"/>
  <c r="J125"/>
  <c r="J116"/>
  <c r="J9"/>
  <c r="J28"/>
  <c r="J123"/>
  <c r="J19"/>
  <c r="J78"/>
  <c r="J101"/>
  <c r="J34"/>
  <c r="J109"/>
  <c r="J13"/>
  <c r="J93"/>
  <c r="J49"/>
  <c r="J59"/>
  <c r="J130"/>
  <c r="J56"/>
  <c r="J89"/>
  <c r="J73"/>
  <c r="J105"/>
  <c r="J120"/>
  <c r="J126"/>
  <c r="J74"/>
  <c r="J54"/>
  <c r="J48"/>
  <c r="J98"/>
  <c r="J7"/>
  <c r="J22"/>
  <c r="J25"/>
  <c r="J71"/>
  <c r="J52"/>
  <c r="J106"/>
  <c r="J55"/>
  <c r="J14"/>
  <c r="J96"/>
  <c r="J20"/>
  <c r="J12"/>
  <c r="J112"/>
  <c r="J94"/>
  <c r="J110"/>
  <c r="J70"/>
  <c r="J129"/>
  <c r="J26"/>
  <c r="J77"/>
  <c r="J17"/>
  <c r="J122"/>
  <c r="J64"/>
  <c r="J72"/>
  <c r="J4"/>
  <c r="J90"/>
  <c r="J86"/>
  <c r="J29"/>
  <c r="J53"/>
  <c r="J62"/>
  <c r="J21"/>
  <c r="J61"/>
  <c r="J31"/>
  <c r="J38"/>
  <c r="J15"/>
  <c r="J84"/>
  <c r="J118"/>
  <c r="J37"/>
  <c r="J45"/>
  <c r="J100"/>
  <c r="J76"/>
  <c r="J60"/>
  <c r="J35"/>
  <c r="J114"/>
  <c r="J69"/>
  <c r="J117"/>
  <c r="J121"/>
  <c r="J119"/>
  <c r="J3"/>
  <c r="J67"/>
  <c r="J30"/>
  <c r="J95"/>
  <c r="J10"/>
  <c r="J43"/>
  <c r="J6"/>
  <c r="J18"/>
  <c r="J80"/>
  <c r="J113"/>
  <c r="J88"/>
  <c r="J24"/>
  <c r="J27"/>
  <c r="J108"/>
  <c r="J128"/>
  <c r="J127"/>
  <c r="J82"/>
  <c r="J83"/>
  <c r="J68"/>
  <c r="J79"/>
  <c r="J87"/>
  <c r="J107"/>
  <c r="J63"/>
  <c r="J57"/>
  <c r="J36"/>
  <c r="J111"/>
  <c r="J99"/>
  <c r="J91"/>
  <c r="J39"/>
  <c r="J16"/>
  <c r="J65"/>
  <c r="J92"/>
  <c r="J41"/>
  <c r="J58"/>
  <c r="J47"/>
  <c r="J124"/>
  <c r="J5"/>
  <c r="J104"/>
  <c r="J32"/>
  <c r="J44"/>
  <c r="J115"/>
  <c r="J97"/>
  <c r="J85"/>
  <c r="J40"/>
  <c r="J50"/>
  <c r="J102"/>
  <c r="J11"/>
  <c r="J33"/>
  <c r="J51"/>
  <c r="J42"/>
  <c r="J81"/>
  <c r="J46"/>
  <c r="J66"/>
  <c r="J8"/>
  <c r="J23"/>
  <c r="P33" i="110"/>
  <c r="AM5" i="115" s="1"/>
  <c r="P19" i="110"/>
  <c r="AM4" i="115" s="1"/>
  <c r="M25" i="110"/>
  <c r="AK5" i="115"/>
  <c r="L18" i="56"/>
  <c r="M17" s="1"/>
  <c r="L10"/>
  <c r="M9" s="1"/>
  <c r="I5"/>
  <c r="T56" i="109"/>
  <c r="T34"/>
  <c r="Y65" i="120"/>
  <c r="BO3" i="115"/>
  <c r="Y65" i="159"/>
  <c r="CD3" i="115"/>
  <c r="P18" i="110"/>
  <c r="P32"/>
  <c r="M9"/>
  <c r="AK3" i="115"/>
  <c r="H4" i="123"/>
  <c r="H15" i="119"/>
  <c r="W4" i="115" s="1"/>
  <c r="D9" i="118" s="1"/>
  <c r="E15" i="119"/>
  <c r="D9" i="55"/>
  <c r="D8"/>
  <c r="E11" i="119"/>
  <c r="H14"/>
  <c r="I21" i="56"/>
  <c r="L26"/>
  <c r="M25" s="1"/>
  <c r="L34"/>
  <c r="M33" s="1"/>
  <c r="H7" i="119"/>
  <c r="W6" i="115" s="1"/>
  <c r="D5" i="118" s="1"/>
  <c r="D5" i="55"/>
  <c r="E7" i="119"/>
  <c r="Q17" i="109"/>
  <c r="G50" i="15"/>
  <c r="R1" i="10"/>
  <c r="G54" i="15"/>
  <c r="G52"/>
  <c r="L11" i="119" l="1"/>
  <c r="Y4" i="115" s="1"/>
  <c r="L21" i="119"/>
  <c r="Y5" i="115" s="1"/>
  <c r="I13" i="119"/>
  <c r="W5" i="115"/>
  <c r="D8" i="118" s="1"/>
  <c r="H7" i="55"/>
  <c r="H13"/>
  <c r="E7"/>
  <c r="H5" i="123"/>
  <c r="Q17" i="110"/>
  <c r="AM3" i="115"/>
  <c r="U55" i="109"/>
  <c r="AZ6" i="115"/>
  <c r="H6" i="55"/>
  <c r="I5" s="1"/>
  <c r="E3"/>
  <c r="H12"/>
  <c r="I11" s="1"/>
  <c r="I5" i="119"/>
  <c r="L10"/>
  <c r="L20"/>
  <c r="W3" i="115"/>
  <c r="D4" i="118" s="1"/>
  <c r="Q31" i="110"/>
  <c r="AM6" i="115"/>
  <c r="U33" i="109"/>
  <c r="AZ3" i="115"/>
  <c r="S1" i="10"/>
  <c r="G51" i="15"/>
  <c r="G53"/>
  <c r="H6" i="118" l="1"/>
  <c r="H16"/>
  <c r="E3"/>
  <c r="K116" i="75"/>
  <c r="E116" s="1"/>
  <c r="K45"/>
  <c r="E45" s="1"/>
  <c r="AH53" i="47" s="1"/>
  <c r="K100" i="75"/>
  <c r="E100" s="1"/>
  <c r="K76"/>
  <c r="E76" s="1"/>
  <c r="K60"/>
  <c r="E60" s="1"/>
  <c r="AH68" i="47" s="1"/>
  <c r="K35" i="75"/>
  <c r="E35" s="1"/>
  <c r="K19"/>
  <c r="E19" s="1"/>
  <c r="K101"/>
  <c r="E101" s="1"/>
  <c r="AH109" i="47" s="1"/>
  <c r="K114" i="75"/>
  <c r="E114" s="1"/>
  <c r="AH122" i="47" s="1"/>
  <c r="K13" i="75"/>
  <c r="E13" s="1"/>
  <c r="K49"/>
  <c r="E49" s="1"/>
  <c r="AH57" i="47" s="1"/>
  <c r="K130" i="75"/>
  <c r="E130" s="1"/>
  <c r="AH138" i="47" s="1"/>
  <c r="K69" i="75"/>
  <c r="E69" s="1"/>
  <c r="K89"/>
  <c r="E89" s="1"/>
  <c r="K117"/>
  <c r="E117" s="1"/>
  <c r="K121"/>
  <c r="E121" s="1"/>
  <c r="AH129" i="47" s="1"/>
  <c r="K119" i="75"/>
  <c r="E119" s="1"/>
  <c r="K120"/>
  <c r="E120" s="1"/>
  <c r="K3"/>
  <c r="E3" s="1"/>
  <c r="K95"/>
  <c r="E95" s="1"/>
  <c r="K43"/>
  <c r="E43" s="1"/>
  <c r="AH51" i="47" s="1"/>
  <c r="K6" i="75"/>
  <c r="E6" s="1"/>
  <c r="K18"/>
  <c r="E18" s="1"/>
  <c r="K80"/>
  <c r="E80" s="1"/>
  <c r="K113"/>
  <c r="E113" s="1"/>
  <c r="K126"/>
  <c r="E126" s="1"/>
  <c r="K88"/>
  <c r="E88" s="1"/>
  <c r="K24"/>
  <c r="E24" s="1"/>
  <c r="K27"/>
  <c r="E27" s="1"/>
  <c r="K108"/>
  <c r="E108" s="1"/>
  <c r="K128"/>
  <c r="E128" s="1"/>
  <c r="K127"/>
  <c r="E127" s="1"/>
  <c r="AH135" i="47" s="1"/>
  <c r="K82" i="75"/>
  <c r="E82" s="1"/>
  <c r="K7"/>
  <c r="E7" s="1"/>
  <c r="K83"/>
  <c r="E83" s="1"/>
  <c r="K87"/>
  <c r="E87" s="1"/>
  <c r="K107"/>
  <c r="E107" s="1"/>
  <c r="K63"/>
  <c r="E63" s="1"/>
  <c r="K52"/>
  <c r="E52" s="1"/>
  <c r="K36"/>
  <c r="E36" s="1"/>
  <c r="K106"/>
  <c r="E106" s="1"/>
  <c r="K111"/>
  <c r="E111" s="1"/>
  <c r="K99"/>
  <c r="E99" s="1"/>
  <c r="K20"/>
  <c r="E20" s="1"/>
  <c r="K91"/>
  <c r="E91" s="1"/>
  <c r="K112"/>
  <c r="E112" s="1"/>
  <c r="K39"/>
  <c r="E39" s="1"/>
  <c r="K65"/>
  <c r="E65" s="1"/>
  <c r="K41"/>
  <c r="E41" s="1"/>
  <c r="K58"/>
  <c r="E58" s="1"/>
  <c r="K124"/>
  <c r="E124" s="1"/>
  <c r="AH132" i="47" s="1"/>
  <c r="K5" i="75"/>
  <c r="E5" s="1"/>
  <c r="K104"/>
  <c r="E104" s="1"/>
  <c r="K17"/>
  <c r="E17" s="1"/>
  <c r="AH25" i="47" s="1"/>
  <c r="K115" i="75"/>
  <c r="E115" s="1"/>
  <c r="K97"/>
  <c r="E97" s="1"/>
  <c r="K85"/>
  <c r="E85" s="1"/>
  <c r="K40"/>
  <c r="E40" s="1"/>
  <c r="AH48" i="47" s="1"/>
  <c r="K4" i="75"/>
  <c r="E4" s="1"/>
  <c r="K86"/>
  <c r="E86" s="1"/>
  <c r="K102"/>
  <c r="E102" s="1"/>
  <c r="K29"/>
  <c r="E29" s="1"/>
  <c r="K51"/>
  <c r="E51" s="1"/>
  <c r="AH59" i="47" s="1"/>
  <c r="K21" i="75"/>
  <c r="E21" s="1"/>
  <c r="K81"/>
  <c r="E81" s="1"/>
  <c r="K46"/>
  <c r="E46" s="1"/>
  <c r="AH54" i="47" s="1"/>
  <c r="K66" i="75"/>
  <c r="E66" s="1"/>
  <c r="K8"/>
  <c r="E8" s="1"/>
  <c r="K23"/>
  <c r="E23" s="1"/>
  <c r="K37"/>
  <c r="E37" s="1"/>
  <c r="K103"/>
  <c r="E103" s="1"/>
  <c r="K75"/>
  <c r="E75" s="1"/>
  <c r="K125"/>
  <c r="E125" s="1"/>
  <c r="K9"/>
  <c r="E9" s="1"/>
  <c r="K28"/>
  <c r="E28" s="1"/>
  <c r="K123"/>
  <c r="E123" s="1"/>
  <c r="AH131" i="47" s="1"/>
  <c r="K78" i="75"/>
  <c r="E78" s="1"/>
  <c r="K34"/>
  <c r="E34" s="1"/>
  <c r="AH42" i="47" s="1"/>
  <c r="K109" i="75"/>
  <c r="E109" s="1"/>
  <c r="K93"/>
  <c r="E93" s="1"/>
  <c r="K59"/>
  <c r="E59" s="1"/>
  <c r="AH67" i="47" s="1"/>
  <c r="K56" i="75"/>
  <c r="E56" s="1"/>
  <c r="AH64" i="47" s="1"/>
  <c r="K73" i="75"/>
  <c r="E73" s="1"/>
  <c r="AH81" i="47" s="1"/>
  <c r="K105" i="75"/>
  <c r="E105" s="1"/>
  <c r="K67"/>
  <c r="E67" s="1"/>
  <c r="K30"/>
  <c r="E30" s="1"/>
  <c r="AH38" i="47" s="1"/>
  <c r="K10" i="75"/>
  <c r="E10" s="1"/>
  <c r="K74"/>
  <c r="E74" s="1"/>
  <c r="K54"/>
  <c r="E54" s="1"/>
  <c r="K48"/>
  <c r="E48" s="1"/>
  <c r="K98"/>
  <c r="E98" s="1"/>
  <c r="K22"/>
  <c r="E22" s="1"/>
  <c r="AH30" i="47" s="1"/>
  <c r="K68" i="75"/>
  <c r="E68" s="1"/>
  <c r="K79"/>
  <c r="E79" s="1"/>
  <c r="K25"/>
  <c r="E25" s="1"/>
  <c r="AH33" i="47" s="1"/>
  <c r="K71" i="75"/>
  <c r="E71" s="1"/>
  <c r="K57"/>
  <c r="E57" s="1"/>
  <c r="K55"/>
  <c r="E55" s="1"/>
  <c r="AH63" i="47" s="1"/>
  <c r="K14" i="75"/>
  <c r="E14" s="1"/>
  <c r="AH22" i="47" s="1"/>
  <c r="K96" i="75"/>
  <c r="E96" s="1"/>
  <c r="K12"/>
  <c r="E12" s="1"/>
  <c r="K16"/>
  <c r="E16" s="1"/>
  <c r="K94"/>
  <c r="E94" s="1"/>
  <c r="K92"/>
  <c r="E92" s="1"/>
  <c r="K110"/>
  <c r="E110" s="1"/>
  <c r="K70"/>
  <c r="E70" s="1"/>
  <c r="K47"/>
  <c r="E47" s="1"/>
  <c r="K129"/>
  <c r="E129" s="1"/>
  <c r="K26"/>
  <c r="E26" s="1"/>
  <c r="AH34" i="47" s="1"/>
  <c r="K77" i="75"/>
  <c r="E77" s="1"/>
  <c r="K32"/>
  <c r="E32" s="1"/>
  <c r="K122"/>
  <c r="E122" s="1"/>
  <c r="AH130" i="47" s="1"/>
  <c r="K44" i="75"/>
  <c r="E44" s="1"/>
  <c r="K64"/>
  <c r="E64" s="1"/>
  <c r="K72"/>
  <c r="E72" s="1"/>
  <c r="K90"/>
  <c r="E90" s="1"/>
  <c r="K50"/>
  <c r="E50" s="1"/>
  <c r="K11"/>
  <c r="E11" s="1"/>
  <c r="K53"/>
  <c r="E53" s="1"/>
  <c r="K33"/>
  <c r="E33" s="1"/>
  <c r="K42"/>
  <c r="E42" s="1"/>
  <c r="AH50" i="47" s="1"/>
  <c r="K62" i="75"/>
  <c r="E62" s="1"/>
  <c r="AH70" i="47" s="1"/>
  <c r="K61" i="75"/>
  <c r="E61" s="1"/>
  <c r="K31"/>
  <c r="E31" s="1"/>
  <c r="AH39" i="47" s="1"/>
  <c r="K38" i="75"/>
  <c r="E38" s="1"/>
  <c r="K15"/>
  <c r="E15" s="1"/>
  <c r="K84"/>
  <c r="E84" s="1"/>
  <c r="K118"/>
  <c r="E118" s="1"/>
  <c r="AH126" i="47" s="1"/>
  <c r="M9" i="119"/>
  <c r="Y3" i="115"/>
  <c r="M19" i="119"/>
  <c r="Y6" i="115"/>
  <c r="I4" i="123"/>
  <c r="E7" i="118"/>
  <c r="H7"/>
  <c r="L4" i="115" s="1"/>
  <c r="H17" i="118"/>
  <c r="R1" i="108"/>
  <c r="G58" i="15"/>
  <c r="G60"/>
  <c r="G56"/>
  <c r="AK126" i="47" l="1"/>
  <c r="A465" i="61"/>
  <c r="AJ126" i="47"/>
  <c r="AI126"/>
  <c r="AK70"/>
  <c r="A241" i="61"/>
  <c r="AJ70" i="47"/>
  <c r="AI70"/>
  <c r="A213" i="61"/>
  <c r="AJ63" i="47"/>
  <c r="AI63"/>
  <c r="AK63"/>
  <c r="AJ30"/>
  <c r="A81" i="61"/>
  <c r="AK30" i="47"/>
  <c r="AI30"/>
  <c r="AK38"/>
  <c r="AI38"/>
  <c r="A113" i="61"/>
  <c r="AJ38" i="47"/>
  <c r="AI64"/>
  <c r="AK64"/>
  <c r="A217" i="61"/>
  <c r="AJ64" i="47"/>
  <c r="AJ42"/>
  <c r="AI42"/>
  <c r="AK42"/>
  <c r="A129" i="61"/>
  <c r="A485"/>
  <c r="AI131" i="47"/>
  <c r="AK131"/>
  <c r="AJ131"/>
  <c r="AJ54"/>
  <c r="A177" i="61"/>
  <c r="AI54" i="47"/>
  <c r="AK54"/>
  <c r="AI48"/>
  <c r="A153" i="61"/>
  <c r="AK48" i="47"/>
  <c r="AJ48"/>
  <c r="A61" i="61"/>
  <c r="AI25" i="47"/>
  <c r="AK25"/>
  <c r="AJ25"/>
  <c r="AI135"/>
  <c r="AK135"/>
  <c r="AJ135"/>
  <c r="A501" i="61"/>
  <c r="AI129" i="47"/>
  <c r="AJ129"/>
  <c r="A477" i="61"/>
  <c r="AK129" i="47"/>
  <c r="AJ138"/>
  <c r="AI138"/>
  <c r="A513" i="61"/>
  <c r="AK138" i="47"/>
  <c r="AI109"/>
  <c r="AK109"/>
  <c r="A397" i="61"/>
  <c r="AJ109" i="47"/>
  <c r="A173" i="61"/>
  <c r="AI53" i="47"/>
  <c r="AJ53"/>
  <c r="AK53"/>
  <c r="I5" i="118"/>
  <c r="L3" i="115"/>
  <c r="AI39" i="47"/>
  <c r="AJ39"/>
  <c r="AK39"/>
  <c r="A117" i="61"/>
  <c r="AJ130" i="47"/>
  <c r="A481" i="61"/>
  <c r="AI130" i="47"/>
  <c r="AK130"/>
  <c r="I5" i="123"/>
  <c r="AK50" i="47"/>
  <c r="A161" i="61"/>
  <c r="AI50" i="47"/>
  <c r="AJ50"/>
  <c r="AI34"/>
  <c r="AJ34"/>
  <c r="A97" i="61"/>
  <c r="AK34" i="47"/>
  <c r="AJ22"/>
  <c r="AI22"/>
  <c r="AK22"/>
  <c r="A49" i="61"/>
  <c r="AI33" i="47"/>
  <c r="AJ33"/>
  <c r="AK33"/>
  <c r="A93" i="61"/>
  <c r="A285"/>
  <c r="AI81" i="47"/>
  <c r="AJ81"/>
  <c r="AK81"/>
  <c r="AK67"/>
  <c r="AJ67"/>
  <c r="A229" i="61"/>
  <c r="AI67" i="47"/>
  <c r="AK59"/>
  <c r="AJ59"/>
  <c r="A197" i="61"/>
  <c r="AI59" i="47"/>
  <c r="AJ132"/>
  <c r="AI132"/>
  <c r="A489" i="61"/>
  <c r="AK132" i="47"/>
  <c r="AI51"/>
  <c r="AJ51"/>
  <c r="AK51"/>
  <c r="A165" i="61"/>
  <c r="AI57" i="47"/>
  <c r="AK57"/>
  <c r="AJ57"/>
  <c r="A189" i="61"/>
  <c r="AK122" i="47"/>
  <c r="A449" i="61"/>
  <c r="AJ122" i="47"/>
  <c r="AI122"/>
  <c r="AK68"/>
  <c r="AJ68"/>
  <c r="AI68"/>
  <c r="A233" i="61"/>
  <c r="I15" i="118"/>
  <c r="G59" i="15"/>
  <c r="S1" i="108"/>
  <c r="G57" i="15"/>
  <c r="H449" i="61" l="1"/>
  <c r="G449"/>
  <c r="I449"/>
  <c r="I189"/>
  <c r="G189"/>
  <c r="H189"/>
  <c r="I93"/>
  <c r="H93"/>
  <c r="G93"/>
  <c r="H173"/>
  <c r="G173"/>
  <c r="I173"/>
  <c r="H513"/>
  <c r="G513"/>
  <c r="I513"/>
  <c r="G61"/>
  <c r="I61"/>
  <c r="H61"/>
  <c r="G485"/>
  <c r="H485"/>
  <c r="I485"/>
  <c r="G217"/>
  <c r="I217"/>
  <c r="H217"/>
  <c r="G113"/>
  <c r="I113"/>
  <c r="H113"/>
  <c r="I213"/>
  <c r="H213"/>
  <c r="G213"/>
  <c r="H233"/>
  <c r="G233"/>
  <c r="I233"/>
  <c r="G165"/>
  <c r="I165"/>
  <c r="H165"/>
  <c r="G49"/>
  <c r="I49"/>
  <c r="H49"/>
  <c r="G161"/>
  <c r="I161"/>
  <c r="H161"/>
  <c r="J4" i="123"/>
  <c r="H397" i="61"/>
  <c r="G397"/>
  <c r="I397"/>
  <c r="H477"/>
  <c r="G477"/>
  <c r="I477"/>
  <c r="I489"/>
  <c r="H489"/>
  <c r="G489"/>
  <c r="I197"/>
  <c r="H197"/>
  <c r="G197"/>
  <c r="H229"/>
  <c r="I229"/>
  <c r="G229"/>
  <c r="H285"/>
  <c r="I285"/>
  <c r="G285"/>
  <c r="G97"/>
  <c r="I97"/>
  <c r="H97"/>
  <c r="G481"/>
  <c r="I481"/>
  <c r="H481"/>
  <c r="G117"/>
  <c r="I117"/>
  <c r="H117"/>
  <c r="G501"/>
  <c r="H501"/>
  <c r="I501"/>
  <c r="H153"/>
  <c r="I153"/>
  <c r="G153"/>
  <c r="H177"/>
  <c r="I177"/>
  <c r="G177"/>
  <c r="H129"/>
  <c r="I129"/>
  <c r="G129"/>
  <c r="H81"/>
  <c r="I81"/>
  <c r="G81"/>
  <c r="G241"/>
  <c r="H241"/>
  <c r="I241"/>
  <c r="G465"/>
  <c r="I465"/>
  <c r="H465"/>
  <c r="G62" i="15"/>
  <c r="R1" i="107"/>
  <c r="G66" i="15"/>
  <c r="G64"/>
  <c r="J5" i="123" l="1"/>
  <c r="G63" i="15"/>
  <c r="G65"/>
  <c r="S1" i="107"/>
  <c r="K4" i="123" l="1"/>
  <c r="G72" i="15"/>
  <c r="R1" i="106"/>
  <c r="G70" i="15"/>
  <c r="G68"/>
  <c r="K5" i="123" l="1"/>
  <c r="G69" i="15"/>
  <c r="S1" i="106"/>
  <c r="G71" i="15"/>
  <c r="L4" i="123" l="1"/>
  <c r="G76" i="15"/>
  <c r="R1" i="105"/>
  <c r="G78" i="15"/>
  <c r="G74"/>
  <c r="L5" i="123" l="1"/>
  <c r="G75" i="15"/>
  <c r="S1" i="105"/>
  <c r="G77" i="15"/>
  <c r="M4" i="123" l="1"/>
  <c r="G84" i="15"/>
  <c r="R1" i="104"/>
  <c r="G80" i="15"/>
  <c r="G82"/>
  <c r="M5" i="123" l="1"/>
  <c r="G83" i="15"/>
  <c r="G81"/>
  <c r="S1" i="104"/>
  <c r="N4" i="123" l="1"/>
  <c r="G90" i="15"/>
  <c r="R1" i="103"/>
  <c r="G86" i="15"/>
  <c r="G88"/>
  <c r="N5" i="123" l="1"/>
  <c r="G89" i="15"/>
  <c r="G87"/>
  <c r="S1" i="103"/>
  <c r="O4" i="123" l="1"/>
  <c r="G96" i="15"/>
  <c r="G92"/>
  <c r="G94"/>
  <c r="R1" i="102"/>
  <c r="O5" i="123" l="1"/>
  <c r="S1" i="102"/>
  <c r="G93" i="15"/>
  <c r="G95"/>
  <c r="P4" i="123" l="1"/>
  <c r="G98" i="15"/>
  <c r="R1" i="101"/>
  <c r="G100" i="15"/>
  <c r="G102"/>
  <c r="P5" i="123" l="1"/>
  <c r="S1" i="101"/>
  <c r="G99" i="15"/>
  <c r="G101"/>
  <c r="Q4" i="123" l="1"/>
  <c r="G106" i="15"/>
  <c r="G108"/>
  <c r="G104"/>
  <c r="R1" i="100"/>
  <c r="Q5" i="123" l="1"/>
  <c r="G107" i="15"/>
  <c r="G105"/>
  <c r="S1" i="100"/>
  <c r="R4" i="123" l="1"/>
  <c r="G110" i="15"/>
  <c r="G112"/>
  <c r="R1" i="99"/>
  <c r="G114" i="15"/>
  <c r="R5" i="123" l="1"/>
  <c r="S1" i="99"/>
  <c r="G113" i="15"/>
  <c r="G111"/>
  <c r="S4" i="123" l="1"/>
  <c r="G116" i="15"/>
  <c r="G120"/>
  <c r="R1" i="98"/>
  <c r="G118" i="15"/>
  <c r="S5" i="123" l="1"/>
  <c r="G117" i="15"/>
  <c r="S1" i="98"/>
  <c r="G119" i="15"/>
  <c r="T4" i="123" l="1"/>
  <c r="G122" i="15"/>
  <c r="G126"/>
  <c r="G124"/>
  <c r="R1" i="97"/>
  <c r="T5" i="123" l="1"/>
  <c r="G123" i="15"/>
  <c r="G125"/>
  <c r="S1" i="97"/>
  <c r="U4" i="123" l="1"/>
  <c r="G132" i="15"/>
  <c r="G128"/>
  <c r="G130"/>
  <c r="R1" i="96"/>
  <c r="U5" i="123" l="1"/>
  <c r="G129" i="15"/>
  <c r="G131"/>
  <c r="S1" i="96"/>
  <c r="V4" i="123" l="1"/>
  <c r="R1" i="95"/>
  <c r="G138" i="15"/>
  <c r="G136"/>
  <c r="G134"/>
  <c r="V5" i="123" l="1"/>
  <c r="S1" i="95"/>
  <c r="G137" i="15"/>
  <c r="G135"/>
  <c r="W4" i="123" l="1"/>
  <c r="G140" i="15"/>
  <c r="G144"/>
  <c r="G142"/>
  <c r="R1" i="94"/>
  <c r="W5" i="123" l="1"/>
  <c r="S1" i="94"/>
  <c r="G141" i="15"/>
  <c r="G143"/>
  <c r="X4" i="123" l="1"/>
  <c r="G150" i="15"/>
  <c r="G148"/>
  <c r="R1" i="93"/>
  <c r="G146" i="15"/>
  <c r="X5" i="123" l="1"/>
  <c r="S1" i="93"/>
  <c r="G149" i="15"/>
  <c r="G147"/>
  <c r="Y4" i="123" l="1"/>
  <c r="G156" i="15"/>
  <c r="G152"/>
  <c r="R1" i="92"/>
  <c r="G154" i="15"/>
  <c r="Y5" i="123" l="1"/>
  <c r="S1" i="92"/>
  <c r="G153" i="15"/>
  <c r="G155"/>
  <c r="Z4" i="123" l="1"/>
  <c r="R1" i="91"/>
  <c r="G158" i="15"/>
  <c r="G162"/>
  <c r="G160"/>
  <c r="Z5" i="123" l="1"/>
  <c r="G159" i="15"/>
  <c r="S1" i="91"/>
  <c r="G161" i="15"/>
  <c r="AA4" i="123" l="1"/>
  <c r="G164" i="15"/>
  <c r="R1" i="90"/>
  <c r="G166" i="15"/>
  <c r="G168"/>
  <c r="AA5" i="123" l="1"/>
  <c r="G167" i="15"/>
  <c r="S1" i="90"/>
  <c r="G165" i="15"/>
  <c r="AB4" i="123" l="1"/>
  <c r="G170" i="15"/>
  <c r="G172"/>
  <c r="R1" i="89"/>
  <c r="G174" i="15"/>
  <c r="AB5" i="123" l="1"/>
  <c r="G173" i="15"/>
  <c r="S1" i="89"/>
  <c r="G171" i="15"/>
  <c r="AC4" i="123" l="1"/>
  <c r="G176" i="15"/>
  <c r="G178"/>
  <c r="R1" i="88"/>
  <c r="G180" i="15"/>
  <c r="AC5" i="123" l="1"/>
  <c r="G179" i="15"/>
  <c r="S1" i="88"/>
  <c r="G177" i="15"/>
  <c r="AD4" i="123" l="1"/>
  <c r="G182" i="15"/>
  <c r="R1" i="87"/>
  <c r="G184" i="15"/>
  <c r="G186"/>
  <c r="AD5" i="123" l="1"/>
  <c r="G183" i="15"/>
  <c r="S1" i="87"/>
  <c r="G185" i="15"/>
  <c r="AE4" i="123" l="1"/>
  <c r="G188" i="15"/>
  <c r="G190"/>
  <c r="G192"/>
  <c r="R1" i="86"/>
  <c r="AE5" i="123" l="1"/>
  <c r="G189" i="15"/>
  <c r="S1" i="86"/>
  <c r="G191" i="15"/>
  <c r="AF4" i="123" l="1"/>
  <c r="R1" i="85"/>
  <c r="G198" i="15"/>
  <c r="G194"/>
  <c r="G196"/>
  <c r="AF5" i="123" l="1"/>
  <c r="S1" i="85"/>
  <c r="G197" i="15"/>
  <c r="G195"/>
  <c r="AG4" i="123" l="1"/>
  <c r="R1" i="127"/>
  <c r="G202" i="15"/>
  <c r="G204"/>
  <c r="G200"/>
  <c r="AG5" i="123" l="1"/>
  <c r="G203" i="15"/>
  <c r="G201"/>
  <c r="S1" i="127"/>
  <c r="AH4" i="123" l="1"/>
  <c r="G208" i="15"/>
  <c r="R1" i="128"/>
  <c r="G206" i="15"/>
  <c r="G210"/>
  <c r="AH5" i="123" l="1"/>
  <c r="S1" i="128"/>
  <c r="G207" i="15"/>
  <c r="G209"/>
  <c r="AI4" i="123" l="1"/>
  <c r="G212" i="15"/>
  <c r="R1" i="129"/>
  <c r="G216" i="15"/>
  <c r="G214"/>
  <c r="AI5" i="123" l="1"/>
  <c r="G215" i="15"/>
  <c r="S1" i="129"/>
  <c r="G213" i="15"/>
  <c r="AJ4" i="123" l="1"/>
  <c r="G222" i="15"/>
  <c r="G220"/>
  <c r="R1" i="130"/>
  <c r="G218" i="15"/>
  <c r="AJ5" i="123" l="1"/>
  <c r="G221" i="15"/>
  <c r="G219"/>
  <c r="S1" i="130"/>
  <c r="AK4" i="123" l="1"/>
  <c r="R1" i="131"/>
  <c r="G226" i="15"/>
  <c r="G224"/>
  <c r="G228"/>
  <c r="AK5" i="123" l="1"/>
  <c r="G225" i="15"/>
  <c r="G227"/>
  <c r="S1" i="131"/>
  <c r="AL4" i="123" l="1"/>
  <c r="G234" i="15"/>
  <c r="G232"/>
  <c r="R1" i="132"/>
  <c r="G230" i="15"/>
  <c r="AL5" i="123" l="1"/>
  <c r="G233" i="15"/>
  <c r="G231"/>
  <c r="S1" i="132"/>
  <c r="AM4" i="123" l="1"/>
  <c r="R1" i="133"/>
  <c r="G236" i="15"/>
  <c r="G238"/>
  <c r="G240"/>
  <c r="AM5" i="123" l="1"/>
  <c r="G237" i="15"/>
  <c r="G239"/>
  <c r="S1" i="133"/>
  <c r="AN4" i="123" l="1"/>
  <c r="R1" i="134"/>
  <c r="G242" i="15"/>
  <c r="G244"/>
  <c r="G246"/>
  <c r="AN5" i="123" l="1"/>
  <c r="G243" i="15"/>
  <c r="S1" i="134"/>
  <c r="G245" i="15"/>
  <c r="AO4" i="123" l="1"/>
  <c r="R1" i="135"/>
  <c r="G252" i="15"/>
  <c r="G250"/>
  <c r="G248"/>
  <c r="AO5" i="123" l="1"/>
  <c r="G249" i="15"/>
  <c r="S1" i="135"/>
  <c r="G251" i="15"/>
  <c r="AP4" i="123" l="1"/>
  <c r="G254" i="15"/>
  <c r="R1" i="136"/>
  <c r="G256" i="15"/>
  <c r="G258"/>
  <c r="AP5" i="123" l="1"/>
  <c r="G257" i="15"/>
  <c r="G255"/>
  <c r="S1" i="136"/>
  <c r="AQ4" i="123" l="1"/>
  <c r="R1" i="137"/>
  <c r="G264" i="15"/>
  <c r="G262"/>
  <c r="G260"/>
  <c r="AQ5" i="123" l="1"/>
  <c r="S1" i="137"/>
  <c r="G261" i="15"/>
  <c r="G263"/>
  <c r="AR4" i="123" l="1"/>
  <c r="G266" i="15"/>
  <c r="G270"/>
  <c r="G268"/>
  <c r="R1" i="138"/>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<sst xmlns="http://schemas.openxmlformats.org/spreadsheetml/2006/main" count="7489" uniqueCount="2286">
  <si>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</si>
  <si>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</si>
  <si>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</si>
  <si>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</si>
  <si>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</si>
  <si>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</si>
  <si>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</si>
  <si>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</si>
  <si>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</si>
  <si>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</si>
  <si>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</si>
  <si>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</si>
  <si>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</si>
  <si>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</si>
  <si>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</si>
  <si>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</si>
  <si>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</si>
  <si>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</si>
  <si>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</si>
  <si>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</si>
  <si>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</si>
  <si>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</si>
  <si>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</si>
  <si>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</si>
  <si>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</si>
  <si>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</si>
  <si>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</si>
  <si>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</si>
  <si>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</si>
  <si>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</si>
  <si>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</si>
  <si>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</si>
  <si>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</si>
  <si>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</si>
  <si>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</si>
  <si>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</si>
  <si>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</si>
  <si>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</si>
  <si>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</si>
  <si>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</si>
  <si>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</si>
  <si>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</si>
  <si>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</si>
  <si>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</si>
  <si>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</si>
  <si>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</si>
  <si>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</si>
  <si>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</si>
  <si>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</si>
  <si>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</si>
  <si>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</si>
  <si>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</si>
  <si>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</si>
  <si>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</si>
  <si>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</si>
  <si>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</si>
  <si>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</si>
  <si>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</si>
  <si>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</si>
  <si>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</si>
  <si>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</si>
  <si>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</si>
  <si>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</si>
  <si>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</si>
  <si>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</si>
  <si>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</si>
  <si>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</si>
  <si>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</si>
  <si>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</si>
  <si>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</si>
  <si>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</si>
  <si>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</si>
  <si>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</si>
  <si>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</si>
  <si>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</si>
  <si>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</si>
  <si>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</si>
  <si>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</si>
  <si>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</si>
  <si>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</si>
  <si>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</si>
  <si>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</si>
  <si>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</si>
  <si>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</si>
  <si>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</si>
  <si>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</si>
  <si>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</si>
  <si>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</si>
  <si>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</si>
  <si>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</si>
  <si>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</si>
  <si>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</si>
  <si>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</si>
  <si>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</si>
  <si>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</si>
  <si>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</si>
  <si>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</si>
  <si>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</si>
  <si>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</si>
  <si>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</si>
  <si>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</si>
  <si>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</si>
  <si>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</si>
  <si>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</si>
  <si>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</si>
  <si>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</si>
  <si>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</si>
  <si>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</si>
  <si>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</si>
  <si>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</si>
  <si>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</si>
  <si>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</si>
  <si>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</si>
  <si>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</si>
  <si>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</si>
  <si>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</si>
  <si>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</si>
  <si>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</si>
  <si>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</si>
  <si>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</si>
  <si>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</si>
  <si>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</si>
  <si>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</si>
  <si>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</si>
  <si>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</si>
  <si>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</si>
  <si>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</si>
  <si>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</si>
  <si>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</si>
  <si>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</si>
  <si>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</si>
  <si>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</si>
  <si>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</si>
  <si>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</si>
  <si>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</si>
  <si>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</si>
  <si>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</si>
  <si>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</si>
  <si>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</si>
  <si>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</si>
  <si>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</si>
  <si>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</si>
  <si>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</si>
  <si>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</si>
  <si>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</si>
  <si>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</si>
  <si>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</si>
  <si>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</si>
  <si>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</si>
  <si>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</si>
  <si>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</si>
  <si>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</si>
  <si>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</si>
  <si>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</si>
  <si>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</si>
  <si>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</si>
  <si>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</si>
  <si>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</si>
  <si>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</si>
  <si>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</si>
  <si>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</si>
  <si>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</si>
  <si>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</si>
  <si>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</si>
  <si>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</si>
  <si>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</si>
  <si>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</si>
  <si>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</si>
  <si>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</si>
  <si>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</si>
  <si>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</si>
  <si>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</si>
  <si>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</si>
  <si>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</si>
  <si>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</si>
  <si>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</si>
  <si>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</si>
  <si>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</si>
  <si>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</si>
  <si>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</si>
  <si>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</si>
  <si>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</si>
  <si>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</si>
  <si>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</si>
  <si>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</si>
  <si>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</si>
  <si>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</si>
  <si>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</si>
  <si>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</si>
  <si>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</si>
  <si>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</si>
  <si>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</si>
  <si>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</si>
  <si>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</si>
  <si>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</si>
  <si>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</si>
  <si>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</si>
  <si>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</si>
  <si>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</si>
  <si>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</si>
  <si>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</si>
  <si>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</si>
  <si>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</si>
  <si>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</si>
  <si>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</si>
  <si>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</si>
  <si>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</si>
  <si>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</si>
  <si>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</si>
  <si>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</si>
  <si>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</si>
  <si>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</si>
  <si>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</si>
  <si>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</si>
  <si>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</si>
  <si>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</si>
  <si>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</si>
  <si>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</si>
  <si>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</si>
  <si>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</si>
  <si>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</si>
  <si>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</si>
  <si>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</si>
  <si>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</si>
  <si>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</si>
  <si>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</si>
  <si>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</si>
  <si>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</si>
  <si>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</si>
  <si>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</si>
  <si>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</si>
  <si>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</si>
  <si>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</si>
  <si>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</si>
  <si>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</si>
  <si>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</si>
  <si>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</si>
  <si>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</si>
  <si>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</si>
  <si>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</si>
  <si>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</si>
  <si>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</si>
  <si>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</si>
  <si>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</si>
  <si>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</si>
  <si>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</si>
  <si>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</si>
  <si>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</si>
  <si>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</si>
  <si>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</si>
  <si>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</si>
  <si>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</si>
  <si>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</si>
  <si>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</si>
  <si>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</si>
  <si>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</si>
  <si>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</si>
  <si>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</si>
  <si>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</si>
  <si>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</si>
  <si>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</si>
  <si>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</si>
  <si>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</si>
  <si>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</si>
  <si>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</si>
  <si>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</si>
  <si>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</si>
  <si>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</si>
  <si>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</si>
  <si>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</si>
  <si>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</si>
  <si>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</si>
  <si>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</si>
  <si>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</si>
  <si>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</si>
  <si>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</si>
  <si>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</si>
  <si>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</si>
  <si>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</si>
  <si>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</si>
  <si>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</si>
  <si>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</si>
  <si>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</si>
  <si>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</si>
  <si>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</si>
  <si>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</si>
  <si>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</si>
  <si>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</si>
  <si>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</si>
  <si>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</si>
  <si>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</si>
  <si>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</si>
  <si>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</si>
  <si>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</si>
  <si>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</si>
  <si>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</si>
  <si>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</si>
  <si>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</si>
  <si>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</si>
  <si>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</si>
  <si>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</si>
  <si>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</si>
  <si>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</si>
  <si>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</si>
  <si>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</si>
  <si>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</si>
  <si>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</si>
  <si>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</si>
  <si>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</si>
  <si>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</si>
  <si>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</si>
  <si>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</si>
  <si>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</si>
  <si>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</si>
  <si>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</si>
  <si>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</si>
  <si>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</si>
  <si>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</si>
  <si>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</si>
  <si>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</si>
  <si>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</si>
  <si>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</si>
  <si>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</si>
  <si>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</si>
  <si>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</si>
  <si>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</si>
  <si>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</si>
  <si>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</si>
  <si>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</si>
  <si>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</si>
  <si>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</si>
  <si>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</si>
  <si>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</si>
  <si>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</si>
  <si>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</si>
  <si>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</si>
  <si>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</si>
  <si>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</si>
  <si>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</si>
  <si>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</si>
  <si>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</si>
  <si>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</si>
  <si>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</si>
  <si>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</si>
  <si>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</si>
  <si>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</si>
  <si>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</si>
  <si>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</si>
  <si>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</si>
  <si>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</si>
  <si>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</si>
  <si>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</si>
  <si>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</si>
  <si>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</si>
  <si>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</si>
  <si>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</si>
  <si>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</si>
  <si>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</si>
  <si>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</si>
  <si>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</si>
  <si>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</si>
  <si>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</si>
  <si>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</si>
  <si>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</si>
  <si>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</si>
  <si>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</si>
  <si>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</si>
  <si>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</si>
  <si>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</si>
  <si>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</si>
  <si>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</si>
  <si>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</si>
  <si>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</si>
  <si>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</si>
  <si>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</si>
  <si>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</si>
  <si>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</si>
  <si>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</si>
  <si>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</si>
  <si>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</si>
  <si>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</si>
  <si>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</si>
  <si>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</si>
  <si>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</si>
  <si>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</si>
  <si>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</si>
  <si>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</si>
  <si>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</si>
  <si>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</si>
  <si>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</si>
  <si>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</si>
  <si>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</si>
  <si>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</si>
  <si>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</si>
  <si>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</si>
  <si>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</si>
  <si>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</si>
  <si>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</si>
  <si>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</si>
  <si>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</si>
  <si>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</si>
  <si>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</si>
  <si>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</si>
  <si>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</si>
  <si>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</si>
  <si>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</si>
  <si>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</si>
  <si>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</si>
  <si>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</si>
  <si>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</si>
  <si>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</si>
  <si>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</si>
  <si>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</si>
  <si>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</si>
  <si>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</si>
  <si>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</si>
  <si>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</si>
  <si>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</si>
  <si>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</si>
  <si>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</si>
  <si>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</si>
  <si>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</si>
  <si>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</si>
  <si>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</si>
  <si>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</si>
  <si>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</si>
  <si>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</si>
  <si>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</si>
  <si>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</si>
  <si>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</si>
  <si>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</si>
  <si>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</si>
  <si>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</si>
  <si>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</si>
  <si>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</si>
  <si>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</si>
  <si>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</si>
  <si>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</si>
  <si>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</si>
  <si>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</si>
  <si>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</si>
  <si>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</si>
  <si>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</si>
  <si>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</si>
  <si>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</si>
  <si>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</si>
  <si>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</si>
  <si>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</si>
  <si>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</si>
  <si>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</si>
  <si>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</si>
  <si>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</si>
  <si>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</si>
  <si>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</si>
  <si>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</si>
  <si>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</si>
  <si>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</si>
  <si>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</si>
  <si>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</si>
  <si>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</si>
  <si>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</si>
  <si>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</si>
  <si>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</si>
  <si>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</si>
  <si>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</si>
  <si>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</si>
  <si>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</si>
  <si>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</si>
  <si>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</si>
  <si>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</si>
  <si>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</si>
  <si>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</si>
  <si>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</si>
  <si>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Albrechtice</t>
  </si>
  <si>
    <t>PAK Albrechtice</t>
  </si>
  <si>
    <t>SLOPE Brno</t>
  </si>
  <si>
    <t>Litovel</t>
  </si>
  <si>
    <t>Kolová</t>
  </si>
  <si>
    <t>ČPK Poděbrady</t>
  </si>
  <si>
    <t>Starostovo jarní koulení</t>
  </si>
  <si>
    <t>Cheb</t>
  </si>
  <si>
    <t>PC Egrensis</t>
  </si>
  <si>
    <t>Albrechtický kahan</t>
  </si>
  <si>
    <t>HP Třebíč</t>
  </si>
  <si>
    <t>PEK Stolín</t>
  </si>
  <si>
    <t>TOP Orlová</t>
  </si>
  <si>
    <t>Loděnice</t>
  </si>
  <si>
    <t>CdP Loděnice</t>
  </si>
  <si>
    <t>VARAN</t>
  </si>
  <si>
    <t>UBU Únětice</t>
  </si>
  <si>
    <t>Krumsín</t>
  </si>
  <si>
    <t>Krakonošovy koule</t>
  </si>
  <si>
    <t>Vrchlabí</t>
  </si>
  <si>
    <t>1. KPK Vrchlabí</t>
  </si>
  <si>
    <t>O pohár CdP Loděnice</t>
  </si>
  <si>
    <t>Valšovický pohár</t>
  </si>
  <si>
    <t>Mozartovy koule</t>
  </si>
  <si>
    <t>Olomouc</t>
  </si>
  <si>
    <t>Svatováclavské koulení</t>
  </si>
  <si>
    <t>Albrechtický pohár</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</si>
  <si>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</si>
  <si>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</si>
  <si>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</si>
  <si>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</si>
  <si>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</si>
  <si>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</si>
  <si>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</si>
  <si>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</si>
  <si>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</si>
  <si>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</si>
  <si>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</si>
  <si>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</si>
  <si>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</si>
  <si>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</si>
  <si>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</si>
  <si>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</si>
  <si>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</si>
  <si>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</si>
  <si>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</si>
  <si>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</si>
  <si>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</si>
  <si>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</si>
  <si>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</si>
  <si>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</si>
  <si>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</si>
  <si>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</si>
  <si>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</si>
  <si>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</si>
  <si>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</si>
  <si>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</si>
  <si>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</si>
  <si>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</si>
  <si>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</si>
  <si>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</si>
  <si>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</si>
  <si>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</si>
  <si>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</si>
  <si>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</si>
  <si>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</si>
  <si>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</si>
  <si>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</si>
  <si>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</si>
  <si>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</si>
  <si>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</si>
  <si>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</si>
  <si>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</si>
  <si>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</si>
  <si>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</si>
  <si>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</si>
  <si>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</si>
  <si>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</si>
  <si>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</si>
  <si>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</si>
  <si>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</si>
  <si>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</si>
  <si>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</si>
  <si>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</si>
  <si>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</si>
  <si>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</si>
  <si>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</si>
  <si>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</si>
  <si>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</si>
  <si>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</si>
  <si>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</si>
  <si>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</si>
  <si>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</si>
  <si>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</si>
  <si>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</si>
  <si>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</si>
  <si>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</si>
  <si>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</si>
  <si>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</si>
  <si>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</si>
  <si>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</si>
  <si>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</si>
  <si>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</si>
  <si>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</si>
  <si>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</si>
  <si>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</si>
  <si>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</si>
  <si>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</si>
  <si>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</si>
  <si>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</si>
  <si>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</si>
  <si>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</si>
  <si>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</si>
  <si>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</si>
  <si>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</si>
  <si>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</si>
  <si>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</si>
  <si>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</si>
  <si>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</si>
  <si>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</si>
  <si>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</si>
  <si>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</si>
  <si>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</si>
  <si>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</si>
  <si>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</si>
  <si>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</si>
  <si>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</si>
  <si>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</si>
  <si>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</si>
  <si>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</si>
  <si>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</si>
  <si>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</si>
  <si>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</si>
  <si>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Jiří ml.</t>
  </si>
  <si>
    <t>Jiří st.</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</si>
  <si>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</si>
  <si>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</si>
  <si>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</si>
  <si>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</si>
  <si>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</si>
  <si>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</si>
  <si>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</si>
  <si>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</si>
  <si>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</si>
  <si>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</si>
  <si>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</si>
  <si>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</si>
  <si>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</si>
  <si>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</si>
  <si>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</si>
  <si>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</si>
  <si>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</si>
  <si>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</si>
  <si>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</si>
  <si>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</si>
  <si>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</si>
  <si>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</si>
  <si>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</si>
  <si>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</si>
  <si>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</si>
  <si>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</si>
  <si>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</si>
  <si>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</si>
  <si>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</si>
  <si>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</si>
  <si>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</si>
  <si>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</si>
  <si>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</si>
  <si>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</si>
  <si>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</si>
  <si>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</si>
  <si>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</si>
  <si>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</si>
  <si>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</si>
  <si>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</si>
  <si>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</si>
  <si>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</si>
  <si>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</si>
  <si>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</si>
  <si>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</si>
  <si>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</si>
  <si>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</si>
  <si>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</si>
  <si>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</si>
  <si>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</si>
  <si>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</si>
  <si>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</si>
  <si>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</si>
  <si>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</si>
  <si>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</si>
  <si>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</si>
  <si>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</si>
  <si>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</si>
  <si>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</si>
  <si>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</si>
  <si>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</si>
  <si>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</si>
  <si>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</si>
  <si>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</si>
  <si>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</si>
  <si>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</si>
  <si>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</si>
  <si>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</si>
  <si>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</si>
  <si>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</si>
  <si>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</si>
  <si>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</si>
  <si>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</si>
  <si>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</si>
  <si>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</si>
  <si>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</si>
  <si>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</si>
  <si>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</si>
  <si>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</si>
  <si>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</si>
  <si>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</si>
  <si>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</si>
  <si>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</si>
  <si>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</si>
  <si>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</si>
  <si>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</si>
  <si>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</si>
  <si>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</si>
  <si>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</si>
  <si>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</si>
  <si>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</si>
  <si>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</si>
  <si>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</si>
  <si>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</si>
  <si>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</si>
  <si>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</si>
  <si>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</si>
  <si>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</si>
  <si>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</si>
  <si>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</si>
  <si>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Gabriela</t>
  </si>
  <si>
    <t>Jakubek</t>
  </si>
  <si>
    <t>Janatková</t>
  </si>
  <si>
    <t>Vlasta</t>
  </si>
  <si>
    <t>Janda</t>
  </si>
  <si>
    <t>Janík</t>
  </si>
  <si>
    <t>Jarůšek</t>
  </si>
  <si>
    <t>Jedlička</t>
  </si>
  <si>
    <t>Jedličková</t>
  </si>
  <si>
    <t>Helena</t>
  </si>
  <si>
    <t>Ježek</t>
  </si>
  <si>
    <t>Ježíšek</t>
  </si>
  <si>
    <t>Ježíšková</t>
  </si>
  <si>
    <t>Božena</t>
  </si>
  <si>
    <t>Jeřala</t>
  </si>
  <si>
    <t>Jirkovský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</si>
  <si>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</si>
  <si>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</si>
  <si>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</si>
  <si>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</si>
  <si>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</si>
  <si>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</si>
  <si>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</si>
  <si>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</si>
  <si>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</si>
  <si>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</si>
  <si>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</si>
  <si>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</si>
  <si>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</si>
  <si>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</si>
  <si>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</si>
  <si>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</si>
  <si>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</si>
  <si>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</si>
  <si>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</si>
  <si>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</si>
  <si>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</si>
  <si>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</si>
  <si>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</si>
  <si>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</si>
  <si>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Kohoutek</t>
  </si>
  <si>
    <t>Zdeňka</t>
  </si>
  <si>
    <t>Konečná</t>
  </si>
  <si>
    <t>Mariana</t>
  </si>
  <si>
    <t>Konečný</t>
  </si>
  <si>
    <t>Jonáš</t>
  </si>
  <si>
    <t>Konopásek</t>
  </si>
  <si>
    <t>Konšel</t>
  </si>
  <si>
    <t>Končel</t>
  </si>
  <si>
    <t>Veronika</t>
  </si>
  <si>
    <t>Koreš</t>
  </si>
  <si>
    <t>Korešová</t>
  </si>
  <si>
    <t>Radek</t>
  </si>
  <si>
    <t>Koudelková</t>
  </si>
  <si>
    <t>Kousal</t>
  </si>
  <si>
    <t>Kozelský</t>
  </si>
  <si>
    <t>Kočiš</t>
  </si>
  <si>
    <t>Krajánková</t>
  </si>
  <si>
    <t>Krajíček</t>
  </si>
  <si>
    <t>Krajíčková</t>
  </si>
  <si>
    <t>Krassa</t>
  </si>
  <si>
    <t>Kratochvíl</t>
  </si>
  <si>
    <t>Slavomír</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</si>
  <si>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</si>
  <si>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</si>
  <si>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</si>
  <si>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</si>
  <si>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</si>
  <si>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</si>
  <si>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</si>
  <si>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</si>
  <si>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</si>
  <si>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</si>
  <si>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</si>
  <si>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</si>
  <si>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</si>
  <si>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</si>
  <si>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</si>
  <si>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</si>
  <si>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</si>
  <si>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</si>
  <si>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</si>
  <si>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</si>
  <si>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</si>
  <si>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</si>
  <si>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</si>
  <si>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</si>
  <si>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</si>
  <si>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</si>
  <si>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</si>
  <si>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</si>
  <si>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</si>
  <si>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</si>
  <si>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</si>
  <si>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</si>
  <si>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</si>
  <si>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</si>
  <si>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</si>
  <si>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</si>
  <si>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</si>
  <si>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</si>
  <si>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</si>
  <si>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</si>
  <si>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</si>
  <si>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</si>
  <si>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</si>
  <si>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</si>
  <si>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</si>
  <si>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</si>
  <si>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</si>
  <si>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</si>
  <si>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</si>
  <si>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</si>
  <si>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</si>
  <si>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</si>
  <si>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</si>
  <si>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</si>
  <si>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</si>
  <si>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</si>
  <si>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</si>
  <si>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</si>
  <si>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</si>
  <si>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</si>
  <si>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</si>
  <si>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</si>
  <si>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</si>
  <si>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</si>
  <si>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</si>
  <si>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</si>
  <si>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</si>
  <si>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</si>
  <si>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</si>
  <si>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</si>
  <si>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</si>
  <si>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</si>
  <si>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</si>
  <si>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</si>
  <si>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</si>
  <si>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</si>
  <si>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</si>
  <si>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</si>
  <si>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</si>
  <si>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</si>
  <si>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</si>
  <si>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</si>
  <si>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</si>
  <si>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</si>
  <si>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</si>
  <si>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</si>
  <si>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</si>
  <si>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</si>
  <si>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</si>
  <si>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</si>
  <si>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</si>
  <si>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</si>
  <si>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</si>
  <si>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Pavlík</t>
  </si>
  <si>
    <t>Pavýza</t>
  </si>
  <si>
    <t>Pažout</t>
  </si>
  <si>
    <t>Miloš</t>
  </si>
  <si>
    <t>Petrasová</t>
  </si>
  <si>
    <t>Petržela</t>
  </si>
  <si>
    <t>Petura</t>
  </si>
  <si>
    <t>Petříková</t>
  </si>
  <si>
    <t>Pešout</t>
  </si>
  <si>
    <t>Pešťák</t>
  </si>
  <si>
    <t>Piller</t>
  </si>
  <si>
    <t>Pillerová</t>
  </si>
  <si>
    <t>Pilát</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</si>
  <si>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</si>
  <si>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</si>
  <si>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</si>
  <si>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</si>
  <si>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</si>
  <si>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</si>
  <si>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</si>
  <si>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</si>
  <si>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</si>
  <si>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</si>
  <si>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</si>
  <si>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</si>
  <si>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</si>
  <si>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</si>
  <si>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</si>
  <si>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</si>
  <si>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</si>
  <si>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</si>
  <si>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</si>
  <si>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</si>
  <si>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</si>
  <si>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</si>
  <si>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</si>
  <si>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</si>
  <si>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</si>
  <si>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</si>
  <si>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</si>
  <si>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</si>
  <si>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</si>
  <si>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</si>
  <si>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</si>
  <si>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</si>
  <si>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</si>
  <si>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</si>
  <si>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</si>
  <si>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</si>
  <si>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</si>
  <si>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</si>
  <si>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</si>
  <si>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Stanislava</t>
  </si>
  <si>
    <t>Rylich</t>
  </si>
  <si>
    <t>Rylichová</t>
  </si>
  <si>
    <t>Rytíř</t>
  </si>
  <si>
    <t>Rössl</t>
  </si>
  <si>
    <t>Růžičková</t>
  </si>
  <si>
    <t>Schinzel</t>
  </si>
  <si>
    <t>Schliegsbirová</t>
  </si>
  <si>
    <t>Shon</t>
  </si>
  <si>
    <t>Šimon</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</si>
  <si>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</si>
  <si>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</si>
  <si>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</si>
  <si>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</si>
  <si>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</si>
  <si>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</si>
  <si>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</si>
  <si>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</si>
  <si>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</si>
  <si>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</si>
  <si>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</si>
  <si>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</si>
  <si>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</si>
  <si>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</si>
  <si>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</si>
  <si>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</si>
  <si>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</si>
  <si>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</si>
  <si>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</si>
  <si>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</si>
  <si>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</si>
  <si>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</si>
  <si>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</si>
  <si>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</si>
  <si>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</si>
  <si>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</si>
  <si>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</si>
  <si>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</si>
  <si>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</si>
  <si>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</si>
  <si>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</si>
  <si>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</si>
  <si>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</si>
  <si>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</si>
  <si>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</si>
  <si>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</si>
  <si>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</si>
  <si>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</si>
  <si>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</si>
  <si>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</si>
  <si>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</si>
  <si>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</si>
  <si>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</si>
  <si>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</si>
  <si>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</si>
  <si>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</si>
  <si>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</si>
  <si>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</si>
  <si>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</si>
  <si>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</si>
  <si>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</si>
  <si>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</si>
  <si>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</si>
  <si>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</si>
  <si>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</si>
  <si>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</si>
  <si>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Thomas</t>
  </si>
  <si>
    <t>Zapletalová</t>
  </si>
  <si>
    <t>Zdobinský</t>
  </si>
  <si>
    <t>Ziegler</t>
  </si>
  <si>
    <t>Jochen</t>
  </si>
  <si>
    <t>Znamínko</t>
  </si>
  <si>
    <t>Zoubek</t>
  </si>
  <si>
    <t>Šatra</t>
  </si>
  <si>
    <t>Šebek</t>
  </si>
  <si>
    <t>Viktor</t>
  </si>
  <si>
    <t>Šebestová</t>
  </si>
  <si>
    <t>Šeda</t>
  </si>
  <si>
    <t>Ševčík</t>
  </si>
  <si>
    <t>Šimek</t>
  </si>
  <si>
    <t>Šipr</t>
  </si>
  <si>
    <t>Škopek</t>
  </si>
  <si>
    <t>Špitálský</t>
  </si>
  <si>
    <t>Šplíchal</t>
  </si>
  <si>
    <t>Šrubař</t>
  </si>
  <si>
    <t>Šrubařová</t>
  </si>
  <si>
    <t>Štěpánek</t>
  </si>
  <si>
    <t>Štípek</t>
  </si>
  <si>
    <t>Švimberský</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</si>
  <si>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</si>
  <si>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</si>
  <si>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</si>
  <si>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</si>
  <si>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</si>
  <si>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</si>
  <si>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</si>
  <si>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</si>
  <si>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</si>
  <si>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</si>
  <si>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</si>
  <si>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</si>
  <si>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</si>
  <si>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</si>
  <si>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</si>
  <si>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</si>
  <si>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</si>
  <si>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</si>
  <si>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</si>
  <si>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</si>
  <si>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</si>
  <si>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</si>
  <si>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</si>
  <si>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</si>
  <si>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</si>
  <si>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</si>
  <si>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</si>
  <si>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</si>
  <si>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</si>
  <si>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</si>
  <si>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</si>
  <si>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</si>
  <si>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</si>
  <si>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</si>
  <si>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</si>
  <si>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</si>
  <si>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</si>
  <si>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</si>
  <si>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Ořech</t>
  </si>
  <si>
    <t>Valšovice</t>
  </si>
  <si>
    <t>SKP Hranice VI-Valšovice</t>
  </si>
  <si>
    <t>HAPEK</t>
  </si>
  <si>
    <t>Orlová</t>
  </si>
  <si>
    <t>MČR 1x1</t>
  </si>
  <si>
    <t>MČR 3x3</t>
  </si>
  <si>
    <t>Hartvíkovice</t>
  </si>
  <si>
    <t>O pohár města Brna - VARS Cup</t>
  </si>
  <si>
    <t>MČR 2x2</t>
  </si>
  <si>
    <t>Grand Prix Egrensis</t>
  </si>
  <si>
    <t>Kapucínova koule</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</si>
  <si>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</si>
  <si>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</si>
  <si>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</si>
  <si>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</si>
  <si>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</si>
  <si>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</si>
  <si>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</si>
  <si>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</si>
  <si>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</si>
  <si>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</si>
  <si>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</si>
  <si>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</si>
  <si>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</si>
  <si>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</si>
  <si>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</si>
  <si>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</si>
  <si>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</si>
  <si>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</si>
  <si>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</si>
  <si>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</si>
  <si>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</si>
  <si>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</si>
  <si>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</si>
  <si>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</si>
  <si>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</si>
  <si>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</si>
  <si>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</si>
  <si>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</si>
  <si>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</si>
  <si>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</si>
  <si>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</si>
  <si>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</si>
  <si>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</si>
  <si>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</si>
  <si>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</si>
  <si>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</si>
  <si>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Mališ</t>
  </si>
  <si>
    <t>Mallatová</t>
  </si>
  <si>
    <t>Mazúr</t>
  </si>
  <si>
    <t>Michalička</t>
  </si>
  <si>
    <t>Mitkovová</t>
  </si>
  <si>
    <t>Mrázek</t>
  </si>
  <si>
    <t>Ondruška</t>
  </si>
  <si>
    <t>Salač</t>
  </si>
  <si>
    <t>Schaal</t>
  </si>
  <si>
    <t>Skokan</t>
  </si>
  <si>
    <t>Martina</t>
  </si>
  <si>
    <t>Slaný</t>
  </si>
  <si>
    <t>Sládková</t>
  </si>
  <si>
    <t>Vajová</t>
  </si>
  <si>
    <t>Zátka</t>
  </si>
  <si>
    <t>Šimíček</t>
  </si>
  <si>
    <t>Škobrtal</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</si>
  <si>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</si>
  <si>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</si>
  <si>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</si>
  <si>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</si>
  <si>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</si>
  <si>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</si>
  <si>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</si>
  <si>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</si>
  <si>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</si>
  <si>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</si>
  <si>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</si>
  <si>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</si>
  <si>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</si>
  <si>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</si>
  <si>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</si>
  <si>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</si>
  <si>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</si>
  <si>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</si>
  <si>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</si>
  <si>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</si>
  <si>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</si>
  <si>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</si>
  <si>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</si>
  <si>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</si>
  <si>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</si>
  <si>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</si>
  <si>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</si>
  <si>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</si>
  <si>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</si>
  <si>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</si>
  <si>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</si>
  <si>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</si>
  <si>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</si>
  <si>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</si>
  <si>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</si>
  <si>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</si>
  <si>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</si>
  <si>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</si>
  <si>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</si>
  <si>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</si>
  <si>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</si>
  <si>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</si>
  <si>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</si>
  <si>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</si>
  <si>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</si>
  <si>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</si>
  <si>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</si>
  <si>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</si>
  <si>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</si>
  <si>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</si>
  <si>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</si>
  <si>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</si>
  <si>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</si>
  <si>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</si>
  <si>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</si>
  <si>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</si>
  <si>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</si>
  <si>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</si>
  <si>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</si>
  <si>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</si>
  <si>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</si>
  <si>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</si>
  <si>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</si>
  <si>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</si>
  <si>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</si>
  <si>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</si>
  <si>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</si>
  <si>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</si>
  <si>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</si>
  <si>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</si>
  <si>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</si>
  <si>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</si>
  <si>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Bayer Kamarádová</t>
  </si>
  <si>
    <t>Bačo</t>
  </si>
  <si>
    <t>Benčík</t>
  </si>
  <si>
    <t>PK Sezemice</t>
  </si>
  <si>
    <t>Boubínová</t>
  </si>
  <si>
    <t>Bořánek</t>
  </si>
  <si>
    <t>Brandýský</t>
  </si>
  <si>
    <t>Braunová</t>
  </si>
  <si>
    <t>Orel Řečkovice</t>
  </si>
  <si>
    <t>Brichta</t>
  </si>
  <si>
    <t>Bubeníková</t>
  </si>
  <si>
    <t>Buchta</t>
  </si>
  <si>
    <t>Nikola</t>
  </si>
  <si>
    <t>Yvetta</t>
  </si>
  <si>
    <t>Chocholouš</t>
  </si>
  <si>
    <t>Christovová</t>
  </si>
  <si>
    <t>Chvátalová</t>
  </si>
  <si>
    <t>Cimala</t>
  </si>
  <si>
    <t>Csibrei</t>
  </si>
  <si>
    <t>Defer</t>
  </si>
  <si>
    <t>Thierry</t>
  </si>
  <si>
    <t>Doubrava</t>
  </si>
  <si>
    <t>Douděrová</t>
  </si>
  <si>
    <t>Bohuslava</t>
  </si>
  <si>
    <t>Dušáková</t>
  </si>
  <si>
    <t>Hedvika</t>
  </si>
  <si>
    <t>Dřevojan</t>
  </si>
  <si>
    <t>Fedor</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</si>
  <si>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</si>
  <si>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</si>
  <si>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</si>
  <si>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</si>
  <si>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</si>
  <si>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</si>
  <si>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</si>
  <si>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</si>
  <si>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</si>
  <si>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</si>
  <si>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</si>
  <si>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</si>
  <si>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</si>
  <si>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</si>
  <si>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</si>
  <si>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</si>
  <si>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</si>
  <si>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</si>
  <si>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</si>
  <si>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</si>
  <si>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</si>
  <si>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Hošková</t>
  </si>
  <si>
    <t>Hrotík</t>
  </si>
  <si>
    <t>Igor</t>
  </si>
  <si>
    <t>Hruška</t>
  </si>
  <si>
    <t>Hudos</t>
  </si>
  <si>
    <t>Hutáková</t>
  </si>
  <si>
    <t>Hykl</t>
  </si>
  <si>
    <t>Spolek Park Grébovka</t>
  </si>
  <si>
    <t>Hůrek</t>
  </si>
  <si>
    <t>Hůrka</t>
  </si>
  <si>
    <t>Hůrková</t>
  </si>
  <si>
    <t>Jindra</t>
  </si>
  <si>
    <t>Jablonský</t>
  </si>
  <si>
    <t>Janeček</t>
  </si>
  <si>
    <t>Jankovský</t>
  </si>
  <si>
    <t>Janoš</t>
  </si>
  <si>
    <t>Jeřábková</t>
  </si>
  <si>
    <t>Johnová</t>
  </si>
  <si>
    <t>Jonášová</t>
  </si>
  <si>
    <t>Jílek</t>
  </si>
  <si>
    <t>Kalianko</t>
  </si>
  <si>
    <t>Karban</t>
  </si>
  <si>
    <t>Kašparová</t>
  </si>
  <si>
    <t>Kernerová</t>
  </si>
  <si>
    <t>Michala</t>
  </si>
  <si>
    <t>Vlastimil</t>
  </si>
  <si>
    <t>Klouda</t>
  </si>
  <si>
    <t>Kloudová</t>
  </si>
  <si>
    <t>Klír</t>
  </si>
  <si>
    <t>Kohutová</t>
  </si>
  <si>
    <t>Kolaříková</t>
  </si>
  <si>
    <t>Josefína</t>
  </si>
  <si>
    <t>Robin</t>
  </si>
  <si>
    <t>Končeková</t>
  </si>
  <si>
    <t>Zdena</t>
  </si>
  <si>
    <t>Korselt</t>
  </si>
  <si>
    <t>Kot</t>
  </si>
  <si>
    <t>Kotová</t>
  </si>
  <si>
    <t>Kousalová</t>
  </si>
  <si>
    <t>Kovářová</t>
  </si>
  <si>
    <t>Kočandrle</t>
  </si>
  <si>
    <t>Kočová</t>
  </si>
  <si>
    <t>Krejčířová</t>
  </si>
  <si>
    <t>Magda</t>
  </si>
  <si>
    <t>Kremlík</t>
  </si>
  <si>
    <t>Krupica</t>
  </si>
  <si>
    <t>Krupicová</t>
  </si>
  <si>
    <t>Krystková</t>
  </si>
  <si>
    <t>Krčková</t>
  </si>
  <si>
    <t>Kubát</t>
  </si>
  <si>
    <t>Kunert</t>
  </si>
  <si>
    <t>Lacko</t>
  </si>
  <si>
    <t>Matúš</t>
  </si>
  <si>
    <t>Lelek</t>
  </si>
  <si>
    <t>Lhoták</t>
  </si>
  <si>
    <t>PLUK Jablonec</t>
  </si>
  <si>
    <t>Lux-Šatrová</t>
  </si>
  <si>
    <t>Macek</t>
  </si>
  <si>
    <t>Majer</t>
  </si>
  <si>
    <t>Majerová</t>
  </si>
  <si>
    <t>Malý</t>
  </si>
  <si>
    <t>Melen</t>
  </si>
  <si>
    <t>Mifka</t>
  </si>
  <si>
    <t>Mikyška</t>
  </si>
  <si>
    <t>Tereza</t>
  </si>
  <si>
    <t>Morávek</t>
  </si>
  <si>
    <t>Mrowiec</t>
  </si>
  <si>
    <t>Müller</t>
  </si>
  <si>
    <t>Nacu</t>
  </si>
  <si>
    <t>Romain</t>
  </si>
  <si>
    <t>Nepomucký</t>
  </si>
  <si>
    <t>Němcová</t>
  </si>
  <si>
    <t>Palas</t>
  </si>
  <si>
    <t>Palicová</t>
  </si>
  <si>
    <t>Pastorek</t>
  </si>
  <si>
    <t>Pastorková</t>
  </si>
  <si>
    <t>Paterová</t>
  </si>
  <si>
    <t>Pavlů</t>
  </si>
  <si>
    <t>Pejsar</t>
  </si>
  <si>
    <t>Pflimpflová</t>
  </si>
  <si>
    <t>Prajer</t>
  </si>
  <si>
    <t>Pražáková</t>
  </si>
  <si>
    <t>Procházka</t>
  </si>
  <si>
    <t>Provazníková</t>
  </si>
  <si>
    <t>Ptáček</t>
  </si>
  <si>
    <t>Rendek</t>
  </si>
  <si>
    <t>Rodková</t>
  </si>
  <si>
    <t>Rovný</t>
  </si>
  <si>
    <t>Rozsypalová</t>
  </si>
  <si>
    <t>Valerija</t>
  </si>
  <si>
    <t>Semotam</t>
  </si>
  <si>
    <t>Sjögren</t>
  </si>
  <si>
    <t>Skala</t>
  </si>
  <si>
    <t>Skopal</t>
  </si>
  <si>
    <t>Slezák</t>
  </si>
  <si>
    <t>Soukup</t>
  </si>
  <si>
    <t>Staněk</t>
  </si>
  <si>
    <t>Tintěrová</t>
  </si>
  <si>
    <t>Tymeš ml.</t>
  </si>
  <si>
    <t>Ulmann</t>
  </si>
  <si>
    <t>Vais</t>
  </si>
  <si>
    <t>Petr ml.</t>
  </si>
  <si>
    <t>Petr st.</t>
  </si>
  <si>
    <t>Vaňková</t>
  </si>
  <si>
    <t>Zhi Jing</t>
  </si>
  <si>
    <t>Vedral</t>
  </si>
  <si>
    <t>Vedralová</t>
  </si>
  <si>
    <t>Vondrouš</t>
  </si>
  <si>
    <t>Vorel</t>
  </si>
  <si>
    <t>Voňka</t>
  </si>
  <si>
    <t>Vyoral</t>
  </si>
  <si>
    <t>Hynek</t>
  </si>
  <si>
    <t>Vápeníková</t>
  </si>
  <si>
    <t>Růženka</t>
  </si>
  <si>
    <t>Vérosta</t>
  </si>
  <si>
    <t>Weinberger</t>
  </si>
  <si>
    <t>Michal ml.</t>
  </si>
  <si>
    <t>Zálešák</t>
  </si>
  <si>
    <t>Šašek</t>
  </si>
  <si>
    <t>Šedivý</t>
  </si>
  <si>
    <t>Šildberger</t>
  </si>
  <si>
    <t>Šimara</t>
  </si>
  <si>
    <t>Matěj</t>
  </si>
  <si>
    <t>Škorničková</t>
  </si>
  <si>
    <t>Šlapanský</t>
  </si>
  <si>
    <t>Luboš St.</t>
  </si>
  <si>
    <t>Šmic</t>
  </si>
  <si>
    <t>Šorm</t>
  </si>
  <si>
    <t>Šormová</t>
  </si>
  <si>
    <t>Šplechtová</t>
  </si>
  <si>
    <t>Šponer</t>
  </si>
  <si>
    <t>Šupol</t>
  </si>
  <si>
    <t>Švecová</t>
  </si>
  <si>
    <t>Žárský</t>
  </si>
  <si>
    <t>Čanda</t>
  </si>
  <si>
    <t>Červenková</t>
  </si>
  <si>
    <t>Čížek</t>
  </si>
  <si>
    <t>Řezníková</t>
  </si>
  <si>
    <t>Řezáčová</t>
  </si>
  <si>
    <t>Svatava</t>
  </si>
  <si>
    <t>SKP Hranice VI. - Valšovice</t>
  </si>
  <si>
    <t>PC Ergensis</t>
  </si>
  <si>
    <t>Hrad Veveří</t>
  </si>
  <si>
    <t>Kulový blesk</t>
  </si>
  <si>
    <t>MČR ve střelbě na přesnost</t>
  </si>
  <si>
    <t>Turnaj generací</t>
  </si>
  <si>
    <t>Ratišovice</t>
  </si>
  <si>
    <t>Memoriál CdP Loděnice</t>
  </si>
  <si>
    <t>HRODE Krumsín</t>
  </si>
  <si>
    <t>Grand prix Mariánských lázní</t>
  </si>
  <si>
    <t>Mariánské Lázně</t>
  </si>
  <si>
    <t>MČR 2x2 MIX</t>
  </si>
  <si>
    <t>O Kořist z Mordové rokle</t>
  </si>
  <si>
    <t>MČR 55 PLUS</t>
  </si>
  <si>
    <t>Čerlinka CUP</t>
  </si>
  <si>
    <t>Koule z Aurory</t>
  </si>
  <si>
    <t>Bambous</t>
  </si>
  <si>
    <t>Bejšovec</t>
  </si>
  <si>
    <t>Botek</t>
  </si>
  <si>
    <t>Charvátová</t>
  </si>
  <si>
    <t>Christov</t>
  </si>
  <si>
    <t>Christo</t>
  </si>
  <si>
    <t>Drmolová</t>
  </si>
  <si>
    <t>Dudašková</t>
  </si>
  <si>
    <t>PC Mimo Done</t>
  </si>
  <si>
    <t>Fajmon</t>
  </si>
  <si>
    <t>Hanák</t>
  </si>
  <si>
    <t>Haraštová</t>
  </si>
  <si>
    <t>Nella</t>
  </si>
  <si>
    <t>Havlová</t>
  </si>
  <si>
    <t>Horčica</t>
  </si>
  <si>
    <t>Horčicová</t>
  </si>
  <si>
    <t>HAVAJ CB</t>
  </si>
  <si>
    <t>Jarošová</t>
  </si>
  <si>
    <t>Klazarová</t>
  </si>
  <si>
    <t>Kobr</t>
  </si>
  <si>
    <t>Štěpán</t>
  </si>
  <si>
    <t>Kobrová</t>
  </si>
  <si>
    <t>Konšelová</t>
  </si>
  <si>
    <t>Krause</t>
  </si>
  <si>
    <t>Kubánek</t>
  </si>
  <si>
    <t>Kula</t>
  </si>
  <si>
    <t>Kára</t>
  </si>
  <si>
    <t>Lengál</t>
  </si>
  <si>
    <t>Lochman</t>
  </si>
  <si>
    <t>Kryštof</t>
  </si>
  <si>
    <t>Marková</t>
  </si>
  <si>
    <t>Johana</t>
  </si>
  <si>
    <t>Maršík</t>
  </si>
  <si>
    <t>Merta</t>
  </si>
  <si>
    <t>Jáchym</t>
  </si>
  <si>
    <t>Mertová</t>
  </si>
  <si>
    <t>Anežka</t>
  </si>
  <si>
    <t>Moučková</t>
  </si>
  <si>
    <t>Samuel</t>
  </si>
  <si>
    <t>Boris</t>
  </si>
  <si>
    <t>Nývlt</t>
  </si>
  <si>
    <t>Pechr</t>
  </si>
  <si>
    <t>Plaček</t>
  </si>
  <si>
    <t>Proseč</t>
  </si>
  <si>
    <t>Přikryl</t>
  </si>
  <si>
    <t>Radechovský</t>
  </si>
  <si>
    <t>Rod</t>
  </si>
  <si>
    <t>Rodová</t>
  </si>
  <si>
    <t>Milada</t>
  </si>
  <si>
    <t>Rückerová</t>
  </si>
  <si>
    <t>Sedláčková</t>
  </si>
  <si>
    <t>Shonová</t>
  </si>
  <si>
    <t>Smitek</t>
  </si>
  <si>
    <t>Strouhalová</t>
  </si>
  <si>
    <t>Terezie</t>
  </si>
  <si>
    <t>Tieku</t>
  </si>
  <si>
    <t>Tony</t>
  </si>
  <si>
    <t>Tkadlecová</t>
  </si>
  <si>
    <t>Van Den Heuvel</t>
  </si>
  <si>
    <t>Johannes Lambertus</t>
  </si>
  <si>
    <t>Vilímová</t>
  </si>
  <si>
    <t>Visingerová</t>
  </si>
  <si>
    <t>Waclawiková</t>
  </si>
  <si>
    <t>Agáta</t>
  </si>
  <si>
    <t>Zajdák</t>
  </si>
  <si>
    <t>Zbořilová</t>
  </si>
  <si>
    <t>Zikmunda</t>
  </si>
  <si>
    <t>Šamšulová</t>
  </si>
  <si>
    <t>Šlezarová</t>
  </si>
  <si>
    <t>Šupolíková</t>
  </si>
  <si>
    <t>Čarek</t>
  </si>
  <si>
    <t>Přístavní turnaj Piráta Morgana</t>
  </si>
  <si>
    <t>MČR Juniorů</t>
  </si>
  <si>
    <t>KM</t>
  </si>
  <si>
    <t>MČR klubů 1.kolo</t>
  </si>
  <si>
    <t>Pétanque na zámku</t>
  </si>
  <si>
    <t>MČR klubů 2.kolo</t>
  </si>
  <si>
    <t>MČR klubů 3.kolo</t>
  </si>
  <si>
    <t>MČR klubů - FINÁLE</t>
  </si>
  <si>
    <t>Děcká</t>
  </si>
  <si>
    <t>Vaněk</t>
  </si>
  <si>
    <t>Dominik</t>
  </si>
  <si>
    <t>CHRUPEK Chrudim</t>
  </si>
  <si>
    <t>Beránek ml.</t>
  </si>
  <si>
    <t>Beránek st.</t>
  </si>
  <si>
    <t>Boušová</t>
  </si>
  <si>
    <t>Oldřich ml.</t>
  </si>
  <si>
    <t>Oldřich st.</t>
  </si>
  <si>
    <t>SK Pétanque Řepy</t>
  </si>
  <si>
    <t>Cibulková</t>
  </si>
  <si>
    <t>Cimrman Formánková</t>
  </si>
  <si>
    <t>Dobeš</t>
  </si>
  <si>
    <t>BePeC 2016</t>
  </si>
  <si>
    <t>Dolan</t>
  </si>
  <si>
    <t>Děcký</t>
  </si>
  <si>
    <t>Axel</t>
  </si>
  <si>
    <t>Sandra</t>
  </si>
  <si>
    <t>Friedel</t>
  </si>
  <si>
    <t>Geisler</t>
  </si>
  <si>
    <t>Dan</t>
  </si>
  <si>
    <t>Griffon</t>
  </si>
  <si>
    <t>Jean</t>
  </si>
  <si>
    <t>Gráfik</t>
  </si>
  <si>
    <t>PK Polouvsí</t>
  </si>
  <si>
    <t>Gráfiková</t>
  </si>
  <si>
    <t>Marcela</t>
  </si>
  <si>
    <t>Sylvie</t>
  </si>
  <si>
    <t>Homolková-Pavlasová</t>
  </si>
  <si>
    <t>Horák</t>
  </si>
  <si>
    <t>Hromek</t>
  </si>
  <si>
    <t>Hulec</t>
  </si>
  <si>
    <t>Martin st.</t>
  </si>
  <si>
    <t>Iwanuszek</t>
  </si>
  <si>
    <t>Javůrková</t>
  </si>
  <si>
    <t>Jaworková</t>
  </si>
  <si>
    <t>Vladislav st.</t>
  </si>
  <si>
    <t>Kocián</t>
  </si>
  <si>
    <t>Kocourek</t>
  </si>
  <si>
    <t>Kotúčová</t>
  </si>
  <si>
    <t>Koudelka</t>
  </si>
  <si>
    <t>Magdaléna</t>
  </si>
  <si>
    <t>Kulhavá</t>
  </si>
  <si>
    <t>Kučerova-Habásková</t>
  </si>
  <si>
    <t>Kvítek</t>
  </si>
  <si>
    <t>Franjo</t>
  </si>
  <si>
    <t>Milan ml.</t>
  </si>
  <si>
    <t>Milan st.</t>
  </si>
  <si>
    <t>Louda</t>
  </si>
  <si>
    <t>Lukeš</t>
  </si>
  <si>
    <t>Macháčková</t>
  </si>
  <si>
    <t>Matuška</t>
  </si>
  <si>
    <t>Mašková</t>
  </si>
  <si>
    <t>Erika</t>
  </si>
  <si>
    <t>Mrlinová</t>
  </si>
  <si>
    <t>Musilová</t>
  </si>
  <si>
    <t>Míček</t>
  </si>
  <si>
    <t>Míčková</t>
  </si>
  <si>
    <t>Adriana</t>
  </si>
  <si>
    <t>Němečková</t>
  </si>
  <si>
    <t>Ondryhal</t>
  </si>
  <si>
    <t>Patala</t>
  </si>
  <si>
    <t>Peprníček</t>
  </si>
  <si>
    <t>Petrášová</t>
  </si>
  <si>
    <t>Pfeiffer</t>
  </si>
  <si>
    <t>Plachý</t>
  </si>
  <si>
    <t>Pokorná</t>
  </si>
  <si>
    <t>Rieger</t>
  </si>
  <si>
    <t>Hubert</t>
  </si>
  <si>
    <t>Roger</t>
  </si>
  <si>
    <t>Rousek</t>
  </si>
  <si>
    <t>Simon</t>
  </si>
  <si>
    <t>Rousková</t>
  </si>
  <si>
    <t>Nina</t>
  </si>
  <si>
    <t>Rusek</t>
  </si>
  <si>
    <t>Smitková</t>
  </si>
  <si>
    <t>Jaroslav st.</t>
  </si>
  <si>
    <t>Straková</t>
  </si>
  <si>
    <t>Strouhal</t>
  </si>
  <si>
    <t>Tintěra</t>
  </si>
  <si>
    <t>Valošek</t>
  </si>
  <si>
    <t>Aleš ml.</t>
  </si>
  <si>
    <t>Vinter</t>
  </si>
  <si>
    <t>Vondrová</t>
  </si>
  <si>
    <t>Voříšková</t>
  </si>
  <si>
    <t>Vrbová</t>
  </si>
  <si>
    <t>Vrzal</t>
  </si>
  <si>
    <t>Radomír</t>
  </si>
  <si>
    <t>Víchová</t>
  </si>
  <si>
    <t>Vítovcová</t>
  </si>
  <si>
    <t>Karolína</t>
  </si>
  <si>
    <t>Tobias</t>
  </si>
  <si>
    <t>Zenklová</t>
  </si>
  <si>
    <t>Zábojník</t>
  </si>
  <si>
    <t>Škarda</t>
  </si>
  <si>
    <t>Šnajdrová</t>
  </si>
  <si>
    <t>Šternberg</t>
  </si>
  <si>
    <t>Štěpánková</t>
  </si>
  <si>
    <t>Zdeńka</t>
  </si>
  <si>
    <t>Šugar</t>
  </si>
  <si>
    <t>Čapková</t>
  </si>
  <si>
    <t>Koule Elišky Přemyslovny</t>
  </si>
  <si>
    <t>Nymburk</t>
  </si>
  <si>
    <t>Zámecký turnaj</t>
  </si>
  <si>
    <t>Žďár nad Sázavou</t>
  </si>
  <si>
    <t>Grand prix Labe</t>
  </si>
  <si>
    <t>Svatomartinská husa - rozloučení se sezónou</t>
  </si>
  <si>
    <t>Adamec</t>
  </si>
  <si>
    <t>Almaghrebi</t>
  </si>
  <si>
    <t>P.C.B.D.</t>
  </si>
  <si>
    <t>PK Sokol Medlánky</t>
  </si>
  <si>
    <t>Blažková</t>
  </si>
  <si>
    <t>Blieková</t>
  </si>
  <si>
    <t>Bláhová</t>
  </si>
  <si>
    <t>PSK Jihlava</t>
  </si>
  <si>
    <t>Brávek</t>
  </si>
  <si>
    <t>Bukalová</t>
  </si>
  <si>
    <t>Bury</t>
  </si>
  <si>
    <t>Bučinský</t>
  </si>
  <si>
    <t>PKT Velký Šanc</t>
  </si>
  <si>
    <t>Bytešník</t>
  </si>
  <si>
    <t>Březina</t>
  </si>
  <si>
    <t>Cakl</t>
  </si>
  <si>
    <t>Chodůr</t>
  </si>
  <si>
    <t>Chňoupek</t>
  </si>
  <si>
    <t>Colin</t>
  </si>
  <si>
    <t>Cyril</t>
  </si>
  <si>
    <t>Dočyncová</t>
  </si>
  <si>
    <t>Denisa</t>
  </si>
  <si>
    <t>Dočynec</t>
  </si>
  <si>
    <t>Dušek</t>
  </si>
  <si>
    <t>Duška</t>
  </si>
  <si>
    <t>Alžběta</t>
  </si>
  <si>
    <t>Dyba</t>
  </si>
  <si>
    <t>Děrgl</t>
  </si>
  <si>
    <t>Ehrenberger</t>
  </si>
  <si>
    <t>Felger</t>
  </si>
  <si>
    <t>Fischer</t>
  </si>
  <si>
    <t>Fleischer</t>
  </si>
  <si>
    <t>Flek</t>
  </si>
  <si>
    <t>Fleková</t>
  </si>
  <si>
    <t>Foltán</t>
  </si>
  <si>
    <t>Fuchs</t>
  </si>
  <si>
    <t>Fára</t>
  </si>
  <si>
    <t>Fárová</t>
  </si>
  <si>
    <t>Gordonová</t>
  </si>
  <si>
    <t>Květa</t>
  </si>
  <si>
    <t>Haman</t>
  </si>
  <si>
    <t>SPORT Kolín</t>
  </si>
  <si>
    <t>Havlín</t>
  </si>
  <si>
    <t>Havlínová</t>
  </si>
  <si>
    <t>Hejkal</t>
  </si>
  <si>
    <t>Artur</t>
  </si>
  <si>
    <t>PO Chotěboř</t>
  </si>
  <si>
    <t>Hess</t>
  </si>
  <si>
    <t>Larissa</t>
  </si>
  <si>
    <t>Markus</t>
  </si>
  <si>
    <t>Hložková</t>
  </si>
  <si>
    <t>Hochmann</t>
  </si>
  <si>
    <t>Holenda</t>
  </si>
  <si>
    <t>Horálková</t>
  </si>
  <si>
    <t>Hrušková</t>
  </si>
  <si>
    <t>Hybler</t>
  </si>
  <si>
    <t>Jahnová</t>
  </si>
  <si>
    <t>Jarouš</t>
  </si>
  <si>
    <t>Vítek</t>
  </si>
  <si>
    <t>Jelínek</t>
  </si>
  <si>
    <t>Jelínková</t>
  </si>
  <si>
    <t>Joslová</t>
  </si>
  <si>
    <t>Inka</t>
  </si>
  <si>
    <t>Josífková</t>
  </si>
  <si>
    <t>Jurč</t>
  </si>
  <si>
    <t>Kameník</t>
  </si>
  <si>
    <t>Kholová</t>
  </si>
  <si>
    <t>Kirschner</t>
  </si>
  <si>
    <t>Michel</t>
  </si>
  <si>
    <t>Kmoch</t>
  </si>
  <si>
    <t>Knápek</t>
  </si>
  <si>
    <t>Ema</t>
  </si>
  <si>
    <t>Koželský</t>
  </si>
  <si>
    <t>Kožený</t>
  </si>
  <si>
    <t>Koňasová</t>
  </si>
  <si>
    <t>Krojidlo</t>
  </si>
  <si>
    <t>Krčál</t>
  </si>
  <si>
    <t>Kubista</t>
  </si>
  <si>
    <t>Kudláčková</t>
  </si>
  <si>
    <t>Kuman</t>
  </si>
  <si>
    <t>Kuncová</t>
  </si>
  <si>
    <t>Křešťáková</t>
  </si>
  <si>
    <t>Křížek</t>
  </si>
  <si>
    <t>Evžen</t>
  </si>
  <si>
    <t>Kúřil</t>
  </si>
  <si>
    <t>Lazarová</t>
  </si>
  <si>
    <t>Linková</t>
  </si>
  <si>
    <t>Litvinov</t>
  </si>
  <si>
    <t>Vasil</t>
  </si>
  <si>
    <t>Lopatka</t>
  </si>
  <si>
    <t>Patrik</t>
  </si>
  <si>
    <t>Lopočová</t>
  </si>
  <si>
    <t>Loprais</t>
  </si>
  <si>
    <t>Lukaševič</t>
  </si>
  <si>
    <t>Maglia</t>
  </si>
  <si>
    <t>Malina</t>
  </si>
  <si>
    <t>Mikuláš</t>
  </si>
  <si>
    <t>Malinská</t>
  </si>
  <si>
    <t>Manka</t>
  </si>
  <si>
    <t>Heinz</t>
  </si>
  <si>
    <t>Mareš</t>
  </si>
  <si>
    <t>Marešová</t>
  </si>
  <si>
    <t>Marečková</t>
  </si>
  <si>
    <t>Yvonne</t>
  </si>
  <si>
    <t>Matějíček</t>
  </si>
  <si>
    <t>Maňák</t>
  </si>
  <si>
    <t>Menšík</t>
  </si>
  <si>
    <t>Kryštov</t>
  </si>
  <si>
    <t>Apolena</t>
  </si>
  <si>
    <t>Mikloš</t>
  </si>
  <si>
    <t>Motl</t>
  </si>
  <si>
    <t>Mošna</t>
  </si>
  <si>
    <t>Možíšová</t>
  </si>
  <si>
    <t>Mullerová</t>
  </si>
  <si>
    <t>Netíková</t>
  </si>
  <si>
    <t>Novotná</t>
  </si>
  <si>
    <t>Olbort</t>
  </si>
  <si>
    <t>Palička</t>
  </si>
  <si>
    <t>Palán</t>
  </si>
  <si>
    <t>Patalová</t>
  </si>
  <si>
    <t>Pavlas</t>
  </si>
  <si>
    <t>Lubor</t>
  </si>
  <si>
    <t>Pavlík ml.</t>
  </si>
  <si>
    <t>Pavlíková</t>
  </si>
  <si>
    <t>Dominika</t>
  </si>
  <si>
    <t>Pejchalová</t>
  </si>
  <si>
    <t>Petrželka</t>
  </si>
  <si>
    <t>Plachá</t>
  </si>
  <si>
    <t>Podroužková</t>
  </si>
  <si>
    <t>Podrábský</t>
  </si>
  <si>
    <t>Pokorný</t>
  </si>
  <si>
    <t>Poláková</t>
  </si>
  <si>
    <t>Pavlína</t>
  </si>
  <si>
    <t>Rambousek</t>
  </si>
  <si>
    <t>Radomil</t>
  </si>
  <si>
    <t>Rendjambe</t>
  </si>
  <si>
    <t>Amos</t>
  </si>
  <si>
    <t>Rendla</t>
  </si>
  <si>
    <t>Rusková</t>
  </si>
  <si>
    <t>Rozálie</t>
  </si>
  <si>
    <t>Ruta</t>
  </si>
  <si>
    <t>Schejbal</t>
  </si>
  <si>
    <t>Schejbalová</t>
  </si>
  <si>
    <t>Schinzelová</t>
  </si>
  <si>
    <t>Schneider</t>
  </si>
  <si>
    <t>Schroner</t>
  </si>
  <si>
    <t>Jozef</t>
  </si>
  <si>
    <t>Semrád</t>
  </si>
  <si>
    <t>Sivák</t>
  </si>
  <si>
    <t>Skřepský</t>
  </si>
  <si>
    <t>Skřivan</t>
  </si>
  <si>
    <t>Spilka</t>
  </si>
  <si>
    <t>Steiger</t>
  </si>
  <si>
    <t>Bohumír</t>
  </si>
  <si>
    <t>Tišer</t>
  </si>
  <si>
    <t>Turna</t>
  </si>
  <si>
    <t>Tydlitát</t>
  </si>
  <si>
    <t>Tymešová</t>
  </si>
  <si>
    <t>Vacek</t>
  </si>
  <si>
    <t>Valenta</t>
  </si>
  <si>
    <t>Hugo</t>
  </si>
  <si>
    <t>Valošková</t>
  </si>
  <si>
    <t>Sára</t>
  </si>
  <si>
    <t>Vlach</t>
  </si>
  <si>
    <t>Vokurka</t>
  </si>
  <si>
    <t>Vostradovský</t>
  </si>
  <si>
    <t>Vytiska</t>
  </si>
  <si>
    <t>Vytisková</t>
  </si>
  <si>
    <t>Vytisková ml.</t>
  </si>
  <si>
    <t>Vávrová</t>
  </si>
  <si>
    <t>Váňová</t>
  </si>
  <si>
    <t>Wünsche</t>
  </si>
  <si>
    <t>Zdobinská</t>
  </si>
  <si>
    <t>Zibura</t>
  </si>
  <si>
    <t>Zítková</t>
  </si>
  <si>
    <t>Šilarová</t>
  </si>
  <si>
    <t>Škarvada</t>
  </si>
  <si>
    <t>Šklíba</t>
  </si>
  <si>
    <t>Španerová</t>
  </si>
  <si>
    <t>Šternbergová</t>
  </si>
  <si>
    <t>Štol</t>
  </si>
  <si>
    <t>Štolová</t>
  </si>
  <si>
    <t>Jasmína</t>
  </si>
  <si>
    <t>Štverková</t>
  </si>
  <si>
    <t>Šuk</t>
  </si>
  <si>
    <t>Švimberská</t>
  </si>
  <si>
    <t>Šíma</t>
  </si>
  <si>
    <t>Žídek</t>
  </si>
  <si>
    <t>Čejpa</t>
  </si>
  <si>
    <t>Čejpová</t>
  </si>
  <si>
    <t>Marta</t>
  </si>
  <si>
    <t>Černá</t>
  </si>
  <si>
    <t>Řeřucha</t>
  </si>
  <si>
    <t>Říha</t>
  </si>
  <si>
    <t>Říhová</t>
  </si>
  <si>
    <t>Zimní Kolovský turnaj III. Ročník</t>
  </si>
  <si>
    <t>08.02.2020</t>
  </si>
  <si>
    <t>2. Bitva o Terezín - Cena kladrubského vraníka</t>
  </si>
  <si>
    <t>22.02.2020</t>
  </si>
  <si>
    <t>Terezín</t>
  </si>
  <si>
    <t>Světový den koulí 2020</t>
  </si>
  <si>
    <t>07.03.2020</t>
  </si>
  <si>
    <t>16.05.2020</t>
  </si>
  <si>
    <t>30.05.2020</t>
  </si>
  <si>
    <t>Kvalifikace 2x2 Mix - ME 2020</t>
  </si>
  <si>
    <t>06.06.2020</t>
  </si>
  <si>
    <t>13.06.2020</t>
  </si>
  <si>
    <t>Na Výsluní</t>
  </si>
  <si>
    <t>Medlešický pivovar</t>
  </si>
  <si>
    <t>MČR 3x3 muži - kvalifikace na ME 2021</t>
  </si>
  <si>
    <t>20.06.2020</t>
  </si>
  <si>
    <t>Polouveský májový turnaj</t>
  </si>
  <si>
    <t>Polouvsí</t>
  </si>
  <si>
    <t>MČR 3x3 ženy - kvalifikace na MS 2021</t>
  </si>
  <si>
    <t>21.06.2020</t>
  </si>
  <si>
    <t>27.06.2020</t>
  </si>
  <si>
    <t>Vo Jarinovy koule, 24. ročník</t>
  </si>
  <si>
    <t>O brněnskou kouli - XXV. ročník</t>
  </si>
  <si>
    <t>04.07.2020</t>
  </si>
  <si>
    <t>Krumsínská HRODA XXI. ročník</t>
  </si>
  <si>
    <t>XXIV. Kolovská koule</t>
  </si>
  <si>
    <t>11.07.2020</t>
  </si>
  <si>
    <t>12.07.2020</t>
  </si>
  <si>
    <t>18.07.2020</t>
  </si>
  <si>
    <t>Château Hrochův Týnec</t>
  </si>
  <si>
    <t>25.07.2020</t>
  </si>
  <si>
    <t>Hrochův Týnec</t>
  </si>
  <si>
    <t>26.07.2020</t>
  </si>
  <si>
    <t>GEKON "O křišťálovou tašku"</t>
  </si>
  <si>
    <t>01.08.2020</t>
  </si>
  <si>
    <t>08.08.2020</t>
  </si>
  <si>
    <t>15.08.2020</t>
  </si>
  <si>
    <t>MČR 65+</t>
  </si>
  <si>
    <t>22.08.2020</t>
  </si>
  <si>
    <t>Rapotín</t>
  </si>
  <si>
    <t>29.08.2020</t>
  </si>
  <si>
    <t>24. Prvomájové koule Barona Prášila</t>
  </si>
  <si>
    <t>05.09.2020</t>
  </si>
  <si>
    <t>06.09.2020</t>
  </si>
  <si>
    <t>12.09.2020</t>
  </si>
  <si>
    <t>13.09.2020</t>
  </si>
  <si>
    <t>Lipnické dukáty</t>
  </si>
  <si>
    <t>19.09.2020</t>
  </si>
  <si>
    <t>Lipník-fotblové hřiště</t>
  </si>
  <si>
    <t>Orlovský kahan</t>
  </si>
  <si>
    <t>26.09.2020</t>
  </si>
  <si>
    <t>27.09.2020</t>
  </si>
  <si>
    <t>03.10.2020</t>
  </si>
  <si>
    <t>Koulení v pivovaru</t>
  </si>
  <si>
    <t>04.10.2020</t>
  </si>
  <si>
    <t>10.10.2020</t>
  </si>
  <si>
    <t>MEVA Cup</t>
  </si>
  <si>
    <t>11.10.2020</t>
  </si>
  <si>
    <t>17.10.2020</t>
  </si>
  <si>
    <t>Mimo Done Nymburk</t>
  </si>
  <si>
    <t>Nymburská nula</t>
  </si>
  <si>
    <t>24.10.2020</t>
  </si>
  <si>
    <t>Podzimní lipnické koule</t>
  </si>
  <si>
    <t>28.10.2020</t>
  </si>
  <si>
    <t>Chrudim </t>
  </si>
  <si>
    <t>XX. Přebor KV a PLZ kraje - memoriál Mirka Valenty</t>
  </si>
  <si>
    <t>31.10.2020</t>
  </si>
  <si>
    <t>07.11.2020</t>
  </si>
  <si>
    <t>25. Přimrzlé koule</t>
  </si>
  <si>
    <t>05.12.2020</t>
  </si>
  <si>
    <t>Počet přihlášených týmů: 148</t>
  </si>
  <si>
    <t>MČR</t>
  </si>
  <si>
    <t>Pořádá SK Sahara Vědomice</t>
  </si>
  <si>
    <t>• jednotlivci</t>
  </si>
  <si>
    <t>Č. licence</t>
  </si>
  <si>
    <t>Příjmení a jméno Odhlásit tým</t>
  </si>
  <si>
    <t>Síla: 54.75</t>
  </si>
  <si>
    <t>Ivo Michálek</t>
  </si>
  <si>
    <t>54.750</t>
  </si>
  <si>
    <t>Síla: 54.5</t>
  </si>
  <si>
    <t>Petr ml. Vavrovič "E"</t>
  </si>
  <si>
    <t>54.500</t>
  </si>
  <si>
    <t>Síla: 54</t>
  </si>
  <si>
    <t>Tomáš Michálek</t>
  </si>
  <si>
    <t>54.000</t>
  </si>
  <si>
    <t>Síla: 50.75</t>
  </si>
  <si>
    <t>Jindřich Kauca</t>
  </si>
  <si>
    <t>50.750</t>
  </si>
  <si>
    <t>Síla: 48</t>
  </si>
  <si>
    <t>Veronika Slobodová</t>
  </si>
  <si>
    <t>48.000</t>
  </si>
  <si>
    <t>Síla: 46.75</t>
  </si>
  <si>
    <t>Kateřina Froňková "E"</t>
  </si>
  <si>
    <t>46.750</t>
  </si>
  <si>
    <t>Síla: 46.5</t>
  </si>
  <si>
    <t>Vojtěch Lukáš</t>
  </si>
  <si>
    <t>46.500</t>
  </si>
  <si>
    <t>Síla: 40.875</t>
  </si>
  <si>
    <t>Vojtěch Bílek "J"</t>
  </si>
  <si>
    <t>40.875</t>
  </si>
  <si>
    <t>Síla: 40.5</t>
  </si>
  <si>
    <t>Lukáš Valenz</t>
  </si>
  <si>
    <t>40.500</t>
  </si>
  <si>
    <t>Síla: 40.375</t>
  </si>
  <si>
    <t>David Bačo</t>
  </si>
  <si>
    <t>40.375</t>
  </si>
  <si>
    <t>Síla: 39.375</t>
  </si>
  <si>
    <t>Petr Morávek</t>
  </si>
  <si>
    <t>39.375</t>
  </si>
  <si>
    <t>Síla: 38.938</t>
  </si>
  <si>
    <t>Miroslav Řehoř</t>
  </si>
  <si>
    <t>38.938</t>
  </si>
  <si>
    <t>Síla: 38.625</t>
  </si>
  <si>
    <t>Michal ml. Zdobinský "J"</t>
  </si>
  <si>
    <t>38.625</t>
  </si>
  <si>
    <t>Síla: 38.125</t>
  </si>
  <si>
    <t>Jiří Ondryáš</t>
  </si>
  <si>
    <t>38.125</t>
  </si>
  <si>
    <t>Síla: 37.75</t>
  </si>
  <si>
    <t>Markéta Palicová</t>
  </si>
  <si>
    <t>37.750</t>
  </si>
  <si>
    <t>Síla: 37</t>
  </si>
  <si>
    <t>Jakub Konšel</t>
  </si>
  <si>
    <t>37.000</t>
  </si>
  <si>
    <t>Síla: 36.25</t>
  </si>
  <si>
    <t>Jiřina Demčíková</t>
  </si>
  <si>
    <t>36.250</t>
  </si>
  <si>
    <t>Síla: 35</t>
  </si>
  <si>
    <t>Lukáš Michalička "E"</t>
  </si>
  <si>
    <t>35.000</t>
  </si>
  <si>
    <t>Síla: 32.563</t>
  </si>
  <si>
    <t>Lubomír Srnský</t>
  </si>
  <si>
    <t>32.563</t>
  </si>
  <si>
    <t>Síla: 32.5</t>
  </si>
  <si>
    <t>Zbyněk Jakeš</t>
  </si>
  <si>
    <t>SKP Hranice VI.-Valšovice</t>
  </si>
  <si>
    <t>32.500</t>
  </si>
  <si>
    <t>Síla: 32.25</t>
  </si>
  <si>
    <t>Jana Lukášová</t>
  </si>
  <si>
    <t>32.250</t>
  </si>
  <si>
    <t>Síla: 31.938</t>
  </si>
  <si>
    <t>Petr Fuksa</t>
  </si>
  <si>
    <t>31.938</t>
  </si>
  <si>
    <t>Síla: 31.75</t>
  </si>
  <si>
    <t>Jana Konečná</t>
  </si>
  <si>
    <t>31.750</t>
  </si>
  <si>
    <t>Síla: 31.625</t>
  </si>
  <si>
    <t>Jiří Ulmann</t>
  </si>
  <si>
    <t>31.625</t>
  </si>
  <si>
    <t>Síla: 31.501</t>
  </si>
  <si>
    <t>Ivana Dlouhá</t>
  </si>
  <si>
    <t>31.501</t>
  </si>
  <si>
    <t>Síla: 30.844</t>
  </si>
  <si>
    <t>Pavel Holoubek</t>
  </si>
  <si>
    <t>SKP Řepy</t>
  </si>
  <si>
    <t>30.844</t>
  </si>
  <si>
    <t>Síla: 30.75</t>
  </si>
  <si>
    <t>Jaromír Vlach</t>
  </si>
  <si>
    <t>30.750</t>
  </si>
  <si>
    <t>Síla: 29.938</t>
  </si>
  <si>
    <t>Jaroslav Pastorek</t>
  </si>
  <si>
    <t>29.938</t>
  </si>
  <si>
    <t>Síla: 29.375</t>
  </si>
  <si>
    <t>Blanka Froňková</t>
  </si>
  <si>
    <t>29.375</t>
  </si>
  <si>
    <t>Síla: 29.125</t>
  </si>
  <si>
    <t>Jan Resl</t>
  </si>
  <si>
    <t>29.125</t>
  </si>
  <si>
    <t>Petr Lukáš</t>
  </si>
  <si>
    <t>Síla: 28.876</t>
  </si>
  <si>
    <t>Josef Kamaryt</t>
  </si>
  <si>
    <t>28.876</t>
  </si>
  <si>
    <t>Síla: 28.47</t>
  </si>
  <si>
    <t>Vladimír Brázda</t>
  </si>
  <si>
    <t>28.470</t>
  </si>
  <si>
    <t>Síla: 28.469</t>
  </si>
  <si>
    <t>Dana Tomášková</t>
  </si>
  <si>
    <t>28.469</t>
  </si>
  <si>
    <t>Síla: 28.438</t>
  </si>
  <si>
    <t>Milan Demčík St.</t>
  </si>
  <si>
    <t>28.438</t>
  </si>
  <si>
    <t>Síla: 28.313</t>
  </si>
  <si>
    <t>Martin Pírek</t>
  </si>
  <si>
    <t>28.313</t>
  </si>
  <si>
    <t>Síla: 28.189</t>
  </si>
  <si>
    <t>Jiří Řezníček</t>
  </si>
  <si>
    <t>28.189</t>
  </si>
  <si>
    <t>Síla: 27.875</t>
  </si>
  <si>
    <t>Pavel Král</t>
  </si>
  <si>
    <t>27.875</t>
  </si>
  <si>
    <t>Síla: 27.5</t>
  </si>
  <si>
    <t>Jaroslav Felčárek</t>
  </si>
  <si>
    <t>27.500</t>
  </si>
  <si>
    <t>Síla: 27.313</t>
  </si>
  <si>
    <t>Pavel Bureš St.</t>
  </si>
  <si>
    <t>27.313</t>
  </si>
  <si>
    <t>Síla: 26.97</t>
  </si>
  <si>
    <t>Petr Pilát</t>
  </si>
  <si>
    <t>26.970</t>
  </si>
  <si>
    <t>Síla: 26.377</t>
  </si>
  <si>
    <t>Zdeněk Šedivý</t>
  </si>
  <si>
    <t>26.377</t>
  </si>
  <si>
    <t>Síla: 26.313</t>
  </si>
  <si>
    <t>Miloš Přibyl</t>
  </si>
  <si>
    <t>26.313</t>
  </si>
  <si>
    <t>Síla: 26.127</t>
  </si>
  <si>
    <t>Jan Vorel "E"</t>
  </si>
  <si>
    <t>26.127</t>
  </si>
  <si>
    <t>Síla: 26.094</t>
  </si>
  <si>
    <t>Petr Tománek</t>
  </si>
  <si>
    <t>26.094</t>
  </si>
  <si>
    <t>Síla: 25.938</t>
  </si>
  <si>
    <t>Jana Radoušová</t>
  </si>
  <si>
    <t>25.938</t>
  </si>
  <si>
    <t>Síla: 25.751</t>
  </si>
  <si>
    <t>Milan Kulhánek</t>
  </si>
  <si>
    <t>25.751</t>
  </si>
  <si>
    <t>Síla: 25.563</t>
  </si>
  <si>
    <t>Pavel Palas</t>
  </si>
  <si>
    <t>25.563</t>
  </si>
  <si>
    <t>Síla: 25.438</t>
  </si>
  <si>
    <t>Alice Hančová</t>
  </si>
  <si>
    <t>25.438</t>
  </si>
  <si>
    <t>Síla: 24.939</t>
  </si>
  <si>
    <t>Leoš Krejčín</t>
  </si>
  <si>
    <t>24.939</t>
  </si>
  <si>
    <t>Síla: 24.938</t>
  </si>
  <si>
    <t>David Hanák "J"</t>
  </si>
  <si>
    <t>24.938</t>
  </si>
  <si>
    <t>Síla: 24.877</t>
  </si>
  <si>
    <t>Yvetta Chmelařová</t>
  </si>
  <si>
    <t>24.877</t>
  </si>
  <si>
    <t>Síla: 24.876</t>
  </si>
  <si>
    <t>Lenka Krejčínová</t>
  </si>
  <si>
    <t>24.876</t>
  </si>
  <si>
    <t>Síla: 24.564</t>
  </si>
  <si>
    <t>Simona Horáčková</t>
  </si>
  <si>
    <t>24.564</t>
  </si>
  <si>
    <t>Síla: 24.438</t>
  </si>
  <si>
    <t>Hana Sládková</t>
  </si>
  <si>
    <t>24.438</t>
  </si>
  <si>
    <t>Síla: 24.314</t>
  </si>
  <si>
    <t>Jaroslav Hladík</t>
  </si>
  <si>
    <t>24.314</t>
  </si>
  <si>
    <t>Síla: 24.094</t>
  </si>
  <si>
    <t>Miloslava Kutá</t>
  </si>
  <si>
    <t>24.094</t>
  </si>
  <si>
    <t>Síla: 24.064</t>
  </si>
  <si>
    <t>Petr Fafek</t>
  </si>
  <si>
    <t>24.064</t>
  </si>
  <si>
    <t>Síla: 24.033</t>
  </si>
  <si>
    <t>Ivo Chmelař</t>
  </si>
  <si>
    <t>24.033</t>
  </si>
  <si>
    <t>Síla: 23.939</t>
  </si>
  <si>
    <t>Lenka Svobodová</t>
  </si>
  <si>
    <t>23.939</t>
  </si>
  <si>
    <t>Síla: 23.751</t>
  </si>
  <si>
    <t>Jan Kára</t>
  </si>
  <si>
    <t>PC Mimo Done Nymburk</t>
  </si>
  <si>
    <t>23.751</t>
  </si>
  <si>
    <t>Síla: 23.469</t>
  </si>
  <si>
    <t>Jiří Grepl</t>
  </si>
  <si>
    <t>23.469</t>
  </si>
  <si>
    <t>Síla: 23.439</t>
  </si>
  <si>
    <t>Jiří Karásek</t>
  </si>
  <si>
    <t>23.439</t>
  </si>
  <si>
    <t>Síla: 23.377</t>
  </si>
  <si>
    <t>Miroslav Ptáček</t>
  </si>
  <si>
    <t>23.377</t>
  </si>
  <si>
    <t>Síla: 23.346</t>
  </si>
  <si>
    <t>Alena Vaníčková</t>
  </si>
  <si>
    <t>23.346</t>
  </si>
  <si>
    <t>Síla: 22.954</t>
  </si>
  <si>
    <t>Pavel Fereš</t>
  </si>
  <si>
    <t>22.954</t>
  </si>
  <si>
    <t>Síla: 22.251</t>
  </si>
  <si>
    <t>Kamil Žárský</t>
  </si>
  <si>
    <t>22.251</t>
  </si>
  <si>
    <t>Síla: 22.189</t>
  </si>
  <si>
    <t>Jana Burešová</t>
  </si>
  <si>
    <t>22.189</t>
  </si>
  <si>
    <t>Síla: 22.125</t>
  </si>
  <si>
    <t>Milan Radechovský</t>
  </si>
  <si>
    <t>22.125</t>
  </si>
  <si>
    <t>Síla: 22.032</t>
  </si>
  <si>
    <t>Pavel Hanák</t>
  </si>
  <si>
    <t>22.032</t>
  </si>
  <si>
    <t>Síla: 22.002</t>
  </si>
  <si>
    <t>Zdeněk Hulec</t>
  </si>
  <si>
    <t>22.002</t>
  </si>
  <si>
    <t>Síla: 21.69</t>
  </si>
  <si>
    <t>Václav Valík</t>
  </si>
  <si>
    <t>21.690</t>
  </si>
  <si>
    <t>Síla: 21.502</t>
  </si>
  <si>
    <t>Magda Sjögren</t>
  </si>
  <si>
    <t>21.502</t>
  </si>
  <si>
    <t>Síla: 21.376</t>
  </si>
  <si>
    <t>Tomáš Jirkovský</t>
  </si>
  <si>
    <t>21.376</t>
  </si>
  <si>
    <t>Síla: 20.689</t>
  </si>
  <si>
    <t>Jan Maňák</t>
  </si>
  <si>
    <t>20.689</t>
  </si>
  <si>
    <t>Síla: 20.094</t>
  </si>
  <si>
    <t>Jindřich Horáček</t>
  </si>
  <si>
    <t>20.094</t>
  </si>
  <si>
    <t>Síla: 19.72</t>
  </si>
  <si>
    <t>Rubi Gorroňo López</t>
  </si>
  <si>
    <t>19.720</t>
  </si>
  <si>
    <t>Síla: 19.689</t>
  </si>
  <si>
    <t>Františka Karásková</t>
  </si>
  <si>
    <t>19.689</t>
  </si>
  <si>
    <t>Síla: 19.595</t>
  </si>
  <si>
    <t>Pavel Pachla</t>
  </si>
  <si>
    <t>19.595</t>
  </si>
  <si>
    <t>Síla: 19.002</t>
  </si>
  <si>
    <t>Marie Sedláčková</t>
  </si>
  <si>
    <t>19.002</t>
  </si>
  <si>
    <t>Oldřich Semrád</t>
  </si>
  <si>
    <t>Síla: 19.001</t>
  </si>
  <si>
    <t>Barbora Kašparová</t>
  </si>
  <si>
    <t>19.001</t>
  </si>
  <si>
    <t>Síla: 19</t>
  </si>
  <si>
    <t>Jiří Horálek</t>
  </si>
  <si>
    <t>19.000</t>
  </si>
  <si>
    <t>Síla: 18.969</t>
  </si>
  <si>
    <t>Pavel Melgr</t>
  </si>
  <si>
    <t>PC SOKOL PP Hr. Králové</t>
  </si>
  <si>
    <t>18.969</t>
  </si>
  <si>
    <t>Síla: 17.721</t>
  </si>
  <si>
    <t>Jiří Froněk Ml. "J"</t>
  </si>
  <si>
    <t>17.721</t>
  </si>
  <si>
    <t>Síla: 17.688</t>
  </si>
  <si>
    <t>Jan Melgr</t>
  </si>
  <si>
    <t>17.688</t>
  </si>
  <si>
    <t>Síla: 17.346</t>
  </si>
  <si>
    <t>Václav Stejskal</t>
  </si>
  <si>
    <t>17.346</t>
  </si>
  <si>
    <t>Síla: 17.313</t>
  </si>
  <si>
    <t>Vladimír Glaser</t>
  </si>
  <si>
    <t>17.313</t>
  </si>
  <si>
    <t>Síla: 16.97</t>
  </si>
  <si>
    <t>Tomáš Piller</t>
  </si>
  <si>
    <t>16.970</t>
  </si>
  <si>
    <t>Síla: 16.892</t>
  </si>
  <si>
    <t>Václav Mráz</t>
  </si>
  <si>
    <t>16.892</t>
  </si>
  <si>
    <t>Síla: 16.875</t>
  </si>
  <si>
    <t>Roman Bytešník</t>
  </si>
  <si>
    <t>16.875</t>
  </si>
  <si>
    <t>Síla: 16.471</t>
  </si>
  <si>
    <t>Radomír Žiak</t>
  </si>
  <si>
    <t>16.471</t>
  </si>
  <si>
    <t>Síla: 16.282</t>
  </si>
  <si>
    <t>Zdeněk Bucek</t>
  </si>
  <si>
    <t>16.282</t>
  </si>
  <si>
    <t>Síla: 15.501</t>
  </si>
  <si>
    <t>Michal Drmola</t>
  </si>
  <si>
    <t>15.501</t>
  </si>
  <si>
    <t>Síla: 15.001</t>
  </si>
  <si>
    <t>Jiří Michovský</t>
  </si>
  <si>
    <t>15.001</t>
  </si>
  <si>
    <t>Síla: 14.736</t>
  </si>
  <si>
    <t>Petra Kadavá "E"</t>
  </si>
  <si>
    <t>14.736</t>
  </si>
  <si>
    <t>Síla: 14.627</t>
  </si>
  <si>
    <t>Milan Špitálský</t>
  </si>
  <si>
    <t>14.627</t>
  </si>
  <si>
    <t>Síla: 14.532</t>
  </si>
  <si>
    <t>Dana Glaserová</t>
  </si>
  <si>
    <t>14.532</t>
  </si>
  <si>
    <t>Síla: 14.313</t>
  </si>
  <si>
    <t>Pavel Kocourek</t>
  </si>
  <si>
    <t>14.313</t>
  </si>
  <si>
    <t>Síla: 14.033</t>
  </si>
  <si>
    <t>Eva Blažejová</t>
  </si>
  <si>
    <t>14.033</t>
  </si>
  <si>
    <t>Síla: 14.031</t>
  </si>
  <si>
    <t>Radim Valošek</t>
  </si>
  <si>
    <t>14.031</t>
  </si>
  <si>
    <t>Síla: 13.97</t>
  </si>
  <si>
    <t>Rudolf Vaníček</t>
  </si>
  <si>
    <t>13.970</t>
  </si>
  <si>
    <t>Síla: 13.064</t>
  </si>
  <si>
    <t>Luboš Rusek</t>
  </si>
  <si>
    <t>13.064</t>
  </si>
  <si>
    <t>Síla: 13.001</t>
  </si>
  <si>
    <t>Josef Ondryhal</t>
  </si>
  <si>
    <t>13.001</t>
  </si>
  <si>
    <t>Síla: 12.345</t>
  </si>
  <si>
    <t>Matěj Zikmunda "E"</t>
  </si>
  <si>
    <t>12.345</t>
  </si>
  <si>
    <t>Síla: 11.564</t>
  </si>
  <si>
    <t>Alena Blieková</t>
  </si>
  <si>
    <t>SENIOR TÝM PRAHA 1</t>
  </si>
  <si>
    <t>11.564</t>
  </si>
  <si>
    <t>Síla: 11.172</t>
  </si>
  <si>
    <t>Jakub Srnský "J"</t>
  </si>
  <si>
    <t>11.172</t>
  </si>
  <si>
    <t>Síla: 10.815</t>
  </si>
  <si>
    <t>Jindřich Hůrka</t>
  </si>
  <si>
    <t>10.815</t>
  </si>
  <si>
    <t>Síla: 10.72</t>
  </si>
  <si>
    <t>Petr Stejskal</t>
  </si>
  <si>
    <t>10.720</t>
  </si>
  <si>
    <t>Síla: 10.656</t>
  </si>
  <si>
    <t>Sára Valošková "J"</t>
  </si>
  <si>
    <t>10.656</t>
  </si>
  <si>
    <t>Síla: 10.565</t>
  </si>
  <si>
    <t>Lucie Hůrková</t>
  </si>
  <si>
    <t>10.565</t>
  </si>
  <si>
    <t>Síla: 9.875</t>
  </si>
  <si>
    <t>Zdeněk Gröschl</t>
  </si>
  <si>
    <t>9.875</t>
  </si>
  <si>
    <t>Síla: 9.532</t>
  </si>
  <si>
    <t>Lukáš Ondryhal "J"</t>
  </si>
  <si>
    <t>9.532</t>
  </si>
  <si>
    <t>Síla: 9.079</t>
  </si>
  <si>
    <t>Václava Reinbergrová</t>
  </si>
  <si>
    <t>9.079</t>
  </si>
  <si>
    <t>Síla: 8.97</t>
  </si>
  <si>
    <t>Evžen Křížek</t>
  </si>
  <si>
    <t>8.970</t>
  </si>
  <si>
    <t>Síla: 8.829</t>
  </si>
  <si>
    <t>Josef Procházka</t>
  </si>
  <si>
    <t>8.829</t>
  </si>
  <si>
    <t>Síla: 8.563</t>
  </si>
  <si>
    <t>Lukáš Jablonský</t>
  </si>
  <si>
    <t>PEK STOLÍN</t>
  </si>
  <si>
    <t>8.563</t>
  </si>
  <si>
    <t>Síla: 8.5</t>
  </si>
  <si>
    <t>Iveta Hájková</t>
  </si>
  <si>
    <t>8.500</t>
  </si>
  <si>
    <t>Síla: 8.188</t>
  </si>
  <si>
    <t>Amos Rendjambe</t>
  </si>
  <si>
    <t>8.188</t>
  </si>
  <si>
    <t>Síla: 8.095</t>
  </si>
  <si>
    <t>Jana Křešťáková</t>
  </si>
  <si>
    <t>8.095</t>
  </si>
  <si>
    <t>Síla: 8.032</t>
  </si>
  <si>
    <t>Miroslav Kmoch</t>
  </si>
  <si>
    <t>8.032</t>
  </si>
  <si>
    <t>Síla: 8.017</t>
  </si>
  <si>
    <t>Hana Koňasová</t>
  </si>
  <si>
    <t>8.017</t>
  </si>
  <si>
    <t>Síla: 7.782</t>
  </si>
  <si>
    <t>Eva Josífková</t>
  </si>
  <si>
    <t>7.782</t>
  </si>
  <si>
    <t>Síla: 7.5</t>
  </si>
  <si>
    <t>Luděk Suchomel</t>
  </si>
  <si>
    <t>7.500</t>
  </si>
  <si>
    <t>Síla: 7.314</t>
  </si>
  <si>
    <t>Věra Váňová</t>
  </si>
  <si>
    <t>7.314</t>
  </si>
  <si>
    <t>Síla: 6.47</t>
  </si>
  <si>
    <t>Jakub Lukeš "J"</t>
  </si>
  <si>
    <t>6.470</t>
  </si>
  <si>
    <t>Síla: 5.875</t>
  </si>
  <si>
    <t>Milan Fukal</t>
  </si>
  <si>
    <t>5.875</t>
  </si>
  <si>
    <t>Síla: 5.61</t>
  </si>
  <si>
    <t>Miloš Duška "J"</t>
  </si>
  <si>
    <t>5.610</t>
  </si>
  <si>
    <t>Síla: 5.204</t>
  </si>
  <si>
    <t>Jiřina Gazdíková</t>
  </si>
  <si>
    <t>5.204</t>
  </si>
  <si>
    <t>Síla: 5.188</t>
  </si>
  <si>
    <t>Nina Rousková "J"</t>
  </si>
  <si>
    <t>5.188</t>
  </si>
  <si>
    <t>Síla: 5.125</t>
  </si>
  <si>
    <t>Hedvika Sedláčková</t>
  </si>
  <si>
    <t>5.125</t>
  </si>
  <si>
    <t>Síla: 4.97</t>
  </si>
  <si>
    <t>Věra Čapková</t>
  </si>
  <si>
    <t>4.970</t>
  </si>
  <si>
    <t>Síla: 4.845</t>
  </si>
  <si>
    <t>Petra Husáková</t>
  </si>
  <si>
    <t>4.845</t>
  </si>
  <si>
    <t>Síla: 4.689</t>
  </si>
  <si>
    <t>Josefína Kolaříková</t>
  </si>
  <si>
    <t>4.689</t>
  </si>
  <si>
    <t>Síla: 3.234</t>
  </si>
  <si>
    <t>Kateřina Valenzová</t>
  </si>
  <si>
    <t>3.234</t>
  </si>
  <si>
    <t>Síla: 2.906</t>
  </si>
  <si>
    <t>Ivana Vávrová</t>
  </si>
  <si>
    <t>2.906</t>
  </si>
  <si>
    <t>Síla: 2.751</t>
  </si>
  <si>
    <t>Vlasta Klazarová</t>
  </si>
  <si>
    <t>2.751</t>
  </si>
  <si>
    <t>Síla: 1.97</t>
  </si>
  <si>
    <t>Jiřina Mullerová</t>
  </si>
  <si>
    <t>1.970</t>
  </si>
  <si>
    <t>Síla: 1.438</t>
  </si>
  <si>
    <t>Jan Karbulka</t>
  </si>
  <si>
    <t>ČPK PODĚBRADY</t>
  </si>
  <si>
    <t>1.438</t>
  </si>
  <si>
    <t>Síla: 1.376</t>
  </si>
  <si>
    <t>Zdeněk Loprais</t>
  </si>
  <si>
    <t>1.376</t>
  </si>
  <si>
    <t>Síla: 1.219</t>
  </si>
  <si>
    <t>Vítek Jarouš</t>
  </si>
  <si>
    <t>1.219</t>
  </si>
  <si>
    <t>Síla: 0.938</t>
  </si>
  <si>
    <t>Simon Rousek "J"</t>
  </si>
  <si>
    <t>0.938</t>
  </si>
  <si>
    <t>Dan Geisler "J"</t>
  </si>
  <si>
    <t>Lapihuska Robert</t>
  </si>
  <si>
    <t>Lapihuska Milan ml.</t>
  </si>
  <si>
    <t>Michálek Ivo</t>
  </si>
  <si>
    <t>Bartoš Martin</t>
  </si>
  <si>
    <t>Fuksa Petr, Fafek Petr, Tománek Petr</t>
  </si>
  <si>
    <t>Lapihuska Robert, Přibyl Miloš, Suchomel Luděk, Horáčková Simona, Piller Tomáš</t>
  </si>
  <si>
    <t>300,- Kč, junior - 250,- Kč</t>
  </si>
  <si>
    <t>Poháry, medaile, věcné ceny, putovní pohár</t>
  </si>
  <si>
    <t>NE</t>
  </si>
  <si>
    <t>Teplé, slunečné</t>
  </si>
  <si>
    <t>Nebyly zaznamenány</t>
  </si>
  <si>
    <t>Turnaj proběhl bez závažných přestupků a ve vyborném času ( konec 19:35 ). Domluvou jsem řešil zašlapování děr a drobné přešlapy. Uděleny 2 žluté karty - překročení časového limitu a přešlap ve vyrážení. Martin Bartoš</t>
  </si>
  <si>
    <t>Turnaj se odehrál za krásného počasí v dobré atmosféře. Po odehrání základních kol byla přestávka na oběd a dále se pak pokračovalo ve vyřazovacím pavouku až do konce turnaje. Turnaj jsme ukončili v dobrém čase v 19:35.</t>
  </si>
  <si>
    <t>Turnaj dobře zorganizován, připraven dopředu ručně malovaný pavouk, pořadatel osobně zapisoval a řídil rozdělování hřišť. Světla včas a v pořádku, turnaj měl spád bez rušivých vlivů.U souboru pro 256 na 2 prohry se dle pořadatele v dohrávkách přehazuje pořadí u ko 4 ve výsledkové listině. Dobré prověřit.</t>
  </si>
</sst>
</file>

<file path=xl/styles.xml><?xml version="1.0" encoding="utf-8"?>
<styleSheet xmlns="http://schemas.openxmlformats.org/spreadsheetml/2006/main">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6">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4" fontId="17" fillId="6" borderId="29" xfId="0" applyNumberFormat="1" applyFont="1" applyFill="1" applyBorder="1" applyAlignment="1" applyProtection="1"/>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43010" TargetMode="External"/><Relationship Id="rId117" Type="http://schemas.openxmlformats.org/officeDocument/2006/relationships/hyperlink" Target="http://czechpetanque.cz/odhlasit.html?pr=42746" TargetMode="External"/><Relationship Id="rId21" Type="http://schemas.openxmlformats.org/officeDocument/2006/relationships/hyperlink" Target="http://czechpetanque.cz/odhlasit.html?pr=42646" TargetMode="External"/><Relationship Id="rId42" Type="http://schemas.openxmlformats.org/officeDocument/2006/relationships/hyperlink" Target="http://czechpetanque.cz/odhlasit.html?pr=42522" TargetMode="External"/><Relationship Id="rId47" Type="http://schemas.openxmlformats.org/officeDocument/2006/relationships/hyperlink" Target="http://czechpetanque.cz/odhlasit.html?pr=43185" TargetMode="External"/><Relationship Id="rId63" Type="http://schemas.openxmlformats.org/officeDocument/2006/relationships/hyperlink" Target="http://czechpetanque.cz/odhlasit.html?pr=42533" TargetMode="External"/><Relationship Id="rId68" Type="http://schemas.openxmlformats.org/officeDocument/2006/relationships/hyperlink" Target="http://czechpetanque.cz/odhlasit.html?pr=42528" TargetMode="External"/><Relationship Id="rId84" Type="http://schemas.openxmlformats.org/officeDocument/2006/relationships/hyperlink" Target="http://czechpetanque.cz/odhlasit.html?pr=42815" TargetMode="External"/><Relationship Id="rId89" Type="http://schemas.openxmlformats.org/officeDocument/2006/relationships/hyperlink" Target="http://czechpetanque.cz/odhlasit.html?pr=43239" TargetMode="External"/><Relationship Id="rId112" Type="http://schemas.openxmlformats.org/officeDocument/2006/relationships/hyperlink" Target="http://czechpetanque.cz/odhlasit.html?pr=43858" TargetMode="External"/><Relationship Id="rId133" Type="http://schemas.openxmlformats.org/officeDocument/2006/relationships/hyperlink" Target="http://czechpetanque.cz/odhlasit.html?pr=44083" TargetMode="External"/><Relationship Id="rId138" Type="http://schemas.openxmlformats.org/officeDocument/2006/relationships/hyperlink" Target="http://czechpetanque.cz/odhlasit.html?pr=44084" TargetMode="External"/><Relationship Id="rId16" Type="http://schemas.openxmlformats.org/officeDocument/2006/relationships/hyperlink" Target="http://czechpetanque.cz/odhlasit.html?pr=43250" TargetMode="External"/><Relationship Id="rId107" Type="http://schemas.openxmlformats.org/officeDocument/2006/relationships/hyperlink" Target="http://czechpetanque.cz/odhlasit.html?pr=43740" TargetMode="External"/><Relationship Id="rId11" Type="http://schemas.openxmlformats.org/officeDocument/2006/relationships/hyperlink" Target="http://czechpetanque.cz/odhlasit.html?pr=42500" TargetMode="External"/><Relationship Id="rId32" Type="http://schemas.openxmlformats.org/officeDocument/2006/relationships/hyperlink" Target="http://czechpetanque.cz/odhlasit.html?pr=43691" TargetMode="External"/><Relationship Id="rId37" Type="http://schemas.openxmlformats.org/officeDocument/2006/relationships/hyperlink" Target="http://czechpetanque.cz/odhlasit.html?pr=44130" TargetMode="External"/><Relationship Id="rId53" Type="http://schemas.openxmlformats.org/officeDocument/2006/relationships/hyperlink" Target="http://czechpetanque.cz/odhlasit.html?pr=42702" TargetMode="External"/><Relationship Id="rId58" Type="http://schemas.openxmlformats.org/officeDocument/2006/relationships/hyperlink" Target="http://czechpetanque.cz/odhlasit.html?pr=43637" TargetMode="External"/><Relationship Id="rId74" Type="http://schemas.openxmlformats.org/officeDocument/2006/relationships/hyperlink" Target="http://czechpetanque.cz/odhlasit.html?pr=43429" TargetMode="External"/><Relationship Id="rId79" Type="http://schemas.openxmlformats.org/officeDocument/2006/relationships/hyperlink" Target="http://czechpetanque.cz/odhlasit.html?pr=42824" TargetMode="External"/><Relationship Id="rId102" Type="http://schemas.openxmlformats.org/officeDocument/2006/relationships/hyperlink" Target="http://czechpetanque.cz/odhlasit.html?pr=42735" TargetMode="External"/><Relationship Id="rId123" Type="http://schemas.openxmlformats.org/officeDocument/2006/relationships/hyperlink" Target="http://czechpetanque.cz/odhlasit.html?pr=42747" TargetMode="External"/><Relationship Id="rId128" Type="http://schemas.openxmlformats.org/officeDocument/2006/relationships/hyperlink" Target="http://czechpetanque.cz/odhlasit.html?pr=42643" TargetMode="External"/><Relationship Id="rId144" Type="http://schemas.openxmlformats.org/officeDocument/2006/relationships/hyperlink" Target="http://czechpetanque.cz/odhlasit.html?pr=44183" TargetMode="External"/><Relationship Id="rId5" Type="http://schemas.openxmlformats.org/officeDocument/2006/relationships/hyperlink" Target="http://czechpetanque.cz/odhlasit.html?pr=44185" TargetMode="External"/><Relationship Id="rId90" Type="http://schemas.openxmlformats.org/officeDocument/2006/relationships/hyperlink" Target="http://czechpetanque.cz/odhlasit.html?pr=42982" TargetMode="External"/><Relationship Id="rId95" Type="http://schemas.openxmlformats.org/officeDocument/2006/relationships/hyperlink" Target="http://czechpetanque.cz/odhlasit.html?pr=42822" TargetMode="External"/><Relationship Id="rId22" Type="http://schemas.openxmlformats.org/officeDocument/2006/relationships/hyperlink" Target="http://czechpetanque.cz/odhlasit.html?pr=43692" TargetMode="External"/><Relationship Id="rId27" Type="http://schemas.openxmlformats.org/officeDocument/2006/relationships/hyperlink" Target="http://czechpetanque.cz/odhlasit.html?pr=42536" TargetMode="External"/><Relationship Id="rId43" Type="http://schemas.openxmlformats.org/officeDocument/2006/relationships/hyperlink" Target="http://czechpetanque.cz/odhlasit.html?pr=43468" TargetMode="External"/><Relationship Id="rId48" Type="http://schemas.openxmlformats.org/officeDocument/2006/relationships/hyperlink" Target="http://czechpetanque.cz/odhlasit.html?pr=43053" TargetMode="External"/><Relationship Id="rId64" Type="http://schemas.openxmlformats.org/officeDocument/2006/relationships/hyperlink" Target="http://czechpetanque.cz/odhlasit.html?pr=42823" TargetMode="External"/><Relationship Id="rId69" Type="http://schemas.openxmlformats.org/officeDocument/2006/relationships/hyperlink" Target="http://czechpetanque.cz/odhlasit.html?pr=42670" TargetMode="External"/><Relationship Id="rId113" Type="http://schemas.openxmlformats.org/officeDocument/2006/relationships/hyperlink" Target="http://czechpetanque.cz/odhlasit.html?pr=43055" TargetMode="External"/><Relationship Id="rId118" Type="http://schemas.openxmlformats.org/officeDocument/2006/relationships/hyperlink" Target="http://czechpetanque.cz/odhlasit.html?pr=42624" TargetMode="External"/><Relationship Id="rId134" Type="http://schemas.openxmlformats.org/officeDocument/2006/relationships/hyperlink" Target="http://czechpetanque.cz/odhlasit.html?pr=44152" TargetMode="External"/><Relationship Id="rId139" Type="http://schemas.openxmlformats.org/officeDocument/2006/relationships/hyperlink" Target="http://czechpetanque.cz/odhlasit.html?pr=43312" TargetMode="External"/><Relationship Id="rId80" Type="http://schemas.openxmlformats.org/officeDocument/2006/relationships/hyperlink" Target="http://czechpetanque.cz/odhlasit.html?pr=42622" TargetMode="External"/><Relationship Id="rId85" Type="http://schemas.openxmlformats.org/officeDocument/2006/relationships/hyperlink" Target="http://czechpetanque.cz/odhlasit.html?pr=43056" TargetMode="External"/><Relationship Id="rId3" Type="http://schemas.openxmlformats.org/officeDocument/2006/relationships/hyperlink" Target="http://czechpetanque.cz/odhlasit.html?pr=43650" TargetMode="External"/><Relationship Id="rId12" Type="http://schemas.openxmlformats.org/officeDocument/2006/relationships/hyperlink" Target="http://czechpetanque.cz/odhlasit.html?pr=43378" TargetMode="External"/><Relationship Id="rId17" Type="http://schemas.openxmlformats.org/officeDocument/2006/relationships/hyperlink" Target="http://czechpetanque.cz/odhlasit.html?pr=42686" TargetMode="External"/><Relationship Id="rId25" Type="http://schemas.openxmlformats.org/officeDocument/2006/relationships/hyperlink" Target="http://czechpetanque.cz/odhlasit.html?pr=42505" TargetMode="External"/><Relationship Id="rId33" Type="http://schemas.openxmlformats.org/officeDocument/2006/relationships/hyperlink" Target="http://czechpetanque.cz/odhlasit.html?pr=43011" TargetMode="External"/><Relationship Id="rId38" Type="http://schemas.openxmlformats.org/officeDocument/2006/relationships/hyperlink" Target="http://czechpetanque.cz/odhlasit.html?pr=43355" TargetMode="External"/><Relationship Id="rId46" Type="http://schemas.openxmlformats.org/officeDocument/2006/relationships/hyperlink" Target="http://czechpetanque.cz/odhlasit.html?pr=43636" TargetMode="External"/><Relationship Id="rId59" Type="http://schemas.openxmlformats.org/officeDocument/2006/relationships/hyperlink" Target="http://czechpetanque.cz/odhlasit.html?pr=43532" TargetMode="External"/><Relationship Id="rId67" Type="http://schemas.openxmlformats.org/officeDocument/2006/relationships/hyperlink" Target="http://czechpetanque.cz/odhlasit.html?pr=43742" TargetMode="External"/><Relationship Id="rId103" Type="http://schemas.openxmlformats.org/officeDocument/2006/relationships/hyperlink" Target="http://czechpetanque.cz/odhlasit.html?pr=44207" TargetMode="External"/><Relationship Id="rId108" Type="http://schemas.openxmlformats.org/officeDocument/2006/relationships/hyperlink" Target="http://czechpetanque.cz/odhlasit.html?pr=43200" TargetMode="External"/><Relationship Id="rId116" Type="http://schemas.openxmlformats.org/officeDocument/2006/relationships/hyperlink" Target="http://czechpetanque.cz/odhlasit.html?pr=43514" TargetMode="External"/><Relationship Id="rId124" Type="http://schemas.openxmlformats.org/officeDocument/2006/relationships/hyperlink" Target="http://czechpetanque.cz/odhlasit.html?pr=43154" TargetMode="External"/><Relationship Id="rId129" Type="http://schemas.openxmlformats.org/officeDocument/2006/relationships/hyperlink" Target="http://czechpetanque.cz/odhlasit.html?pr=44065" TargetMode="External"/><Relationship Id="rId137" Type="http://schemas.openxmlformats.org/officeDocument/2006/relationships/hyperlink" Target="http://czechpetanque.cz/odhlasit.html?pr=43412" TargetMode="External"/><Relationship Id="rId20" Type="http://schemas.openxmlformats.org/officeDocument/2006/relationships/hyperlink" Target="http://czechpetanque.cz/odhlasit.html?pr=42671" TargetMode="External"/><Relationship Id="rId41" Type="http://schemas.openxmlformats.org/officeDocument/2006/relationships/hyperlink" Target="http://czechpetanque.cz/odhlasit.html?pr=42663" TargetMode="External"/><Relationship Id="rId54" Type="http://schemas.openxmlformats.org/officeDocument/2006/relationships/hyperlink" Target="http://czechpetanque.cz/odhlasit.html?pr=42634" TargetMode="External"/><Relationship Id="rId62" Type="http://schemas.openxmlformats.org/officeDocument/2006/relationships/hyperlink" Target="http://czechpetanque.cz/odhlasit.html?pr=42699" TargetMode="External"/><Relationship Id="rId70" Type="http://schemas.openxmlformats.org/officeDocument/2006/relationships/hyperlink" Target="http://czechpetanque.cz/odhlasit.html?pr=43071" TargetMode="External"/><Relationship Id="rId75" Type="http://schemas.openxmlformats.org/officeDocument/2006/relationships/hyperlink" Target="http://czechpetanque.cz/odhlasit.html?pr=43184" TargetMode="External"/><Relationship Id="rId83" Type="http://schemas.openxmlformats.org/officeDocument/2006/relationships/hyperlink" Target="http://czechpetanque.cz/odhlasit.html?pr=43232" TargetMode="External"/><Relationship Id="rId88" Type="http://schemas.openxmlformats.org/officeDocument/2006/relationships/hyperlink" Target="http://czechpetanque.cz/odhlasit.html?pr=44103" TargetMode="External"/><Relationship Id="rId91" Type="http://schemas.openxmlformats.org/officeDocument/2006/relationships/hyperlink" Target="http://czechpetanque.cz/odhlasit.html?pr=42998" TargetMode="External"/><Relationship Id="rId96" Type="http://schemas.openxmlformats.org/officeDocument/2006/relationships/hyperlink" Target="http://czechpetanque.cz/odhlasit.html?pr=43383" TargetMode="External"/><Relationship Id="rId111" Type="http://schemas.openxmlformats.org/officeDocument/2006/relationships/hyperlink" Target="http://czechpetanque.cz/odhlasit.html?pr=42734" TargetMode="External"/><Relationship Id="rId132" Type="http://schemas.openxmlformats.org/officeDocument/2006/relationships/hyperlink" Target="http://czechpetanque.cz/odhlasit.html?pr=43787" TargetMode="External"/><Relationship Id="rId140" Type="http://schemas.openxmlformats.org/officeDocument/2006/relationships/hyperlink" Target="http://czechpetanque.cz/odhlasit.html?pr=44192" TargetMode="External"/><Relationship Id="rId145"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3237" TargetMode="External"/><Relationship Id="rId15" Type="http://schemas.openxmlformats.org/officeDocument/2006/relationships/hyperlink" Target="http://czechpetanque.cz/odhlasit.html?pr=43778" TargetMode="External"/><Relationship Id="rId23" Type="http://schemas.openxmlformats.org/officeDocument/2006/relationships/hyperlink" Target="http://czechpetanque.cz/odhlasit.html?pr=42894" TargetMode="External"/><Relationship Id="rId28" Type="http://schemas.openxmlformats.org/officeDocument/2006/relationships/hyperlink" Target="http://czechpetanque.cz/odhlasit.html?pr=43424" TargetMode="External"/><Relationship Id="rId36" Type="http://schemas.openxmlformats.org/officeDocument/2006/relationships/hyperlink" Target="http://czechpetanque.cz/odhlasit.html?pr=43366" TargetMode="External"/><Relationship Id="rId49" Type="http://schemas.openxmlformats.org/officeDocument/2006/relationships/hyperlink" Target="http://czechpetanque.cz/odhlasit.html?pr=43263" TargetMode="External"/><Relationship Id="rId57" Type="http://schemas.openxmlformats.org/officeDocument/2006/relationships/hyperlink" Target="http://czechpetanque.cz/odhlasit.html?pr=42492" TargetMode="External"/><Relationship Id="rId106" Type="http://schemas.openxmlformats.org/officeDocument/2006/relationships/hyperlink" Target="http://czechpetanque.cz/odhlasit.html?pr=44123" TargetMode="External"/><Relationship Id="rId114" Type="http://schemas.openxmlformats.org/officeDocument/2006/relationships/hyperlink" Target="http://czechpetanque.cz/odhlasit.html?pr=42654" TargetMode="External"/><Relationship Id="rId119" Type="http://schemas.openxmlformats.org/officeDocument/2006/relationships/hyperlink" Target="http://czechpetanque.cz/odhlasit.html?pr=42625" TargetMode="External"/><Relationship Id="rId127" Type="http://schemas.openxmlformats.org/officeDocument/2006/relationships/hyperlink" Target="http://czechpetanque.cz/odhlasit.html?pr=42754" TargetMode="External"/><Relationship Id="rId10" Type="http://schemas.openxmlformats.org/officeDocument/2006/relationships/hyperlink" Target="http://czechpetanque.cz/odhlasit.html?pr=42956" TargetMode="External"/><Relationship Id="rId31" Type="http://schemas.openxmlformats.org/officeDocument/2006/relationships/hyperlink" Target="http://czechpetanque.cz/odhlasit.html?pr=43836" TargetMode="External"/><Relationship Id="rId44" Type="http://schemas.openxmlformats.org/officeDocument/2006/relationships/hyperlink" Target="http://czechpetanque.cz/odhlasit.html?pr=43475" TargetMode="External"/><Relationship Id="rId52" Type="http://schemas.openxmlformats.org/officeDocument/2006/relationships/hyperlink" Target="http://czechpetanque.cz/odhlasit.html?pr=43861" TargetMode="External"/><Relationship Id="rId60" Type="http://schemas.openxmlformats.org/officeDocument/2006/relationships/hyperlink" Target="http://czechpetanque.cz/odhlasit.html?pr=42701" TargetMode="External"/><Relationship Id="rId65" Type="http://schemas.openxmlformats.org/officeDocument/2006/relationships/hyperlink" Target="http://czechpetanque.cz/odhlasit.html?pr=42711" TargetMode="External"/><Relationship Id="rId73" Type="http://schemas.openxmlformats.org/officeDocument/2006/relationships/hyperlink" Target="http://czechpetanque.cz/odhlasit.html?pr=43992" TargetMode="External"/><Relationship Id="rId78" Type="http://schemas.openxmlformats.org/officeDocument/2006/relationships/hyperlink" Target="http://czechpetanque.cz/odhlasit.html?pr=43013" TargetMode="External"/><Relationship Id="rId81" Type="http://schemas.openxmlformats.org/officeDocument/2006/relationships/hyperlink" Target="http://czechpetanque.cz/odhlasit.html?pr=43060" TargetMode="External"/><Relationship Id="rId86" Type="http://schemas.openxmlformats.org/officeDocument/2006/relationships/hyperlink" Target="http://czechpetanque.cz/odhlasit.html?pr=44199" TargetMode="External"/><Relationship Id="rId94" Type="http://schemas.openxmlformats.org/officeDocument/2006/relationships/hyperlink" Target="http://czechpetanque.cz/odhlasit.html?pr=42593" TargetMode="External"/><Relationship Id="rId99" Type="http://schemas.openxmlformats.org/officeDocument/2006/relationships/hyperlink" Target="http://czechpetanque.cz/odhlasit.html?pr=43240" TargetMode="External"/><Relationship Id="rId101" Type="http://schemas.openxmlformats.org/officeDocument/2006/relationships/hyperlink" Target="http://czechpetanque.cz/odhlasit.html?pr=43696" TargetMode="External"/><Relationship Id="rId122" Type="http://schemas.openxmlformats.org/officeDocument/2006/relationships/hyperlink" Target="http://czechpetanque.cz/odhlasit.html?pr=43668" TargetMode="External"/><Relationship Id="rId130" Type="http://schemas.openxmlformats.org/officeDocument/2006/relationships/hyperlink" Target="http://czechpetanque.cz/odhlasit.html?pr=44142" TargetMode="External"/><Relationship Id="rId135" Type="http://schemas.openxmlformats.org/officeDocument/2006/relationships/hyperlink" Target="http://czechpetanque.cz/odhlasit.html?pr=44171" TargetMode="External"/><Relationship Id="rId143" Type="http://schemas.openxmlformats.org/officeDocument/2006/relationships/hyperlink" Target="http://czechpetanque.cz/odhlasit.html?pr=44182" TargetMode="External"/><Relationship Id="rId4" Type="http://schemas.openxmlformats.org/officeDocument/2006/relationships/hyperlink" Target="http://czechpetanque.cz/odhlasit.html?pr=42828" TargetMode="External"/><Relationship Id="rId9" Type="http://schemas.openxmlformats.org/officeDocument/2006/relationships/hyperlink" Target="http://czechpetanque.cz/odhlasit.html?pr=43414" TargetMode="External"/><Relationship Id="rId13" Type="http://schemas.openxmlformats.org/officeDocument/2006/relationships/hyperlink" Target="http://czechpetanque.cz/odhlasit.html?pr=43346" TargetMode="External"/><Relationship Id="rId18" Type="http://schemas.openxmlformats.org/officeDocument/2006/relationships/hyperlink" Target="http://czechpetanque.cz/odhlasit.html?pr=43365" TargetMode="External"/><Relationship Id="rId39" Type="http://schemas.openxmlformats.org/officeDocument/2006/relationships/hyperlink" Target="http://czechpetanque.cz/odhlasit.html?pr=42525" TargetMode="External"/><Relationship Id="rId109" Type="http://schemas.openxmlformats.org/officeDocument/2006/relationships/hyperlink" Target="http://czechpetanque.cz/odhlasit.html?pr=44146" TargetMode="External"/><Relationship Id="rId34" Type="http://schemas.openxmlformats.org/officeDocument/2006/relationships/hyperlink" Target="http://czechpetanque.cz/odhlasit.html?pr=42958" TargetMode="External"/><Relationship Id="rId50" Type="http://schemas.openxmlformats.org/officeDocument/2006/relationships/hyperlink" Target="http://czechpetanque.cz/odhlasit.html?pr=43675" TargetMode="External"/><Relationship Id="rId55" Type="http://schemas.openxmlformats.org/officeDocument/2006/relationships/hyperlink" Target="http://czechpetanque.cz/odhlasit.html?pr=42628" TargetMode="External"/><Relationship Id="rId76" Type="http://schemas.openxmlformats.org/officeDocument/2006/relationships/hyperlink" Target="http://czechpetanque.cz/odhlasit.html?pr=42513" TargetMode="External"/><Relationship Id="rId97" Type="http://schemas.openxmlformats.org/officeDocument/2006/relationships/hyperlink" Target="http://czechpetanque.cz/odhlasit.html?pr=42598" TargetMode="External"/><Relationship Id="rId104" Type="http://schemas.openxmlformats.org/officeDocument/2006/relationships/hyperlink" Target="http://czechpetanque.cz/odhlasit.html?pr=43157" TargetMode="External"/><Relationship Id="rId120" Type="http://schemas.openxmlformats.org/officeDocument/2006/relationships/hyperlink" Target="http://czechpetanque.cz/odhlasit.html?pr=43233" TargetMode="External"/><Relationship Id="rId125" Type="http://schemas.openxmlformats.org/officeDocument/2006/relationships/hyperlink" Target="http://czechpetanque.cz/odhlasit.html?pr=43732" TargetMode="External"/><Relationship Id="rId141" Type="http://schemas.openxmlformats.org/officeDocument/2006/relationships/hyperlink" Target="http://czechpetanque.cz/odhlasit.html?pr=42816" TargetMode="External"/><Relationship Id="rId7" Type="http://schemas.openxmlformats.org/officeDocument/2006/relationships/hyperlink" Target="http://czechpetanque.cz/odhlasit.html?pr=43651" TargetMode="External"/><Relationship Id="rId71" Type="http://schemas.openxmlformats.org/officeDocument/2006/relationships/hyperlink" Target="http://czechpetanque.cz/odhlasit.html?pr=43862" TargetMode="External"/><Relationship Id="rId92" Type="http://schemas.openxmlformats.org/officeDocument/2006/relationships/hyperlink" Target="http://czechpetanque.cz/odhlasit.html?pr=43518" TargetMode="External"/><Relationship Id="rId2" Type="http://schemas.openxmlformats.org/officeDocument/2006/relationships/hyperlink" Target="http://czechpetanque.cz/odhlasit.html?pr=42826" TargetMode="External"/><Relationship Id="rId29" Type="http://schemas.openxmlformats.org/officeDocument/2006/relationships/hyperlink" Target="http://czechpetanque.cz/odhlasit.html?pr=42621" TargetMode="External"/><Relationship Id="rId24" Type="http://schemas.openxmlformats.org/officeDocument/2006/relationships/hyperlink" Target="http://czechpetanque.cz/odhlasit.html?pr=44148" TargetMode="External"/><Relationship Id="rId40" Type="http://schemas.openxmlformats.org/officeDocument/2006/relationships/hyperlink" Target="http://czechpetanque.cz/odhlasit.html?pr=43320" TargetMode="External"/><Relationship Id="rId45" Type="http://schemas.openxmlformats.org/officeDocument/2006/relationships/hyperlink" Target="http://czechpetanque.cz/odhlasit.html?pr=43335" TargetMode="External"/><Relationship Id="rId66" Type="http://schemas.openxmlformats.org/officeDocument/2006/relationships/hyperlink" Target="http://czechpetanque.cz/odhlasit.html?pr=43513" TargetMode="External"/><Relationship Id="rId87" Type="http://schemas.openxmlformats.org/officeDocument/2006/relationships/hyperlink" Target="http://czechpetanque.cz/odhlasit.html?pr=43057" TargetMode="External"/><Relationship Id="rId110" Type="http://schemas.openxmlformats.org/officeDocument/2006/relationships/hyperlink" Target="http://czechpetanque.cz/odhlasit.html?pr=43725" TargetMode="External"/><Relationship Id="rId115" Type="http://schemas.openxmlformats.org/officeDocument/2006/relationships/hyperlink" Target="http://czechpetanque.cz/odhlasit.html?pr=43667" TargetMode="External"/><Relationship Id="rId131" Type="http://schemas.openxmlformats.org/officeDocument/2006/relationships/hyperlink" Target="http://czechpetanque.cz/odhlasit.html?pr=44181" TargetMode="External"/><Relationship Id="rId136" Type="http://schemas.openxmlformats.org/officeDocument/2006/relationships/hyperlink" Target="http://czechpetanque.cz/odhlasit.html?pr=43833" TargetMode="External"/><Relationship Id="rId61" Type="http://schemas.openxmlformats.org/officeDocument/2006/relationships/hyperlink" Target="http://czechpetanque.cz/odhlasit.html?pr=42565" TargetMode="External"/><Relationship Id="rId82" Type="http://schemas.openxmlformats.org/officeDocument/2006/relationships/hyperlink" Target="http://czechpetanque.cz/odhlasit.html?pr=42814" TargetMode="External"/><Relationship Id="rId19" Type="http://schemas.openxmlformats.org/officeDocument/2006/relationships/hyperlink" Target="http://czechpetanque.cz/odhlasit.html?pr=43584" TargetMode="External"/><Relationship Id="rId14" Type="http://schemas.openxmlformats.org/officeDocument/2006/relationships/hyperlink" Target="http://czechpetanque.cz/odhlasit.html?pr=43719" TargetMode="External"/><Relationship Id="rId30" Type="http://schemas.openxmlformats.org/officeDocument/2006/relationships/hyperlink" Target="http://czechpetanque.cz/odhlasit.html?pr=43652" TargetMode="External"/><Relationship Id="rId35" Type="http://schemas.openxmlformats.org/officeDocument/2006/relationships/hyperlink" Target="http://czechpetanque.cz/odhlasit.html?pr=42527" TargetMode="External"/><Relationship Id="rId56" Type="http://schemas.openxmlformats.org/officeDocument/2006/relationships/hyperlink" Target="http://czechpetanque.cz/odhlasit.html?pr=43330" TargetMode="External"/><Relationship Id="rId77" Type="http://schemas.openxmlformats.org/officeDocument/2006/relationships/hyperlink" Target="http://czechpetanque.cz/odhlasit.html?pr=43765" TargetMode="External"/><Relationship Id="rId100" Type="http://schemas.openxmlformats.org/officeDocument/2006/relationships/hyperlink" Target="http://czechpetanque.cz/odhlasit.html?pr=43054" TargetMode="External"/><Relationship Id="rId105" Type="http://schemas.openxmlformats.org/officeDocument/2006/relationships/hyperlink" Target="http://czechpetanque.cz/odhlasit.html?pr=42653" TargetMode="External"/><Relationship Id="rId126" Type="http://schemas.openxmlformats.org/officeDocument/2006/relationships/hyperlink" Target="http://czechpetanque.cz/odhlasit.html?pr=43487" TargetMode="External"/><Relationship Id="rId8" Type="http://schemas.openxmlformats.org/officeDocument/2006/relationships/hyperlink" Target="http://czechpetanque.cz/odhlasit.html?pr=43249" TargetMode="External"/><Relationship Id="rId51" Type="http://schemas.openxmlformats.org/officeDocument/2006/relationships/hyperlink" Target="http://czechpetanque.cz/odhlasit.html?pr=42633" TargetMode="External"/><Relationship Id="rId72" Type="http://schemas.openxmlformats.org/officeDocument/2006/relationships/hyperlink" Target="http://czechpetanque.cz/odhlasit.html?pr=42608" TargetMode="External"/><Relationship Id="rId93" Type="http://schemas.openxmlformats.org/officeDocument/2006/relationships/hyperlink" Target="http://czechpetanque.cz/odhlasit.html?pr=43993" TargetMode="External"/><Relationship Id="rId98" Type="http://schemas.openxmlformats.org/officeDocument/2006/relationships/hyperlink" Target="http://czechpetanque.cz/odhlasit.html?pr=42782" TargetMode="External"/><Relationship Id="rId121" Type="http://schemas.openxmlformats.org/officeDocument/2006/relationships/hyperlink" Target="http://czechpetanque.cz/odhlasit.html?pr=43234" TargetMode="External"/><Relationship Id="rId142" Type="http://schemas.openxmlformats.org/officeDocument/2006/relationships/hyperlink" Target="http://czechpetanque.cz/odhlasit.html?pr=43413"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08" t="s">
        <v>53</v>
      </c>
      <c r="C1" s="509"/>
      <c r="D1" s="509"/>
      <c r="E1" s="509"/>
      <c r="F1" s="509"/>
      <c r="G1" s="509"/>
      <c r="H1" s="510"/>
    </row>
    <row r="2" spans="1:8" ht="24">
      <c r="B2" s="511" t="s">
        <v>28</v>
      </c>
      <c r="C2" s="512"/>
      <c r="D2" s="512"/>
      <c r="E2" s="512"/>
      <c r="F2" s="512"/>
      <c r="G2" s="512"/>
      <c r="H2" s="512"/>
    </row>
    <row r="3" spans="1:8" ht="14.25">
      <c r="B3" s="167" t="s">
        <v>448</v>
      </c>
      <c r="C3" s="168"/>
      <c r="D3" s="168"/>
      <c r="E3" s="168"/>
      <c r="F3" s="168"/>
      <c r="G3" s="168"/>
      <c r="H3" s="168"/>
    </row>
    <row r="4" spans="1:8" ht="22.5">
      <c r="B4" s="351" t="s">
        <v>1176</v>
      </c>
      <c r="C4" s="352"/>
      <c r="D4" s="352"/>
      <c r="E4" s="352"/>
      <c r="F4" s="352"/>
      <c r="G4" s="352"/>
      <c r="H4" s="352"/>
    </row>
    <row r="5" spans="1:8" ht="14.25">
      <c r="B5" s="351" t="s">
        <v>20</v>
      </c>
      <c r="C5" s="352"/>
      <c r="D5" s="352"/>
      <c r="E5" s="352"/>
      <c r="F5" s="352"/>
      <c r="G5" s="352"/>
      <c r="H5" s="352"/>
    </row>
    <row r="6" spans="1:8" ht="14.25">
      <c r="B6" s="351" t="s">
        <v>1110</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4.25">
      <c r="B21" s="166" t="s">
        <v>246</v>
      </c>
      <c r="C21" s="6" t="s">
        <v>247</v>
      </c>
    </row>
    <row r="22" spans="1:10" ht="14.25">
      <c r="B22" s="167" t="s">
        <v>249</v>
      </c>
      <c r="C22" s="168"/>
      <c r="D22" s="169"/>
      <c r="E22" s="168"/>
      <c r="F22" s="168"/>
      <c r="G22" s="168"/>
      <c r="H22" s="168"/>
      <c r="I22" s="168"/>
      <c r="J22" s="168"/>
    </row>
    <row r="24" spans="1:10" ht="14.25">
      <c r="A24" s="353" t="s">
        <v>373</v>
      </c>
      <c r="B24" s="354"/>
      <c r="C24" s="354"/>
      <c r="D24" s="354"/>
      <c r="E24" s="354"/>
      <c r="F24" s="354"/>
      <c r="G24" s="354"/>
      <c r="H24" s="354"/>
    </row>
    <row r="25" spans="1:10" ht="14.25">
      <c r="A25" t="s">
        <v>251</v>
      </c>
      <c r="B25" t="s">
        <v>374</v>
      </c>
    </row>
    <row r="26" spans="1:10">
      <c r="A26" t="s">
        <v>252</v>
      </c>
      <c r="B26" t="s">
        <v>375</v>
      </c>
    </row>
    <row r="27" spans="1:10">
      <c r="A27" t="s">
        <v>253</v>
      </c>
      <c r="B27" t="s">
        <v>335</v>
      </c>
    </row>
    <row r="28" spans="1:10">
      <c r="B28" t="s">
        <v>376</v>
      </c>
    </row>
    <row r="29" spans="1:10" ht="14.25">
      <c r="A29" s="355" t="s">
        <v>377</v>
      </c>
    </row>
    <row r="30" spans="1:10" ht="14.25">
      <c r="A30" s="355"/>
      <c r="B30" t="s">
        <v>378</v>
      </c>
    </row>
    <row r="31" spans="1:10">
      <c r="B31" t="s">
        <v>1041</v>
      </c>
    </row>
    <row r="32" spans="1:10" ht="14.25">
      <c r="B32" s="356" t="s">
        <v>379</v>
      </c>
    </row>
    <row r="34" spans="1:12" ht="14.25">
      <c r="A34" s="353" t="s">
        <v>380</v>
      </c>
      <c r="B34" s="354"/>
      <c r="C34" s="354"/>
      <c r="D34" s="354"/>
      <c r="E34" s="354"/>
      <c r="F34" s="354"/>
      <c r="G34" s="354"/>
      <c r="H34" s="354"/>
    </row>
    <row r="36" spans="1:12" ht="14.25">
      <c r="A36" t="s">
        <v>420</v>
      </c>
    </row>
    <row r="37" spans="1:12">
      <c r="A37" s="163" t="s">
        <v>248</v>
      </c>
      <c r="B37" s="171" t="s">
        <v>421</v>
      </c>
      <c r="C37" s="171"/>
      <c r="D37" s="171"/>
      <c r="E37" s="171"/>
      <c r="F37" s="171"/>
      <c r="G37" s="171"/>
      <c r="H37" s="171"/>
      <c r="I37" s="171"/>
      <c r="J37" s="171"/>
      <c r="K37" s="171"/>
      <c r="L37" s="171"/>
    </row>
    <row r="38" spans="1:12" ht="14.25">
      <c r="A38" s="163"/>
      <c r="B38" s="171" t="s">
        <v>422</v>
      </c>
      <c r="C38" s="171"/>
      <c r="D38" s="171"/>
      <c r="E38" s="171"/>
      <c r="F38" s="171"/>
      <c r="G38" s="171"/>
      <c r="H38" s="171"/>
      <c r="I38" s="171"/>
      <c r="J38" s="171"/>
      <c r="K38" s="171"/>
      <c r="L38" s="171"/>
    </row>
    <row r="39" spans="1:12" ht="14.25">
      <c r="A39" s="163"/>
      <c r="B39" s="171" t="s">
        <v>423</v>
      </c>
      <c r="C39" s="171"/>
      <c r="D39" s="171"/>
      <c r="E39" s="171"/>
      <c r="F39" s="171"/>
      <c r="G39" s="171"/>
      <c r="H39" s="171"/>
      <c r="I39" s="171"/>
      <c r="J39" s="171"/>
      <c r="K39" s="171"/>
      <c r="L39" s="171"/>
    </row>
    <row r="40" spans="1:12" ht="14.25">
      <c r="A40" s="163"/>
      <c r="B40" s="171" t="s">
        <v>424</v>
      </c>
      <c r="C40" s="171"/>
      <c r="D40" s="171"/>
      <c r="E40" s="171"/>
      <c r="F40" s="171"/>
      <c r="G40" s="171"/>
      <c r="H40" s="171"/>
      <c r="I40" s="171"/>
      <c r="J40" s="171"/>
      <c r="K40" s="171"/>
      <c r="L40" s="171"/>
    </row>
    <row r="41" spans="1:12" ht="14.25">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4.25">
      <c r="A43" s="163"/>
      <c r="B43" s="371" t="s">
        <v>434</v>
      </c>
      <c r="C43" s="171"/>
      <c r="D43" s="171"/>
      <c r="E43" s="171"/>
      <c r="F43" s="171"/>
      <c r="G43" s="171"/>
      <c r="H43" s="171"/>
      <c r="I43" s="171"/>
      <c r="J43" s="171"/>
      <c r="K43" s="171"/>
      <c r="L43" s="171"/>
    </row>
    <row r="44" spans="1:12" ht="14.25">
      <c r="A44" s="163"/>
      <c r="B44" s="391" t="s">
        <v>454</v>
      </c>
      <c r="C44" s="171"/>
      <c r="D44" s="171"/>
      <c r="E44" s="171"/>
      <c r="F44" s="171"/>
      <c r="G44" s="171"/>
      <c r="H44" s="171"/>
      <c r="I44" s="171"/>
      <c r="J44" s="171"/>
      <c r="K44" s="171"/>
      <c r="L44" s="171"/>
    </row>
    <row r="46" spans="1:12" ht="14.25">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4.25">
      <c r="A61" t="s">
        <v>387</v>
      </c>
      <c r="B61" s="171"/>
      <c r="C61" s="171"/>
      <c r="D61" s="171"/>
      <c r="E61" s="171"/>
      <c r="F61" s="171"/>
      <c r="G61" s="171"/>
      <c r="H61" s="171"/>
      <c r="I61" s="171"/>
      <c r="J61" s="171"/>
      <c r="K61" s="171"/>
      <c r="L61" s="171"/>
    </row>
    <row r="62" spans="1:12">
      <c r="A62" s="163" t="s">
        <v>248</v>
      </c>
      <c r="B62" t="s">
        <v>29</v>
      </c>
    </row>
    <row r="63" spans="1:12" ht="14.25">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4.25">
      <c r="A65" s="163" t="s">
        <v>248</v>
      </c>
      <c r="B65" t="s">
        <v>390</v>
      </c>
    </row>
    <row r="66" spans="1:7">
      <c r="A66" s="163"/>
      <c r="B66" t="s">
        <v>391</v>
      </c>
    </row>
    <row r="67" spans="1:7" ht="14.25">
      <c r="A67" s="163" t="s">
        <v>248</v>
      </c>
      <c r="B67" t="s">
        <v>392</v>
      </c>
    </row>
    <row r="68" spans="1:7">
      <c r="A68" s="163" t="s">
        <v>248</v>
      </c>
      <c r="B68" t="s">
        <v>25</v>
      </c>
    </row>
    <row r="69" spans="1:7">
      <c r="A69" t="s">
        <v>26</v>
      </c>
    </row>
    <row r="70" spans="1:7" ht="13.15" customHeight="1">
      <c r="A70" s="163" t="s">
        <v>248</v>
      </c>
      <c r="B70" t="s">
        <v>30</v>
      </c>
    </row>
    <row r="71" spans="1:7">
      <c r="A71" s="163" t="s">
        <v>248</v>
      </c>
      <c r="B71" t="s">
        <v>393</v>
      </c>
    </row>
    <row r="72" spans="1:7" ht="13.15" customHeight="1">
      <c r="A72" s="163" t="s">
        <v>248</v>
      </c>
      <c r="B72" s="164" t="s">
        <v>394</v>
      </c>
    </row>
    <row r="73" spans="1:7" ht="13.15" customHeight="1">
      <c r="A73" s="163"/>
      <c r="B73" s="164" t="s">
        <v>395</v>
      </c>
    </row>
    <row r="74" spans="1:7" ht="13.15" customHeight="1">
      <c r="A74" s="163" t="s">
        <v>248</v>
      </c>
      <c r="B74" t="s">
        <v>419</v>
      </c>
    </row>
    <row r="75" spans="1:7" ht="13.15" customHeight="1">
      <c r="A75" s="163"/>
      <c r="B75" t="s">
        <v>396</v>
      </c>
    </row>
    <row r="76" spans="1:7" ht="13.15" customHeight="1">
      <c r="A76" t="s">
        <v>397</v>
      </c>
      <c r="B76" s="164"/>
    </row>
    <row r="77" spans="1:7" ht="13.15" customHeight="1">
      <c r="A77" s="163" t="s">
        <v>248</v>
      </c>
      <c r="B77" s="164" t="s">
        <v>398</v>
      </c>
    </row>
    <row r="78" spans="1:7" ht="13.15" customHeight="1">
      <c r="A78" t="s">
        <v>260</v>
      </c>
    </row>
    <row r="79" spans="1:7" ht="13.15" customHeight="1">
      <c r="A79" t="s">
        <v>261</v>
      </c>
    </row>
    <row r="80" spans="1:7" ht="14.25">
      <c r="A80" t="s">
        <v>399</v>
      </c>
      <c r="G80" s="5"/>
    </row>
    <row r="81" spans="1:12" ht="13.15" customHeight="1">
      <c r="A81" s="163" t="s">
        <v>248</v>
      </c>
      <c r="B81" s="357" t="s">
        <v>400</v>
      </c>
      <c r="C81" s="168"/>
      <c r="D81" s="168"/>
      <c r="E81" s="168"/>
      <c r="F81" s="168"/>
      <c r="G81" s="168"/>
      <c r="H81" s="177"/>
      <c r="I81" s="177"/>
      <c r="J81" s="177"/>
      <c r="K81" s="168"/>
      <c r="L81" s="168"/>
    </row>
    <row r="82" spans="1:12" ht="13.15" customHeight="1">
      <c r="A82" s="163"/>
      <c r="B82" s="170" t="s">
        <v>401</v>
      </c>
      <c r="C82" s="168"/>
      <c r="D82" s="168"/>
      <c r="E82" s="168"/>
      <c r="F82" s="168"/>
      <c r="G82" s="168"/>
      <c r="H82" s="177"/>
      <c r="I82" s="177"/>
      <c r="J82" s="177"/>
      <c r="K82" s="168"/>
      <c r="L82" s="168"/>
    </row>
    <row r="83" spans="1:12" ht="13.15" customHeight="1">
      <c r="A83" s="163"/>
      <c r="B83" s="357" t="s">
        <v>402</v>
      </c>
      <c r="C83" s="168"/>
      <c r="D83" s="168"/>
      <c r="E83" s="168"/>
      <c r="F83" s="168"/>
      <c r="G83" s="168"/>
      <c r="H83" s="177"/>
      <c r="I83" s="177"/>
      <c r="J83" s="177"/>
      <c r="K83" s="168"/>
      <c r="L83" s="168"/>
    </row>
    <row r="84" spans="1:12" ht="13.15" customHeight="1">
      <c r="A84" s="163"/>
      <c r="B84" s="357" t="s">
        <v>403</v>
      </c>
      <c r="C84" s="168"/>
      <c r="D84" s="168"/>
      <c r="E84" s="168"/>
      <c r="F84" s="168"/>
      <c r="G84" s="168"/>
      <c r="H84" s="177"/>
      <c r="I84" s="177"/>
      <c r="J84" s="177"/>
      <c r="K84" s="168"/>
      <c r="L84" s="168"/>
    </row>
    <row r="85" spans="1:12">
      <c r="A85" s="358" t="s">
        <v>404</v>
      </c>
    </row>
    <row r="87" spans="1:12" ht="14.25">
      <c r="A87" s="356" t="s">
        <v>405</v>
      </c>
      <c r="B87" s="356"/>
    </row>
    <row r="89" spans="1:12" ht="14.25">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15"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 ca="1">IF(TRIM(C4)="-",0,1) + IF(TRIM(C5)="-",0,1) + IF(TRIM(C8)="-",0,1) + IF(TRIM(C9)="-",0,1)</f>
        <v>0</v>
      </c>
      <c r="M1" s="251"/>
      <c r="N1" s="251"/>
      <c r="O1" s="251"/>
      <c r="P1" s="31"/>
      <c r="Q1" s="31"/>
      <c r="R1" s="31"/>
      <c r="S1" s="19"/>
      <c r="T1" s="17"/>
      <c r="U1" s="16"/>
      <c r="V1" s="17"/>
      <c r="W1" s="17"/>
      <c r="X1" s="17"/>
      <c r="Y1" s="16"/>
      <c r="Z1" s="17"/>
    </row>
    <row r="2" spans="1:29" ht="58.9" customHeight="1">
      <c r="A2" s="253"/>
      <c r="B2" s="254" t="s">
        <v>294</v>
      </c>
      <c r="C2" s="255"/>
      <c r="D2" s="256"/>
      <c r="E2" s="257"/>
      <c r="F2" s="257"/>
      <c r="G2" s="378" t="s">
        <v>439</v>
      </c>
      <c r="H2" s="379">
        <f ca="1">INDIRECT(ADDRESS(4,B1,1,1,"Hřiště"))</f>
        <v>1</v>
      </c>
      <c r="I2" s="380" t="s">
        <v>117</v>
      </c>
      <c r="J2" s="379">
        <f ca="1">INDIRECT(ADDRESS(5,B1,1,1,"Hřiště"))</f>
        <v>1</v>
      </c>
      <c r="K2" s="374" t="s">
        <v>437</v>
      </c>
      <c r="L2" s="257">
        <f ca="1">IF(L1=0,0,CHOOSE(L1,0,1,1,2,2,3))</f>
        <v>0</v>
      </c>
      <c r="M2" s="257"/>
      <c r="N2" s="257"/>
      <c r="O2" s="258"/>
      <c r="P2" s="257">
        <f ca="1">INDIRECT(ADDRESS(4,B1,1,1,"Hřiště"))</f>
        <v>1</v>
      </c>
      <c r="Q2" s="251"/>
      <c r="R2" s="251"/>
      <c r="S2" s="259"/>
      <c r="T2" s="17"/>
      <c r="U2" s="16"/>
      <c r="V2" s="17"/>
      <c r="W2" s="17"/>
      <c r="X2" s="17"/>
      <c r="Y2" s="16"/>
      <c r="Z2" s="17"/>
    </row>
    <row r="3" spans="1:29" ht="16.899999999999999"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 ca="1">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 ca="1">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 ca="1">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438</v>
      </c>
      <c r="D7" s="375">
        <f ca="1">$J$2</f>
        <v>1</v>
      </c>
      <c r="E7" s="273"/>
      <c r="F7" s="111"/>
      <c r="G7" s="106" t="str">
        <f ca="1">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 ca="1">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 ca="1">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438</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 ca="1">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 ca="1">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H7" sqref="H7"/>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B</v>
      </c>
      <c r="B1" s="372">
        <f>IF(TYPE(VLOOKUP(D1,Hřiště!A11:B42,2,0))&gt;3,1,VLOOKUP(D1,Hřiště!A11:B42,2,0))</f>
        <v>2</v>
      </c>
      <c r="C1" s="178" t="s">
        <v>113</v>
      </c>
      <c r="D1" s="179" t="s">
        <v>84</v>
      </c>
      <c r="E1" s="250"/>
      <c r="F1" s="251"/>
      <c r="G1" s="252" t="s">
        <v>440</v>
      </c>
      <c r="H1" s="251"/>
      <c r="I1" s="251"/>
      <c r="J1" s="251"/>
      <c r="K1" s="374" t="s">
        <v>441</v>
      </c>
      <c r="L1" s="251">
        <f ca="1">IF(TRIM(C4)="-",0,1) + IF(TRIM(C5)="-",0,1) + IF(TRIM(C8)="-",0,1) + IF(TRIM(C9)="-",0,1)</f>
        <v>3</v>
      </c>
      <c r="M1" s="251"/>
      <c r="N1" s="251"/>
      <c r="O1" s="251"/>
      <c r="P1" s="31"/>
      <c r="Q1" s="31"/>
      <c r="R1" s="31"/>
      <c r="S1" s="19"/>
      <c r="T1" s="17"/>
      <c r="U1" s="16"/>
      <c r="V1" s="17"/>
      <c r="W1" s="17"/>
      <c r="X1" s="17"/>
      <c r="Y1" s="16"/>
      <c r="Z1" s="17"/>
    </row>
    <row r="2" spans="1:29" ht="58.9" customHeight="1">
      <c r="A2" s="253"/>
      <c r="B2" s="254"/>
      <c r="C2" s="255"/>
      <c r="D2" s="256"/>
      <c r="E2" s="257"/>
      <c r="F2" s="257"/>
      <c r="G2" s="378" t="s">
        <v>439</v>
      </c>
      <c r="H2" s="379">
        <f ca="1">INDIRECT(ADDRESS(4,B1,1,1,"Hřiště"))</f>
        <v>2</v>
      </c>
      <c r="I2" s="380" t="s">
        <v>117</v>
      </c>
      <c r="J2" s="379">
        <f ca="1">INDIRECT(ADDRESS(5,B1,1,1,"Hřiště"))</f>
        <v>2</v>
      </c>
      <c r="K2" s="374" t="s">
        <v>442</v>
      </c>
      <c r="L2" s="257">
        <f ca="1">IF(L1=0,0,CHOOSE(L1,0,1,1,2,2,3))</f>
        <v>1</v>
      </c>
      <c r="M2" s="257"/>
      <c r="N2" s="257"/>
      <c r="O2" s="258"/>
      <c r="P2" s="257"/>
      <c r="Q2" s="251"/>
      <c r="R2" s="251"/>
      <c r="S2" s="259"/>
      <c r="T2" s="17"/>
      <c r="U2" s="16"/>
      <c r="V2" s="17"/>
      <c r="W2" s="17"/>
      <c r="X2" s="17"/>
      <c r="Y2" s="16"/>
      <c r="Z2" s="17"/>
    </row>
    <row r="3" spans="1:29" ht="16.899999999999999" customHeight="1" thickBot="1">
      <c r="A3" s="257"/>
      <c r="B3" s="254" t="s">
        <v>294</v>
      </c>
      <c r="C3" s="373" t="s">
        <v>19</v>
      </c>
      <c r="D3" s="375">
        <f ca="1">$H$2</f>
        <v>2</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 ca="1">IF(TYPE(VLOOKUP(CONCATENATE($D$1,B4),Skupiny!$A$3:$B$258,2,0))&gt;4," - ",VLOOKUP(CONCATENATE($D$1,B4),Skupiny!$A$3:$B$258,2,0))</f>
        <v>2 PC Sokol Lipník - Vavrovič Petr ml.</v>
      </c>
      <c r="D4" s="499"/>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 ca="1">IF(TYPE(VLOOKUP(CONCATENATE($D$1,B5),Skupiny!$A$3:$B$258,2,0))&gt;4," - ",VLOOKUP(CONCATENATE($D$1,B5),Skupiny!$A$3:$B$258,2,0))</f>
        <v xml:space="preserve"> - </v>
      </c>
      <c r="D5" s="500"/>
      <c r="E5" s="21"/>
      <c r="F5" s="266"/>
      <c r="G5" s="373" t="s">
        <v>19</v>
      </c>
      <c r="H5" s="375">
        <f ca="1">$H$2</f>
        <v>2</v>
      </c>
      <c r="I5" s="267"/>
      <c r="J5" s="267"/>
      <c r="K5" s="268"/>
      <c r="L5" s="366"/>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 ca="1">IF(OR(TRIM(C4)="-",TRIM(C5)="-"), IF(TRIM(C4)="-",C5,C4),IF(AND(D4="",D5="")," ",IF(N(D4)&gt;N(D5),C4,C5)))</f>
        <v>2 PC Sokol Lipník - Vavrovič Petr ml.</v>
      </c>
      <c r="H6" s="499"/>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19</v>
      </c>
      <c r="D7" s="375">
        <f ca="1">$J$2</f>
        <v>2</v>
      </c>
      <c r="E7" s="273"/>
      <c r="F7" s="111"/>
      <c r="G7" s="106" t="str">
        <f ca="1">IF(OR(TRIM(C8)="-",TRIM(C9)="-"), IF(TRIM(C8)="-",C9,C8),IF(AND(D8="",D9="")," ",IF(N(D8)&gt;N(D9),C8,C9)))</f>
        <v xml:space="preserve"> </v>
      </c>
      <c r="H7" s="500"/>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 ca="1">IF(TYPE(VLOOKUP(CONCATENATE($D$1,B8),Skupiny!$A$3:$B$258,2,0))&gt;4," - ",VLOOKUP(CONCATENATE($D$1,B8),Skupiny!$A$3:$B$258,2,0))</f>
        <v>85 Petank Club Praha - Froněk Jiří ml.</v>
      </c>
      <c r="D8" s="499"/>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 ca="1">IF(TYPE(VLOOKUP(CONCATENATE($D$1,B9),Skupiny!$A$3:$B$258,2,0))&gt;4," - ",VLOOKUP(CONCATENATE($D$1,B9),Skupiny!$A$3:$B$258,2,0))</f>
        <v>88 C.T.P. Club Ořech - Glaser Vladimír</v>
      </c>
      <c r="D9" s="500"/>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19</v>
      </c>
      <c r="H11" s="375">
        <f ca="1">$J$2</f>
        <v>2</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 ca="1">IF(OR(TRIM(C4)="-",TRIM(C5)="-"), IF(TRIM(C4)="-",C4,C5),IF(AND(D4="",D5="")," ",IF(N(D5)&gt;N(D4),C4,C5)))</f>
        <v xml:space="preserve"> - </v>
      </c>
      <c r="H12" s="499"/>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 ca="1">IF(OR(TRIM(C8)="-",TRIM(C9)="-"), IF(TRIM(C8)="-",C8,C9),IF(AND(D8="",D9="")," ",IF(N(D9)&gt;N(D8),C8,C9)))</f>
        <v xml:space="preserve"> </v>
      </c>
      <c r="H13" s="500"/>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19</v>
      </c>
      <c r="H17" s="375">
        <f ca="1">$H$2</f>
        <v>2</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499">
        <v>8</v>
      </c>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500">
        <v>13</v>
      </c>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sheetPr codeName="List10">
    <tabColor theme="3" tint="-0.249977111117893"/>
  </sheetPr>
  <dimension ref="A1:K390"/>
  <sheetViews>
    <sheetView view="pageBreakPreview" zoomScaleNormal="75" zoomScaleSheetLayoutView="100" workbookViewId="0">
      <pane xSplit="4" ySplit="6" topLeftCell="E79" activePane="bottomRight" state="frozen"/>
      <selection pane="topRight" activeCell="E1" sqref="E1"/>
      <selection pane="bottomLeft" activeCell="A7" sqref="A7"/>
      <selection pane="bottomRight" activeCell="H87" sqref="H8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0" t="str">
        <f>Start.listina!$K$4</f>
        <v>MČR 1x1</v>
      </c>
      <c r="C1" s="118"/>
      <c r="D1" s="60"/>
      <c r="E1" s="119" t="str">
        <f>Start.listina!$K$3</f>
        <v>12.09.2020</v>
      </c>
      <c r="F1" s="50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8"/>
      <c r="B6" s="389" t="s">
        <v>43</v>
      </c>
      <c r="C6" s="389" t="s">
        <v>44</v>
      </c>
      <c r="D6" s="389" t="s">
        <v>43</v>
      </c>
      <c r="E6" s="513" t="s">
        <v>45</v>
      </c>
      <c r="F6" s="513"/>
      <c r="G6" s="389"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 xml:space="preserve"> - </v>
      </c>
      <c r="E8" s="160"/>
      <c r="F8" s="160"/>
      <c r="G8" s="376">
        <f ca="1">INDIRECT(ADDRESS(4,A7,1,1,"Hřiště"))</f>
        <v>1</v>
      </c>
      <c r="H8" s="16"/>
      <c r="I8">
        <v>1</v>
      </c>
      <c r="J8">
        <f>ROW()</f>
        <v>8</v>
      </c>
      <c r="K8" s="79">
        <f t="shared" ref="K8:K54" ca="1" si="0">IF(TRIM(D8)="-",1,IF(AND(E8="",F8=""),0,IF(N(E8)&gt;N(F8),1,2)))</f>
        <v>1</v>
      </c>
    </row>
    <row r="9" spans="1:11" ht="19.5">
      <c r="A9" s="55" t="s">
        <v>115</v>
      </c>
      <c r="B9" s="43" t="str">
        <f ca="1">Sk.A!$B$9</f>
        <v>86 PC Sokol PP Hr. Králové - Melgr Jan</v>
      </c>
      <c r="C9" s="44" t="s">
        <v>117</v>
      </c>
      <c r="D9" s="43" t="str">
        <f ca="1">Sk.A!$E$9</f>
        <v>87 JAPKO - Stejskal Václav</v>
      </c>
      <c r="E9" s="161">
        <v>13</v>
      </c>
      <c r="F9" s="161">
        <v>1</v>
      </c>
      <c r="G9" s="364">
        <f ca="1">INDIRECT(ADDRESS(5,A7,1,1,"Hřiště"))</f>
        <v>1</v>
      </c>
      <c r="H9" s="16"/>
      <c r="K9" s="79">
        <f t="shared" ca="1" si="0"/>
        <v>1</v>
      </c>
    </row>
    <row r="10" spans="1:11" ht="19.5">
      <c r="A10" s="55" t="s">
        <v>46</v>
      </c>
      <c r="B10" s="43" t="str">
        <f ca="1">Sk.A!$B$10</f>
        <v>1 Carreau Brno - Michálek Ivo</v>
      </c>
      <c r="C10" s="44" t="s">
        <v>117</v>
      </c>
      <c r="D10" s="43" t="str">
        <f ca="1">Sk.A!$E$10</f>
        <v>86 PC Sokol PP Hr. Králové - Melgr Jan</v>
      </c>
      <c r="E10" s="161">
        <v>13</v>
      </c>
      <c r="F10" s="161">
        <v>6</v>
      </c>
      <c r="G10" s="364">
        <f ca="1">INDIRECT(ADDRESS(4,A7,1,1,"Hřiště"))</f>
        <v>1</v>
      </c>
      <c r="H10" s="16"/>
      <c r="K10" s="79">
        <f ca="1">IF(TRIM(D10)="-",1,IF(AND(E10="",F10=""),0,IF(N(E10)&gt;N(F10),1,2)))</f>
        <v>1</v>
      </c>
    </row>
    <row r="11" spans="1:11" ht="19.5">
      <c r="A11" s="55" t="s">
        <v>47</v>
      </c>
      <c r="B11" s="43" t="str">
        <f ca="1">Sk.A!$B$11</f>
        <v xml:space="preserve"> - </v>
      </c>
      <c r="C11" s="44" t="s">
        <v>117</v>
      </c>
      <c r="D11" s="43" t="str">
        <f ca="1">Sk.A!$E$11</f>
        <v>87 JAPKO - Stejskal Václav</v>
      </c>
      <c r="E11" s="161"/>
      <c r="F11" s="161">
        <v>13</v>
      </c>
      <c r="G11" s="364">
        <f ca="1">INDIRECT(ADDRESS(5,A7,1,1,"Hřiště"))</f>
        <v>1</v>
      </c>
      <c r="H11" s="16"/>
      <c r="K11" s="79">
        <f t="shared" ca="1" si="0"/>
        <v>2</v>
      </c>
    </row>
    <row r="12" spans="1:11" ht="20.25" thickBot="1">
      <c r="A12" s="56" t="s">
        <v>48</v>
      </c>
      <c r="B12" s="45" t="str">
        <f ca="1">Sk.A!$B$12</f>
        <v>86 PC Sokol PP Hr. Králové - Melgr Jan</v>
      </c>
      <c r="C12" s="44" t="s">
        <v>117</v>
      </c>
      <c r="D12" s="45" t="str">
        <f ca="1">Sk.A!$E$12</f>
        <v>87 JAPKO - Stejskal Václav</v>
      </c>
      <c r="E12" s="162">
        <v>12</v>
      </c>
      <c r="F12" s="162">
        <v>13</v>
      </c>
      <c r="G12" s="365">
        <f ca="1">INDIRECT(ADDRESS(4,A7,1,1,"Hřiště"))</f>
        <v>1</v>
      </c>
      <c r="H12" s="16"/>
      <c r="K12" s="79">
        <f t="shared" ca="1" si="0"/>
        <v>2</v>
      </c>
    </row>
    <row r="13" spans="1:11" ht="30" customHeight="1" thickBot="1">
      <c r="A13" s="52">
        <v>2</v>
      </c>
      <c r="B13" s="52"/>
      <c r="C13" s="57" t="s">
        <v>36</v>
      </c>
      <c r="D13" s="52"/>
      <c r="E13" s="248"/>
      <c r="F13" s="248"/>
      <c r="G13" s="53"/>
      <c r="H13" s="17"/>
    </row>
    <row r="14" spans="1:11" ht="19.5">
      <c r="A14" s="54" t="s">
        <v>114</v>
      </c>
      <c r="B14" s="41" t="str">
        <f ca="1">Sk.B!$B$8</f>
        <v>2 PC Sokol Lipník - Vavrovič Petr ml.</v>
      </c>
      <c r="C14" s="42" t="s">
        <v>117</v>
      </c>
      <c r="D14" s="41" t="str">
        <f ca="1">Sk.B!$E$8</f>
        <v xml:space="preserve"> - </v>
      </c>
      <c r="E14" s="160"/>
      <c r="F14" s="160"/>
      <c r="G14" s="376">
        <f ca="1">INDIRECT(ADDRESS(4,A13,1,1,"Hřiště"))</f>
        <v>2</v>
      </c>
      <c r="H14" s="16"/>
      <c r="I14">
        <v>2</v>
      </c>
      <c r="J14">
        <f>ROW()</f>
        <v>14</v>
      </c>
      <c r="K14" s="79">
        <f t="shared" ca="1" si="0"/>
        <v>1</v>
      </c>
    </row>
    <row r="15" spans="1:11" ht="19.5">
      <c r="A15" s="55" t="s">
        <v>115</v>
      </c>
      <c r="B15" s="43" t="str">
        <f ca="1">Sk.B!$B$9</f>
        <v>85 Petank Club Praha - Froněk Jiří ml.</v>
      </c>
      <c r="C15" s="44" t="s">
        <v>117</v>
      </c>
      <c r="D15" s="43" t="str">
        <f ca="1">Sk.B!$E$9</f>
        <v>88 C.T.P. Club Ořech - Glaser Vladimír</v>
      </c>
      <c r="E15" s="161">
        <v>12</v>
      </c>
      <c r="F15" s="161">
        <v>13</v>
      </c>
      <c r="G15" s="364">
        <f ca="1">INDIRECT(ADDRESS(5,A13,1,1,"Hřiště"))</f>
        <v>2</v>
      </c>
      <c r="H15" s="16"/>
      <c r="K15" s="79">
        <f t="shared" ca="1" si="0"/>
        <v>2</v>
      </c>
    </row>
    <row r="16" spans="1:11" ht="19.5">
      <c r="A16" s="55" t="s">
        <v>46</v>
      </c>
      <c r="B16" s="43" t="str">
        <f ca="1">Sk.B!$B$10</f>
        <v>2 PC Sokol Lipník - Vavrovič Petr ml.</v>
      </c>
      <c r="C16" s="44" t="s">
        <v>117</v>
      </c>
      <c r="D16" s="43" t="str">
        <f ca="1">Sk.B!$E$10</f>
        <v>88 C.T.P. Club Ořech - Glaser Vladimír</v>
      </c>
      <c r="E16" s="161">
        <v>13</v>
      </c>
      <c r="F16" s="161">
        <v>5</v>
      </c>
      <c r="G16" s="364">
        <f ca="1">INDIRECT(ADDRESS(4,A13,1,1,"Hřiště"))</f>
        <v>2</v>
      </c>
      <c r="H16" s="16"/>
      <c r="K16" s="79">
        <f ca="1">IF(TRIM(D16)="-",1,IF(AND(E16="",F16=""),0,IF(N(E16)&gt;N(F16),1,2)))</f>
        <v>1</v>
      </c>
    </row>
    <row r="17" spans="1:11" ht="19.5">
      <c r="A17" s="55" t="s">
        <v>47</v>
      </c>
      <c r="B17" s="43" t="str">
        <f ca="1">Sk.B!$B$11</f>
        <v xml:space="preserve"> - </v>
      </c>
      <c r="C17" s="44" t="s">
        <v>117</v>
      </c>
      <c r="D17" s="43" t="str">
        <f ca="1">Sk.B!$E$11</f>
        <v>85 Petank Club Praha - Froněk Jiří ml.</v>
      </c>
      <c r="E17" s="161"/>
      <c r="F17" s="161">
        <v>13</v>
      </c>
      <c r="G17" s="364">
        <f ca="1">INDIRECT(ADDRESS(5,A13,1,1,"Hřiště"))</f>
        <v>2</v>
      </c>
      <c r="H17" s="16"/>
      <c r="K17" s="79">
        <f t="shared" ca="1" si="0"/>
        <v>2</v>
      </c>
    </row>
    <row r="18" spans="1:11" ht="20.25" thickBot="1">
      <c r="A18" s="56" t="s">
        <v>48</v>
      </c>
      <c r="B18" s="45" t="str">
        <f ca="1">Sk.B!$B$12</f>
        <v>88 C.T.P. Club Ořech - Glaser Vladimír</v>
      </c>
      <c r="C18" s="44" t="s">
        <v>117</v>
      </c>
      <c r="D18" s="45" t="str">
        <f ca="1">Sk.B!$E$12</f>
        <v>85 Petank Club Praha - Froněk Jiří ml.</v>
      </c>
      <c r="E18" s="162">
        <v>8</v>
      </c>
      <c r="F18" s="162">
        <v>13</v>
      </c>
      <c r="G18" s="365">
        <f ca="1">INDIRECT(ADDRESS(4,A13,1,1,"Hřiště"))</f>
        <v>2</v>
      </c>
      <c r="H18" s="16"/>
      <c r="K18" s="79">
        <f t="shared" ca="1" si="0"/>
        <v>2</v>
      </c>
    </row>
    <row r="19" spans="1:11" ht="30" customHeight="1" thickBot="1">
      <c r="A19" s="52">
        <v>3</v>
      </c>
      <c r="B19" s="52"/>
      <c r="C19" s="57" t="s">
        <v>37</v>
      </c>
      <c r="D19" s="52"/>
      <c r="E19" s="248"/>
      <c r="F19" s="248"/>
      <c r="G19" s="53"/>
      <c r="H19" s="17"/>
    </row>
    <row r="20" spans="1:11" ht="19.5">
      <c r="A20" s="54" t="s">
        <v>114</v>
      </c>
      <c r="B20" s="41" t="str">
        <f ca="1">Sk.C!$B$8</f>
        <v>3 Carreau Brno - Michálek Tomáš</v>
      </c>
      <c r="C20" s="42" t="s">
        <v>117</v>
      </c>
      <c r="D20" s="41" t="str">
        <f ca="1">Sk.C!$E$8</f>
        <v xml:space="preserve"> - </v>
      </c>
      <c r="E20" s="160"/>
      <c r="F20" s="160"/>
      <c r="G20" s="376">
        <f ca="1">INDIRECT(ADDRESS(4,A19,1,1,"Hřiště"))</f>
        <v>3</v>
      </c>
      <c r="H20" s="16"/>
      <c r="I20">
        <v>3</v>
      </c>
      <c r="J20">
        <f>ROW()</f>
        <v>20</v>
      </c>
      <c r="K20" s="79">
        <f t="shared" ca="1" si="0"/>
        <v>1</v>
      </c>
    </row>
    <row r="21" spans="1:11" ht="19.5">
      <c r="A21" s="55" t="s">
        <v>115</v>
      </c>
      <c r="B21" s="43" t="str">
        <f ca="1">Sk.C!$B$9</f>
        <v>84 PC Sokol PP Hr. Králové - Melgr Pavel</v>
      </c>
      <c r="C21" s="44" t="s">
        <v>117</v>
      </c>
      <c r="D21" s="43" t="str">
        <f ca="1">Sk.C!$E$9</f>
        <v>89 SK Sahara Vědomice - Piller Tomáš</v>
      </c>
      <c r="E21" s="161">
        <v>13</v>
      </c>
      <c r="F21" s="161">
        <v>4</v>
      </c>
      <c r="G21" s="364">
        <f ca="1">INDIRECT(ADDRESS(5,A19,1,1,"Hřiště"))</f>
        <v>3</v>
      </c>
      <c r="H21" s="16"/>
      <c r="K21" s="79">
        <f t="shared" ca="1" si="0"/>
        <v>1</v>
      </c>
    </row>
    <row r="22" spans="1:11" ht="19.5">
      <c r="A22" s="55" t="s">
        <v>46</v>
      </c>
      <c r="B22" s="43" t="str">
        <f ca="1">Sk.C!$B$10</f>
        <v>3 Carreau Brno - Michálek Tomáš</v>
      </c>
      <c r="C22" s="44" t="s">
        <v>117</v>
      </c>
      <c r="D22" s="43" t="str">
        <f ca="1">Sk.C!$E$10</f>
        <v>84 PC Sokol PP Hr. Králové - Melgr Pavel</v>
      </c>
      <c r="E22" s="161">
        <v>13</v>
      </c>
      <c r="F22" s="161">
        <v>1</v>
      </c>
      <c r="G22" s="364">
        <f ca="1">INDIRECT(ADDRESS(4,A19,1,1,"Hřiště"))</f>
        <v>3</v>
      </c>
      <c r="H22" s="16"/>
      <c r="K22" s="79">
        <f t="shared" ca="1" si="0"/>
        <v>1</v>
      </c>
    </row>
    <row r="23" spans="1:11" ht="19.5">
      <c r="A23" s="55" t="s">
        <v>47</v>
      </c>
      <c r="B23" s="43" t="str">
        <f ca="1">Sk.C!$B$11</f>
        <v xml:space="preserve"> - </v>
      </c>
      <c r="C23" s="44" t="s">
        <v>117</v>
      </c>
      <c r="D23" s="43" t="str">
        <f ca="1">Sk.C!$E$11</f>
        <v>89 SK Sahara Vědomice - Piller Tomáš</v>
      </c>
      <c r="E23" s="161"/>
      <c r="F23" s="161">
        <v>13</v>
      </c>
      <c r="G23" s="364">
        <f ca="1">INDIRECT(ADDRESS(5,A19,1,1,"Hřiště"))</f>
        <v>3</v>
      </c>
      <c r="H23" s="16"/>
      <c r="K23" s="79">
        <f t="shared" ca="1" si="0"/>
        <v>2</v>
      </c>
    </row>
    <row r="24" spans="1:11" ht="20.25" thickBot="1">
      <c r="A24" s="56" t="s">
        <v>48</v>
      </c>
      <c r="B24" s="45" t="str">
        <f ca="1">Sk.C!$B$12</f>
        <v>84 PC Sokol PP Hr. Králové - Melgr Pavel</v>
      </c>
      <c r="C24" s="44" t="s">
        <v>117</v>
      </c>
      <c r="D24" s="45" t="str">
        <f ca="1">Sk.C!$E$12</f>
        <v>89 SK Sahara Vědomice - Piller Tomáš</v>
      </c>
      <c r="E24" s="162">
        <v>9</v>
      </c>
      <c r="F24" s="162">
        <v>13</v>
      </c>
      <c r="G24" s="365">
        <f ca="1">INDIRECT(ADDRESS(4,A19,1,1,"Hřiště"))</f>
        <v>3</v>
      </c>
      <c r="H24" s="16"/>
      <c r="K24" s="79">
        <f t="shared" ca="1" si="0"/>
        <v>2</v>
      </c>
    </row>
    <row r="25" spans="1:11" ht="30" customHeight="1" thickBot="1">
      <c r="A25" s="52">
        <v>4</v>
      </c>
      <c r="B25" s="52"/>
      <c r="C25" s="57" t="s">
        <v>38</v>
      </c>
      <c r="D25" s="52"/>
      <c r="E25" s="248"/>
      <c r="F25" s="248"/>
      <c r="G25" s="53"/>
      <c r="H25" s="17"/>
    </row>
    <row r="26" spans="1:11" ht="19.5">
      <c r="A26" s="54" t="s">
        <v>114</v>
      </c>
      <c r="B26" s="41" t="str">
        <f ca="1">Sk.D!$B$8</f>
        <v>4 PC Kolová - Kauca Jindřich</v>
      </c>
      <c r="C26" s="42" t="s">
        <v>117</v>
      </c>
      <c r="D26" s="41" t="str">
        <f ca="1">Sk.D!$E$8</f>
        <v xml:space="preserve"> - </v>
      </c>
      <c r="E26" s="160"/>
      <c r="F26" s="160"/>
      <c r="G26" s="376">
        <f ca="1">INDIRECT(ADDRESS(4,A25,1,1,"Hřiště"))</f>
        <v>4</v>
      </c>
      <c r="H26" s="16"/>
      <c r="I26">
        <v>4</v>
      </c>
      <c r="J26">
        <f>ROW()</f>
        <v>26</v>
      </c>
      <c r="K26" s="79">
        <f t="shared" ca="1" si="0"/>
        <v>1</v>
      </c>
    </row>
    <row r="27" spans="1:11" ht="19.5">
      <c r="A27" s="55" t="s">
        <v>115</v>
      </c>
      <c r="B27" s="43" t="str">
        <f ca="1">Sk.D!$B$9</f>
        <v>83 PKT Velký Šanc - Horálek Jiří</v>
      </c>
      <c r="C27" s="44" t="s">
        <v>117</v>
      </c>
      <c r="D27" s="43" t="str">
        <f ca="1">Sk.D!$E$9</f>
        <v>90 PK Osika Plzeň - Mráz Václav</v>
      </c>
      <c r="E27" s="161">
        <v>13</v>
      </c>
      <c r="F27" s="161">
        <v>4</v>
      </c>
      <c r="G27" s="364">
        <f ca="1">INDIRECT(ADDRESS(5,A25,1,1,"Hřiště"))</f>
        <v>4</v>
      </c>
      <c r="H27" s="16"/>
      <c r="K27" s="79">
        <f t="shared" ca="1" si="0"/>
        <v>1</v>
      </c>
    </row>
    <row r="28" spans="1:11" ht="19.5">
      <c r="A28" s="55" t="s">
        <v>46</v>
      </c>
      <c r="B28" s="43" t="str">
        <f ca="1">Sk.D!$B$10</f>
        <v>4 PC Kolová - Kauca Jindřich</v>
      </c>
      <c r="C28" s="44" t="s">
        <v>117</v>
      </c>
      <c r="D28" s="43" t="str">
        <f ca="1">Sk.D!$E$10</f>
        <v>83 PKT Velký Šanc - Horálek Jiří</v>
      </c>
      <c r="E28" s="161">
        <v>13</v>
      </c>
      <c r="F28" s="161">
        <v>7</v>
      </c>
      <c r="G28" s="364">
        <f ca="1">INDIRECT(ADDRESS(4,A25,1,1,"Hřiště"))</f>
        <v>4</v>
      </c>
      <c r="H28" s="16"/>
      <c r="K28" s="79">
        <f t="shared" ca="1" si="0"/>
        <v>1</v>
      </c>
    </row>
    <row r="29" spans="1:11" ht="19.5">
      <c r="A29" s="55" t="s">
        <v>47</v>
      </c>
      <c r="B29" s="43" t="str">
        <f ca="1">Sk.D!$B$11</f>
        <v xml:space="preserve"> - </v>
      </c>
      <c r="C29" s="44" t="s">
        <v>117</v>
      </c>
      <c r="D29" s="43" t="str">
        <f ca="1">Sk.D!$E$11</f>
        <v>90 PK Osika Plzeň - Mráz Václav</v>
      </c>
      <c r="E29" s="161"/>
      <c r="F29" s="161">
        <v>13</v>
      </c>
      <c r="G29" s="364">
        <f ca="1">INDIRECT(ADDRESS(5,A25,1,1,"Hřiště"))</f>
        <v>4</v>
      </c>
      <c r="H29" s="16"/>
      <c r="K29" s="79">
        <f t="shared" ca="1" si="0"/>
        <v>2</v>
      </c>
    </row>
    <row r="30" spans="1:11" ht="20.25" thickBot="1">
      <c r="A30" s="56" t="s">
        <v>48</v>
      </c>
      <c r="B30" s="45" t="str">
        <f ca="1">Sk.D!$B$12</f>
        <v>83 PKT Velký Šanc - Horálek Jiří</v>
      </c>
      <c r="C30" s="44" t="s">
        <v>117</v>
      </c>
      <c r="D30" s="45" t="str">
        <f ca="1">Sk.D!$E$12</f>
        <v>90 PK Osika Plzeň - Mráz Václav</v>
      </c>
      <c r="E30" s="162">
        <v>13</v>
      </c>
      <c r="F30" s="162">
        <v>10</v>
      </c>
      <c r="G30" s="365">
        <f ca="1">INDIRECT(ADDRESS(4,A25,1,1,"Hřiště"))</f>
        <v>4</v>
      </c>
      <c r="H30" s="16"/>
      <c r="K30" s="79">
        <f t="shared" ca="1" si="0"/>
        <v>1</v>
      </c>
    </row>
    <row r="31" spans="1:11" ht="30" customHeight="1" thickBot="1">
      <c r="A31" s="52">
        <v>5</v>
      </c>
      <c r="B31" s="52"/>
      <c r="C31" s="57" t="s">
        <v>39</v>
      </c>
      <c r="D31" s="52"/>
      <c r="E31" s="248"/>
      <c r="F31" s="248"/>
      <c r="G31" s="53"/>
      <c r="H31" s="17"/>
    </row>
    <row r="32" spans="1:11" ht="19.5">
      <c r="A32" s="54" t="s">
        <v>114</v>
      </c>
      <c r="B32" s="41" t="str">
        <f ca="1">Sk.E!$B$8</f>
        <v>5 Carreau Brno - Slobodová Veronika</v>
      </c>
      <c r="C32" s="42" t="s">
        <v>117</v>
      </c>
      <c r="D32" s="41" t="str">
        <f ca="1">Sk.E!$E$8</f>
        <v xml:space="preserve"> - </v>
      </c>
      <c r="E32" s="160"/>
      <c r="F32" s="160"/>
      <c r="G32" s="376">
        <f ca="1">INDIRECT(ADDRESS(4,A31,1,1,"Hřiště"))</f>
        <v>5</v>
      </c>
      <c r="H32" s="16"/>
      <c r="I32">
        <v>5</v>
      </c>
      <c r="J32">
        <f>ROW()</f>
        <v>32</v>
      </c>
      <c r="K32" s="79">
        <f t="shared" ca="1" si="0"/>
        <v>1</v>
      </c>
    </row>
    <row r="33" spans="1:11" ht="19.5">
      <c r="A33" s="55" t="s">
        <v>115</v>
      </c>
      <c r="B33" s="43" t="str">
        <f ca="1">Sk.E!$B$9</f>
        <v>82 Petank Club Praha - Kašparová Barbora</v>
      </c>
      <c r="C33" s="44" t="s">
        <v>117</v>
      </c>
      <c r="D33" s="43" t="str">
        <f ca="1">Sk.E!$E$9</f>
        <v>91 Carreau Brno - Bytešník Roman</v>
      </c>
      <c r="E33" s="161">
        <v>5</v>
      </c>
      <c r="F33" s="161">
        <v>13</v>
      </c>
      <c r="G33" s="364">
        <f ca="1">INDIRECT(ADDRESS(5,A31,1,1,"Hřiště"))</f>
        <v>5</v>
      </c>
      <c r="H33" s="16"/>
      <c r="K33" s="79">
        <f t="shared" ca="1" si="0"/>
        <v>2</v>
      </c>
    </row>
    <row r="34" spans="1:11" ht="19.5">
      <c r="A34" s="55" t="s">
        <v>46</v>
      </c>
      <c r="B34" s="43" t="str">
        <f ca="1">Sk.E!$B$10</f>
        <v>5 Carreau Brno - Slobodová Veronika</v>
      </c>
      <c r="C34" s="44" t="s">
        <v>117</v>
      </c>
      <c r="D34" s="43" t="str">
        <f ca="1">Sk.E!$E$10</f>
        <v>91 Carreau Brno - Bytešník Roman</v>
      </c>
      <c r="E34" s="161">
        <v>13</v>
      </c>
      <c r="F34" s="161">
        <v>2</v>
      </c>
      <c r="G34" s="364">
        <f ca="1">INDIRECT(ADDRESS(4,A31,1,1,"Hřiště"))</f>
        <v>5</v>
      </c>
      <c r="H34" s="16"/>
      <c r="K34" s="79">
        <f t="shared" ca="1" si="0"/>
        <v>1</v>
      </c>
    </row>
    <row r="35" spans="1:11" ht="19.5">
      <c r="A35" s="55" t="s">
        <v>47</v>
      </c>
      <c r="B35" s="43" t="str">
        <f ca="1">Sk.E!$B$11</f>
        <v xml:space="preserve"> - </v>
      </c>
      <c r="C35" s="44" t="s">
        <v>117</v>
      </c>
      <c r="D35" s="43" t="str">
        <f ca="1">Sk.E!$E$11</f>
        <v>82 Petank Club Praha - Kašparová Barbora</v>
      </c>
      <c r="E35" s="161"/>
      <c r="F35" s="161">
        <v>13</v>
      </c>
      <c r="G35" s="364">
        <f ca="1">INDIRECT(ADDRESS(5,A31,1,1,"Hřiště"))</f>
        <v>5</v>
      </c>
      <c r="H35" s="16"/>
      <c r="K35" s="79">
        <f t="shared" ca="1" si="0"/>
        <v>2</v>
      </c>
    </row>
    <row r="36" spans="1:11" ht="20.25" thickBot="1">
      <c r="A36" s="56" t="s">
        <v>48</v>
      </c>
      <c r="B36" s="45" t="str">
        <f ca="1">Sk.E!$B$12</f>
        <v>91 Carreau Brno - Bytešník Roman</v>
      </c>
      <c r="C36" s="44" t="s">
        <v>117</v>
      </c>
      <c r="D36" s="45" t="str">
        <f ca="1">Sk.E!$E$12</f>
        <v>82 Petank Club Praha - Kašparová Barbora</v>
      </c>
      <c r="E36" s="162">
        <v>9</v>
      </c>
      <c r="F36" s="162">
        <v>13</v>
      </c>
      <c r="G36" s="365">
        <f ca="1">INDIRECT(ADDRESS(4,A31,1,1,"Hřiště"))</f>
        <v>5</v>
      </c>
      <c r="H36" s="16"/>
      <c r="K36" s="79">
        <f t="shared" ca="1" si="0"/>
        <v>2</v>
      </c>
    </row>
    <row r="37" spans="1:11" ht="30" customHeight="1" thickBot="1">
      <c r="A37" s="52">
        <v>6</v>
      </c>
      <c r="B37" s="52"/>
      <c r="C37" s="57" t="s">
        <v>40</v>
      </c>
      <c r="D37" s="52"/>
      <c r="E37" s="248"/>
      <c r="F37" s="248"/>
      <c r="G37" s="53"/>
      <c r="H37" s="17"/>
    </row>
    <row r="38" spans="1:11" ht="19.5">
      <c r="A38" s="54" t="s">
        <v>114</v>
      </c>
      <c r="B38" s="41" t="str">
        <f ca="1">Sk.F!$B$8</f>
        <v>6 PC Sokol Lipník - Froňková Kateřina</v>
      </c>
      <c r="C38" s="42" t="s">
        <v>117</v>
      </c>
      <c r="D38" s="41" t="str">
        <f ca="1">Sk.F!$E$8</f>
        <v xml:space="preserve"> - </v>
      </c>
      <c r="E38" s="160"/>
      <c r="F38" s="160"/>
      <c r="G38" s="376">
        <f ca="1">INDIRECT(ADDRESS(4,A37,1,1,"Hřiště"))</f>
        <v>6</v>
      </c>
      <c r="H38" s="16"/>
      <c r="I38">
        <v>6</v>
      </c>
      <c r="J38">
        <f>ROW()</f>
        <v>38</v>
      </c>
      <c r="K38" s="79">
        <f t="shared" ca="1" si="0"/>
        <v>1</v>
      </c>
    </row>
    <row r="39" spans="1:11" ht="19.5">
      <c r="A39" s="55" t="s">
        <v>115</v>
      </c>
      <c r="B39" s="43" t="str">
        <f ca="1">Sk.F!$B$9</f>
        <v>81 PKT Velký Šanc - Semrád Oldřich</v>
      </c>
      <c r="C39" s="44" t="s">
        <v>117</v>
      </c>
      <c r="D39" s="43" t="str">
        <f ca="1">Sk.F!$E$9</f>
        <v>92 PAK Albrechtice - Žiak Radomír</v>
      </c>
      <c r="E39" s="161">
        <v>6</v>
      </c>
      <c r="F39" s="161">
        <v>13</v>
      </c>
      <c r="G39" s="364">
        <f ca="1">INDIRECT(ADDRESS(5,A37,1,1,"Hřiště"))</f>
        <v>6</v>
      </c>
      <c r="H39" s="16"/>
      <c r="K39" s="79">
        <f t="shared" ca="1" si="0"/>
        <v>2</v>
      </c>
    </row>
    <row r="40" spans="1:11" ht="19.5">
      <c r="A40" s="55" t="s">
        <v>46</v>
      </c>
      <c r="B40" s="43" t="str">
        <f ca="1">Sk.F!$B$10</f>
        <v>6 PC Sokol Lipník - Froňková Kateřina</v>
      </c>
      <c r="C40" s="44" t="s">
        <v>117</v>
      </c>
      <c r="D40" s="43" t="str">
        <f ca="1">Sk.F!$E$10</f>
        <v>92 PAK Albrechtice - Žiak Radomír</v>
      </c>
      <c r="E40" s="161">
        <v>13</v>
      </c>
      <c r="F40" s="161">
        <v>4</v>
      </c>
      <c r="G40" s="364">
        <f ca="1">INDIRECT(ADDRESS(4,A37,1,1,"Hřiště"))</f>
        <v>6</v>
      </c>
      <c r="H40" s="16"/>
      <c r="K40" s="79">
        <f t="shared" ca="1" si="0"/>
        <v>1</v>
      </c>
    </row>
    <row r="41" spans="1:11" ht="19.5">
      <c r="A41" s="55" t="s">
        <v>47</v>
      </c>
      <c r="B41" s="43" t="str">
        <f ca="1">Sk.F!$B$11</f>
        <v xml:space="preserve"> - </v>
      </c>
      <c r="C41" s="44" t="s">
        <v>117</v>
      </c>
      <c r="D41" s="43" t="str">
        <f ca="1">Sk.F!$E$11</f>
        <v>81 PKT Velký Šanc - Semrád Oldřich</v>
      </c>
      <c r="E41" s="161"/>
      <c r="F41" s="161">
        <v>13</v>
      </c>
      <c r="G41" s="364">
        <f ca="1">INDIRECT(ADDRESS(5,A37,1,1,"Hřiště"))</f>
        <v>6</v>
      </c>
      <c r="H41" s="16"/>
      <c r="K41" s="79">
        <f t="shared" ca="1" si="0"/>
        <v>2</v>
      </c>
    </row>
    <row r="42" spans="1:11" ht="20.25" thickBot="1">
      <c r="A42" s="56" t="s">
        <v>48</v>
      </c>
      <c r="B42" s="45" t="str">
        <f ca="1">Sk.F!$B$12</f>
        <v>92 PAK Albrechtice - Žiak Radomír</v>
      </c>
      <c r="C42" s="44" t="s">
        <v>117</v>
      </c>
      <c r="D42" s="45" t="str">
        <f ca="1">Sk.F!$E$12</f>
        <v>81 PKT Velký Šanc - Semrád Oldřich</v>
      </c>
      <c r="E42" s="162">
        <v>13</v>
      </c>
      <c r="F42" s="162">
        <v>4</v>
      </c>
      <c r="G42" s="365">
        <f ca="1">INDIRECT(ADDRESS(4,A37,1,1,"Hřiště"))</f>
        <v>6</v>
      </c>
      <c r="H42" s="16"/>
      <c r="K42" s="79">
        <f t="shared" ca="1" si="0"/>
        <v>1</v>
      </c>
    </row>
    <row r="43" spans="1:11" ht="30" customHeight="1" thickBot="1">
      <c r="A43" s="52">
        <v>7</v>
      </c>
      <c r="B43" s="52"/>
      <c r="C43" s="57" t="s">
        <v>41</v>
      </c>
      <c r="D43" s="52"/>
      <c r="E43" s="248"/>
      <c r="F43" s="248"/>
      <c r="G43" s="53"/>
      <c r="H43" s="17"/>
    </row>
    <row r="44" spans="1:11" ht="19.5">
      <c r="A44" s="54" t="s">
        <v>114</v>
      </c>
      <c r="B44" s="41" t="str">
        <f ca="1">Sk.G!$B$8</f>
        <v>7 PLUK Jablonec - Lukáš Vojtěch</v>
      </c>
      <c r="C44" s="42" t="s">
        <v>117</v>
      </c>
      <c r="D44" s="41" t="str">
        <f ca="1">Sk.G!$E$8</f>
        <v xml:space="preserve"> - </v>
      </c>
      <c r="E44" s="160"/>
      <c r="F44" s="160"/>
      <c r="G44" s="376">
        <f ca="1">INDIRECT(ADDRESS(4,A43,1,1,"Hřiště"))</f>
        <v>7</v>
      </c>
      <c r="H44" s="16"/>
      <c r="I44">
        <v>7</v>
      </c>
      <c r="J44">
        <f>ROW()</f>
        <v>44</v>
      </c>
      <c r="K44" s="79">
        <f t="shared" ca="1" si="0"/>
        <v>1</v>
      </c>
    </row>
    <row r="45" spans="1:11" ht="19.5">
      <c r="A45" s="55" t="s">
        <v>115</v>
      </c>
      <c r="B45" s="43" t="str">
        <f ca="1">Sk.G!$B$9</f>
        <v>80 PKT Velký Šanc - Sedláčková Marie</v>
      </c>
      <c r="C45" s="44" t="s">
        <v>117</v>
      </c>
      <c r="D45" s="43" t="str">
        <f ca="1">Sk.G!$E$9</f>
        <v>93 1. KPK Vrchlabí - Bucek Zdeněk</v>
      </c>
      <c r="E45" s="161">
        <v>10</v>
      </c>
      <c r="F45" s="161">
        <v>13</v>
      </c>
      <c r="G45" s="364">
        <f ca="1">INDIRECT(ADDRESS(5,A43,1,1,"Hřiště"))</f>
        <v>7</v>
      </c>
      <c r="H45" s="16"/>
      <c r="K45" s="79">
        <f t="shared" ca="1" si="0"/>
        <v>2</v>
      </c>
    </row>
    <row r="46" spans="1:11" ht="19.5">
      <c r="A46" s="55" t="s">
        <v>46</v>
      </c>
      <c r="B46" s="43" t="str">
        <f ca="1">Sk.G!$B$10</f>
        <v>7 PLUK Jablonec - Lukáš Vojtěch</v>
      </c>
      <c r="C46" s="44" t="s">
        <v>117</v>
      </c>
      <c r="D46" s="43" t="str">
        <f ca="1">Sk.G!$E$10</f>
        <v>93 1. KPK Vrchlabí - Bucek Zdeněk</v>
      </c>
      <c r="E46" s="161">
        <v>13</v>
      </c>
      <c r="F46" s="161">
        <v>2</v>
      </c>
      <c r="G46" s="364">
        <f ca="1">INDIRECT(ADDRESS(4,A43,1,1,"Hřiště"))</f>
        <v>7</v>
      </c>
      <c r="H46" s="16"/>
      <c r="K46" s="79">
        <f t="shared" ca="1" si="0"/>
        <v>1</v>
      </c>
    </row>
    <row r="47" spans="1:11" ht="19.5">
      <c r="A47" s="55" t="s">
        <v>47</v>
      </c>
      <c r="B47" s="43" t="str">
        <f ca="1">Sk.G!$B$11</f>
        <v xml:space="preserve"> - </v>
      </c>
      <c r="C47" s="44" t="s">
        <v>117</v>
      </c>
      <c r="D47" s="43" t="str">
        <f ca="1">Sk.G!$E$11</f>
        <v>80 PKT Velký Šanc - Sedláčková Marie</v>
      </c>
      <c r="E47" s="161"/>
      <c r="F47" s="161">
        <v>13</v>
      </c>
      <c r="G47" s="364">
        <f ca="1">INDIRECT(ADDRESS(5,A43,1,1,"Hřiště"))</f>
        <v>7</v>
      </c>
      <c r="H47" s="16"/>
      <c r="K47" s="79">
        <f t="shared" ca="1" si="0"/>
        <v>2</v>
      </c>
    </row>
    <row r="48" spans="1:11" ht="20.25" thickBot="1">
      <c r="A48" s="56" t="s">
        <v>48</v>
      </c>
      <c r="B48" s="45" t="str">
        <f ca="1">Sk.G!$B$12</f>
        <v>93 1. KPK Vrchlabí - Bucek Zdeněk</v>
      </c>
      <c r="C48" s="44" t="s">
        <v>117</v>
      </c>
      <c r="D48" s="45" t="str">
        <f ca="1">Sk.G!$E$12</f>
        <v>80 PKT Velký Šanc - Sedláčková Marie</v>
      </c>
      <c r="E48" s="162">
        <v>13</v>
      </c>
      <c r="F48" s="162">
        <v>12</v>
      </c>
      <c r="G48" s="365">
        <f ca="1">INDIRECT(ADDRESS(4,A43,1,1,"Hřiště"))</f>
        <v>7</v>
      </c>
      <c r="H48" s="16"/>
      <c r="K48" s="79">
        <f t="shared" ca="1" si="0"/>
        <v>1</v>
      </c>
    </row>
    <row r="49" spans="1:11" ht="30" customHeight="1" thickBot="1">
      <c r="A49" s="52">
        <v>8</v>
      </c>
      <c r="B49" s="52"/>
      <c r="C49" s="57" t="s">
        <v>42</v>
      </c>
      <c r="D49" s="52"/>
      <c r="E49" s="248"/>
      <c r="F49" s="248"/>
      <c r="G49" s="53"/>
      <c r="H49" s="17"/>
    </row>
    <row r="50" spans="1:11" ht="19.5">
      <c r="A50" s="54" t="s">
        <v>114</v>
      </c>
      <c r="B50" s="41" t="str">
        <f ca="1">Sk.H!$B$8</f>
        <v>8 1. KPK Vrchlabí - Bílek Vojtěch</v>
      </c>
      <c r="C50" s="42" t="s">
        <v>117</v>
      </c>
      <c r="D50" s="41" t="str">
        <f ca="1">Sk.H!$E$8</f>
        <v xml:space="preserve"> - </v>
      </c>
      <c r="E50" s="160"/>
      <c r="F50" s="160"/>
      <c r="G50" s="376">
        <f ca="1">INDIRECT(ADDRESS(4,A49,1,1,"Hřiště"))</f>
        <v>8</v>
      </c>
      <c r="H50" s="16"/>
      <c r="I50">
        <v>8</v>
      </c>
      <c r="J50">
        <f>ROW()</f>
        <v>50</v>
      </c>
      <c r="K50" s="79">
        <f t="shared" ca="1" si="0"/>
        <v>1</v>
      </c>
    </row>
    <row r="51" spans="1:11" ht="19.5">
      <c r="A51" s="55" t="s">
        <v>115</v>
      </c>
      <c r="B51" s="43" t="str">
        <f ca="1">Sk.H!$B$9</f>
        <v>79 PO Chotěboř - Pachla Pavel</v>
      </c>
      <c r="C51" s="44" t="s">
        <v>117</v>
      </c>
      <c r="D51" s="43" t="str">
        <f ca="1">Sk.H!$E$9</f>
        <v>94 HRODE KRUMSÍN - Drmola Michal</v>
      </c>
      <c r="E51" s="161">
        <v>13</v>
      </c>
      <c r="F51" s="161">
        <v>12</v>
      </c>
      <c r="G51" s="364">
        <f ca="1">INDIRECT(ADDRESS(5,A49,1,1,"Hřiště"))</f>
        <v>8</v>
      </c>
      <c r="H51" s="16"/>
      <c r="K51" s="79">
        <f t="shared" ca="1" si="0"/>
        <v>1</v>
      </c>
    </row>
    <row r="52" spans="1:11" ht="19.5">
      <c r="A52" s="55" t="s">
        <v>46</v>
      </c>
      <c r="B52" s="43" t="str">
        <f ca="1">Sk.H!$B$10</f>
        <v>8 1. KPK Vrchlabí - Bílek Vojtěch</v>
      </c>
      <c r="C52" s="44" t="s">
        <v>117</v>
      </c>
      <c r="D52" s="43" t="str">
        <f ca="1">Sk.H!$E$10</f>
        <v>79 PO Chotěboř - Pachla Pavel</v>
      </c>
      <c r="E52" s="161">
        <v>13</v>
      </c>
      <c r="F52" s="161">
        <v>2</v>
      </c>
      <c r="G52" s="364">
        <f ca="1">INDIRECT(ADDRESS(4,A49,1,1,"Hřiště"))</f>
        <v>8</v>
      </c>
      <c r="H52" s="16"/>
      <c r="K52" s="79">
        <f t="shared" ca="1" si="0"/>
        <v>1</v>
      </c>
    </row>
    <row r="53" spans="1:11" ht="19.5">
      <c r="A53" s="55" t="s">
        <v>47</v>
      </c>
      <c r="B53" s="43" t="str">
        <f ca="1">Sk.H!$B$11</f>
        <v xml:space="preserve"> - </v>
      </c>
      <c r="C53" s="44" t="s">
        <v>117</v>
      </c>
      <c r="D53" s="43" t="str">
        <f ca="1">Sk.H!$E$11</f>
        <v>94 HRODE KRUMSÍN - Drmola Michal</v>
      </c>
      <c r="E53" s="161"/>
      <c r="F53" s="161">
        <v>13</v>
      </c>
      <c r="G53" s="364">
        <f ca="1">INDIRECT(ADDRESS(5,A49,1,1,"Hřiště"))</f>
        <v>8</v>
      </c>
      <c r="H53" s="16"/>
      <c r="K53" s="79">
        <f t="shared" ca="1" si="0"/>
        <v>2</v>
      </c>
    </row>
    <row r="54" spans="1:11" ht="20.25" thickBot="1">
      <c r="A54" s="56" t="s">
        <v>48</v>
      </c>
      <c r="B54" s="45" t="str">
        <f ca="1">Sk.H!$B$12</f>
        <v>79 PO Chotěboř - Pachla Pavel</v>
      </c>
      <c r="C54" s="44" t="s">
        <v>117</v>
      </c>
      <c r="D54" s="45" t="str">
        <f ca="1">Sk.H!$E$12</f>
        <v>94 HRODE KRUMSÍN - Drmola Michal</v>
      </c>
      <c r="E54" s="162">
        <v>13</v>
      </c>
      <c r="F54" s="162">
        <v>10</v>
      </c>
      <c r="G54" s="365">
        <f ca="1">INDIRECT(ADDRESS(4,A49,1,1,"Hřiště"))</f>
        <v>8</v>
      </c>
      <c r="H54" s="16"/>
      <c r="K54" s="79">
        <f t="shared" ca="1" si="0"/>
        <v>1</v>
      </c>
    </row>
    <row r="55" spans="1:11" ht="23.25" thickBot="1">
      <c r="A55" s="52">
        <v>9</v>
      </c>
      <c r="B55" s="52"/>
      <c r="C55" s="57" t="s">
        <v>264</v>
      </c>
      <c r="D55" s="52"/>
      <c r="E55" s="248"/>
      <c r="F55" s="248"/>
      <c r="G55" s="53"/>
      <c r="H55" s="16"/>
    </row>
    <row r="56" spans="1:11" ht="19.5">
      <c r="A56" s="54" t="s">
        <v>114</v>
      </c>
      <c r="B56" s="41" t="str">
        <f ca="1">Sk.I!$B$8</f>
        <v>9 VARAN - Valenz Lukáš</v>
      </c>
      <c r="C56" s="42" t="s">
        <v>117</v>
      </c>
      <c r="D56" s="41" t="str">
        <f ca="1">Sk.I!$E$8</f>
        <v xml:space="preserve"> - </v>
      </c>
      <c r="E56" s="160"/>
      <c r="F56" s="160"/>
      <c r="G56" s="376">
        <f ca="1">INDIRECT(ADDRESS(4,A55,1,1,"Hřiště"))</f>
        <v>9</v>
      </c>
      <c r="H56" s="16"/>
      <c r="I56">
        <v>9</v>
      </c>
      <c r="J56">
        <f>ROW()</f>
        <v>56</v>
      </c>
      <c r="K56" s="79">
        <f ca="1">IF(TRIM(D56)="-",1,IF(AND(E56="",F56=""),0,IF(N(E56)&gt;N(F56),1,2)))</f>
        <v>1</v>
      </c>
    </row>
    <row r="57" spans="1:11" ht="19.5">
      <c r="A57" s="55" t="s">
        <v>115</v>
      </c>
      <c r="B57" s="43" t="str">
        <f ca="1">Sk.I!$B$9</f>
        <v>78 HRODE KRUMSÍN - Karásková Františka</v>
      </c>
      <c r="C57" s="44" t="s">
        <v>117</v>
      </c>
      <c r="D57" s="43" t="str">
        <f ca="1">Sk.I!$E$9</f>
        <v>95 PPA POZORKA - Michovský Jiří</v>
      </c>
      <c r="E57" s="161">
        <v>11</v>
      </c>
      <c r="F57" s="161">
        <v>13</v>
      </c>
      <c r="G57" s="364">
        <f ca="1">INDIRECT(ADDRESS(5,A55,1,1,"Hřiště"))</f>
        <v>9</v>
      </c>
      <c r="H57" s="16"/>
      <c r="K57" s="79">
        <f ca="1">IF(TRIM(D57)="-",1,IF(AND(E57="",F57=""),0,IF(N(E57)&gt;N(F57),1,2)))</f>
        <v>2</v>
      </c>
    </row>
    <row r="58" spans="1:11" ht="19.5">
      <c r="A58" s="55" t="s">
        <v>46</v>
      </c>
      <c r="B58" s="43" t="str">
        <f ca="1">Sk.I!$B$10</f>
        <v>9 VARAN - Valenz Lukáš</v>
      </c>
      <c r="C58" s="44" t="s">
        <v>117</v>
      </c>
      <c r="D58" s="43" t="str">
        <f ca="1">Sk.I!$E$10</f>
        <v>95 PPA POZORKA - Michovský Jiří</v>
      </c>
      <c r="E58" s="161">
        <v>13</v>
      </c>
      <c r="F58" s="161">
        <v>9</v>
      </c>
      <c r="G58" s="364">
        <f ca="1">INDIRECT(ADDRESS(4,A55,1,1,"Hřiště"))</f>
        <v>9</v>
      </c>
      <c r="H58" s="16"/>
      <c r="K58" s="79">
        <f ca="1">IF(TRIM(D58)="-",1,IF(AND(E58="",F58=""),0,IF(N(E58)&gt;N(F58),1,2)))</f>
        <v>1</v>
      </c>
    </row>
    <row r="59" spans="1:11" ht="19.5">
      <c r="A59" s="55" t="s">
        <v>47</v>
      </c>
      <c r="B59" s="43" t="str">
        <f ca="1">Sk.I!$B$11</f>
        <v xml:space="preserve"> - </v>
      </c>
      <c r="C59" s="44" t="s">
        <v>117</v>
      </c>
      <c r="D59" s="43" t="str">
        <f ca="1">Sk.I!$E$11</f>
        <v>78 HRODE KRUMSÍN - Karásková Františka</v>
      </c>
      <c r="E59" s="161"/>
      <c r="F59" s="161">
        <v>13</v>
      </c>
      <c r="G59" s="364">
        <f ca="1">INDIRECT(ADDRESS(5,A55,1,1,"Hřiště"))</f>
        <v>9</v>
      </c>
      <c r="H59" s="16"/>
      <c r="K59" s="79">
        <f ca="1">IF(TRIM(D59)="-",1,IF(AND(E59="",F59=""),0,IF(N(E59)&gt;N(F59),1,2)))</f>
        <v>2</v>
      </c>
    </row>
    <row r="60" spans="1:11" ht="20.25" thickBot="1">
      <c r="A60" s="56" t="s">
        <v>48</v>
      </c>
      <c r="B60" s="45" t="str">
        <f ca="1">Sk.I!$B$12</f>
        <v>95 PPA POZORKA - Michovský Jiří</v>
      </c>
      <c r="C60" s="44" t="s">
        <v>117</v>
      </c>
      <c r="D60" s="45" t="str">
        <f ca="1">Sk.I!$E$12</f>
        <v>78 HRODE KRUMSÍN - Karásková Františka</v>
      </c>
      <c r="E60" s="162">
        <v>13</v>
      </c>
      <c r="F60" s="162">
        <v>9</v>
      </c>
      <c r="G60" s="365">
        <f ca="1">INDIRECT(ADDRESS(4,A55,1,1,"Hřiště"))</f>
        <v>9</v>
      </c>
      <c r="K60" s="79">
        <f ca="1">IF(TRIM(D60)="-",1,IF(AND(E60="",F60=""),0,IF(N(E60)&gt;N(F60),1,2)))</f>
        <v>1</v>
      </c>
    </row>
    <row r="61" spans="1:11" ht="23.25" thickBot="1">
      <c r="A61" s="52">
        <v>10</v>
      </c>
      <c r="B61" s="52"/>
      <c r="C61" s="57" t="s">
        <v>265</v>
      </c>
      <c r="D61" s="52"/>
      <c r="E61" s="248"/>
      <c r="F61" s="248"/>
      <c r="G61" s="53"/>
      <c r="H61" s="16"/>
    </row>
    <row r="62" spans="1:11" ht="19.5">
      <c r="A62" s="54" t="s">
        <v>114</v>
      </c>
      <c r="B62" s="41" t="str">
        <f ca="1">Sk.J!$B$8</f>
        <v>10 TOP - ORLOVÁ - Bačo David</v>
      </c>
      <c r="C62" s="42" t="s">
        <v>117</v>
      </c>
      <c r="D62" s="41" t="str">
        <f ca="1">Sk.J!$E$8</f>
        <v xml:space="preserve"> - </v>
      </c>
      <c r="E62" s="160"/>
      <c r="F62" s="160"/>
      <c r="G62" s="376">
        <f ca="1">INDIRECT(ADDRESS(4,A61,1,1,"Hřiště"))</f>
        <v>10</v>
      </c>
      <c r="H62" s="16"/>
      <c r="I62">
        <v>10</v>
      </c>
      <c r="J62">
        <f>ROW()</f>
        <v>62</v>
      </c>
      <c r="K62" s="79">
        <f ca="1">IF(TRIM(D62)="-",1,IF(AND(E62="",F62=""),0,IF(N(E62)&gt;N(F62),1,2)))</f>
        <v>1</v>
      </c>
    </row>
    <row r="63" spans="1:11" ht="19.5">
      <c r="A63" s="55" t="s">
        <v>115</v>
      </c>
      <c r="B63" s="43" t="str">
        <f ca="1">Sk.J!$B$9</f>
        <v>77 CdP Loděnice - Gorroňo López Rubi</v>
      </c>
      <c r="C63" s="44" t="s">
        <v>117</v>
      </c>
      <c r="D63" s="43" t="str">
        <f ca="1">Sk.J!$E$9</f>
        <v>96 1. KPK Vrchlabí - Kadavá Petra</v>
      </c>
      <c r="E63" s="161">
        <v>11</v>
      </c>
      <c r="F63" s="161">
        <v>13</v>
      </c>
      <c r="G63" s="364">
        <f ca="1">INDIRECT(ADDRESS(5,A61,1,1,"Hřiště"))</f>
        <v>10</v>
      </c>
      <c r="H63" s="16"/>
      <c r="K63" s="79">
        <f ca="1">IF(TRIM(D63)="-",1,IF(AND(E63="",F63=""),0,IF(N(E63)&gt;N(F63),1,2)))</f>
        <v>2</v>
      </c>
    </row>
    <row r="64" spans="1:11" ht="19.5">
      <c r="A64" s="55" t="s">
        <v>46</v>
      </c>
      <c r="B64" s="43" t="str">
        <f ca="1">Sk.J!$B$10</f>
        <v>10 TOP - ORLOVÁ - Bačo David</v>
      </c>
      <c r="C64" s="44" t="s">
        <v>117</v>
      </c>
      <c r="D64" s="43" t="str">
        <f ca="1">Sk.J!$E$10</f>
        <v>96 1. KPK Vrchlabí - Kadavá Petra</v>
      </c>
      <c r="E64" s="161">
        <v>13</v>
      </c>
      <c r="F64" s="161">
        <v>6</v>
      </c>
      <c r="G64" s="364">
        <f ca="1">INDIRECT(ADDRESS(4,A61,1,1,"Hřiště"))</f>
        <v>10</v>
      </c>
      <c r="H64" s="16"/>
      <c r="K64" s="79">
        <f ca="1">IF(TRIM(D64)="-",1,IF(AND(E64="",F64=""),0,IF(N(E64)&gt;N(F64),1,2)))</f>
        <v>1</v>
      </c>
    </row>
    <row r="65" spans="1:11" ht="19.5">
      <c r="A65" s="55" t="s">
        <v>47</v>
      </c>
      <c r="B65" s="43" t="str">
        <f ca="1">Sk.J!$B$11</f>
        <v xml:space="preserve"> - </v>
      </c>
      <c r="C65" s="44" t="s">
        <v>117</v>
      </c>
      <c r="D65" s="43" t="str">
        <f ca="1">Sk.J!$E$11</f>
        <v>77 CdP Loděnice - Gorroňo López Rubi</v>
      </c>
      <c r="E65" s="161"/>
      <c r="F65" s="161">
        <v>13</v>
      </c>
      <c r="G65" s="364">
        <f ca="1">INDIRECT(ADDRESS(5,A61,1,1,"Hřiště"))</f>
        <v>10</v>
      </c>
      <c r="H65" s="16"/>
      <c r="K65" s="79">
        <f ca="1">IF(TRIM(D65)="-",1,IF(AND(E65="",F65=""),0,IF(N(E65)&gt;N(F65),1,2)))</f>
        <v>2</v>
      </c>
    </row>
    <row r="66" spans="1:11" ht="20.25" thickBot="1">
      <c r="A66" s="56" t="s">
        <v>48</v>
      </c>
      <c r="B66" s="45" t="str">
        <f ca="1">Sk.J!$B$12</f>
        <v>96 1. KPK Vrchlabí - Kadavá Petra</v>
      </c>
      <c r="C66" s="44" t="s">
        <v>117</v>
      </c>
      <c r="D66" s="45" t="str">
        <f ca="1">Sk.J!$E$12</f>
        <v>77 CdP Loděnice - Gorroňo López Rubi</v>
      </c>
      <c r="E66" s="162">
        <v>13</v>
      </c>
      <c r="F66" s="162">
        <v>12</v>
      </c>
      <c r="G66" s="365">
        <f ca="1">INDIRECT(ADDRESS(4,A61,1,1,"Hřiště"))</f>
        <v>10</v>
      </c>
      <c r="K66" s="79">
        <f ca="1">IF(TRIM(D66)="-",1,IF(AND(E66="",F66=""),0,IF(N(E66)&gt;N(F66),1,2)))</f>
        <v>1</v>
      </c>
    </row>
    <row r="67" spans="1:11" ht="23.25" thickBot="1">
      <c r="A67" s="52">
        <v>11</v>
      </c>
      <c r="B67" s="52"/>
      <c r="C67" s="57" t="s">
        <v>266</v>
      </c>
      <c r="D67" s="52"/>
      <c r="E67" s="248"/>
      <c r="F67" s="248"/>
      <c r="G67" s="53"/>
      <c r="H67" s="16"/>
    </row>
    <row r="68" spans="1:11" ht="19.5">
      <c r="A68" s="54" t="s">
        <v>114</v>
      </c>
      <c r="B68" s="41" t="str">
        <f ca="1">Sk.K!$B$8</f>
        <v>11 PC Sokol Lipník - Morávek Petr</v>
      </c>
      <c r="C68" s="42" t="s">
        <v>117</v>
      </c>
      <c r="D68" s="41" t="str">
        <f ca="1">Sk.K!$E$8</f>
        <v xml:space="preserve"> - </v>
      </c>
      <c r="E68" s="160"/>
      <c r="F68" s="160"/>
      <c r="G68" s="376">
        <f ca="1">INDIRECT(ADDRESS(4,A67,1,1,"Hřiště"))</f>
        <v>11</v>
      </c>
      <c r="H68" s="16"/>
      <c r="I68">
        <v>11</v>
      </c>
      <c r="J68">
        <f>ROW()</f>
        <v>68</v>
      </c>
      <c r="K68" s="79">
        <f ca="1">IF(TRIM(D68)="-",1,IF(AND(E68="",F68=""),0,IF(N(E68)&gt;N(F68),1,2)))</f>
        <v>1</v>
      </c>
    </row>
    <row r="69" spans="1:11" ht="19.5">
      <c r="A69" s="55" t="s">
        <v>115</v>
      </c>
      <c r="B69" s="43" t="str">
        <f ca="1">Sk.K!$B$9</f>
        <v>76 PC Kolová - Horáček Jindřich</v>
      </c>
      <c r="C69" s="44" t="s">
        <v>117</v>
      </c>
      <c r="D69" s="43" t="str">
        <f ca="1">Sk.K!$E$9</f>
        <v>97 PK Osika Plzeň - Špitálský Milan</v>
      </c>
      <c r="E69" s="161">
        <v>13</v>
      </c>
      <c r="F69" s="161">
        <v>11</v>
      </c>
      <c r="G69" s="364">
        <f ca="1">INDIRECT(ADDRESS(5,A67,1,1,"Hřiště"))</f>
        <v>11</v>
      </c>
      <c r="H69" s="16"/>
      <c r="K69" s="79">
        <f ca="1">IF(TRIM(D69)="-",1,IF(AND(E69="",F69=""),0,IF(N(E69)&gt;N(F69),1,2)))</f>
        <v>1</v>
      </c>
    </row>
    <row r="70" spans="1:11" ht="19.5">
      <c r="A70" s="55" t="s">
        <v>46</v>
      </c>
      <c r="B70" s="43" t="str">
        <f ca="1">Sk.K!$B$10</f>
        <v>11 PC Sokol Lipník - Morávek Petr</v>
      </c>
      <c r="C70" s="44" t="s">
        <v>117</v>
      </c>
      <c r="D70" s="43" t="str">
        <f ca="1">Sk.K!$E$10</f>
        <v>76 PC Kolová - Horáček Jindřich</v>
      </c>
      <c r="E70" s="161">
        <v>9</v>
      </c>
      <c r="F70" s="161">
        <v>12</v>
      </c>
      <c r="G70" s="364">
        <f ca="1">INDIRECT(ADDRESS(4,A67,1,1,"Hřiště"))</f>
        <v>11</v>
      </c>
      <c r="H70" s="16"/>
      <c r="K70" s="79">
        <f ca="1">IF(TRIM(D70)="-",1,IF(AND(E70="",F70=""),0,IF(N(E70)&gt;N(F70),1,2)))</f>
        <v>2</v>
      </c>
    </row>
    <row r="71" spans="1:11" ht="19.5">
      <c r="A71" s="55" t="s">
        <v>47</v>
      </c>
      <c r="B71" s="43" t="str">
        <f ca="1">Sk.K!$B$11</f>
        <v xml:space="preserve"> - </v>
      </c>
      <c r="C71" s="44" t="s">
        <v>117</v>
      </c>
      <c r="D71" s="43" t="str">
        <f ca="1">Sk.K!$E$11</f>
        <v>97 PK Osika Plzeň - Špitálský Milan</v>
      </c>
      <c r="E71" s="161"/>
      <c r="F71" s="161">
        <v>13</v>
      </c>
      <c r="G71" s="364">
        <f ca="1">INDIRECT(ADDRESS(5,A67,1,1,"Hřiště"))</f>
        <v>11</v>
      </c>
      <c r="H71" s="16"/>
      <c r="K71" s="79">
        <f ca="1">IF(TRIM(D71)="-",1,IF(AND(E71="",F71=""),0,IF(N(E71)&gt;N(F71),1,2)))</f>
        <v>2</v>
      </c>
    </row>
    <row r="72" spans="1:11" ht="20.25" thickBot="1">
      <c r="A72" s="56" t="s">
        <v>48</v>
      </c>
      <c r="B72" s="45" t="str">
        <f ca="1">Sk.K!$B$12</f>
        <v>11 PC Sokol Lipník - Morávek Petr</v>
      </c>
      <c r="C72" s="44" t="s">
        <v>117</v>
      </c>
      <c r="D72" s="45" t="str">
        <f ca="1">Sk.K!$E$12</f>
        <v>97 PK Osika Plzeň - Špitálský Milan</v>
      </c>
      <c r="E72" s="162">
        <v>6</v>
      </c>
      <c r="F72" s="162">
        <v>13</v>
      </c>
      <c r="G72" s="365">
        <f ca="1">INDIRECT(ADDRESS(4,A67,1,1,"Hřiště"))</f>
        <v>11</v>
      </c>
      <c r="K72" s="79">
        <f ca="1">IF(TRIM(D72)="-",1,IF(AND(E72="",F72=""),0,IF(N(E72)&gt;N(F72),1,2)))</f>
        <v>2</v>
      </c>
    </row>
    <row r="73" spans="1:11" ht="23.25" thickBot="1">
      <c r="A73" s="52">
        <v>12</v>
      </c>
      <c r="B73" s="52"/>
      <c r="C73" s="57" t="s">
        <v>267</v>
      </c>
      <c r="D73" s="52"/>
      <c r="E73" s="248"/>
      <c r="F73" s="248"/>
      <c r="G73" s="53"/>
      <c r="H73" s="16"/>
    </row>
    <row r="74" spans="1:11" ht="19.5">
      <c r="A74" s="54" t="s">
        <v>114</v>
      </c>
      <c r="B74" s="41" t="str">
        <f ca="1">Sk.L!$B$8</f>
        <v>12 FRAPECO - Řehoř Miroslav</v>
      </c>
      <c r="C74" s="42" t="s">
        <v>117</v>
      </c>
      <c r="D74" s="41" t="str">
        <f ca="1">Sk.L!$E$8</f>
        <v xml:space="preserve"> - </v>
      </c>
      <c r="E74" s="160"/>
      <c r="F74" s="160"/>
      <c r="G74" s="376">
        <f ca="1">INDIRECT(ADDRESS(4,A73,1,1,"Hřiště"))</f>
        <v>12</v>
      </c>
      <c r="H74" s="16"/>
      <c r="I74">
        <v>12</v>
      </c>
      <c r="J74">
        <f>ROW()</f>
        <v>74</v>
      </c>
      <c r="K74" s="79">
        <f ca="1">IF(TRIM(D74)="-",1,IF(AND(E74="",F74=""),0,IF(N(E74)&gt;N(F74),1,2)))</f>
        <v>1</v>
      </c>
    </row>
    <row r="75" spans="1:11" ht="19.5">
      <c r="A75" s="55" t="s">
        <v>115</v>
      </c>
      <c r="B75" s="43" t="str">
        <f ca="1">Sk.L!$B$9</f>
        <v>75 Petank Club Praha - Maňák Jan</v>
      </c>
      <c r="C75" s="44" t="s">
        <v>117</v>
      </c>
      <c r="D75" s="43" t="str">
        <f ca="1">Sk.L!$E$9</f>
        <v>98 C.T.P. Club Ořech - Glaserová Dana</v>
      </c>
      <c r="E75" s="161">
        <v>6</v>
      </c>
      <c r="F75" s="161">
        <v>13</v>
      </c>
      <c r="G75" s="364">
        <f ca="1">INDIRECT(ADDRESS(5,A73,1,1,"Hřiště"))</f>
        <v>12</v>
      </c>
      <c r="H75" s="16"/>
      <c r="K75" s="79">
        <f ca="1">IF(TRIM(D75)="-",1,IF(AND(E75="",F75=""),0,IF(N(E75)&gt;N(F75),1,2)))</f>
        <v>2</v>
      </c>
    </row>
    <row r="76" spans="1:11" ht="19.5">
      <c r="A76" s="55" t="s">
        <v>46</v>
      </c>
      <c r="B76" s="43" t="str">
        <f ca="1">Sk.L!$B$10</f>
        <v>12 FRAPECO - Řehoř Miroslav</v>
      </c>
      <c r="C76" s="44" t="s">
        <v>117</v>
      </c>
      <c r="D76" s="43" t="str">
        <f ca="1">Sk.L!$E$10</f>
        <v>98 C.T.P. Club Ořech - Glaserová Dana</v>
      </c>
      <c r="E76" s="161">
        <v>13</v>
      </c>
      <c r="F76" s="161">
        <v>6</v>
      </c>
      <c r="G76" s="364">
        <f ca="1">INDIRECT(ADDRESS(4,A73,1,1,"Hřiště"))</f>
        <v>12</v>
      </c>
      <c r="H76" s="16"/>
      <c r="K76" s="79">
        <f ca="1">IF(TRIM(D76)="-",1,IF(AND(E76="",F76=""),0,IF(N(E76)&gt;N(F76),1,2)))</f>
        <v>1</v>
      </c>
    </row>
    <row r="77" spans="1:11" ht="19.5">
      <c r="A77" s="55" t="s">
        <v>47</v>
      </c>
      <c r="B77" s="43" t="str">
        <f ca="1">Sk.L!$B$11</f>
        <v xml:space="preserve"> - </v>
      </c>
      <c r="C77" s="44" t="s">
        <v>117</v>
      </c>
      <c r="D77" s="43" t="str">
        <f ca="1">Sk.L!$E$11</f>
        <v>75 Petank Club Praha - Maňák Jan</v>
      </c>
      <c r="E77" s="161"/>
      <c r="F77" s="161">
        <v>13</v>
      </c>
      <c r="G77" s="364">
        <f ca="1">INDIRECT(ADDRESS(5,A73,1,1,"Hřiště"))</f>
        <v>12</v>
      </c>
      <c r="H77" s="16"/>
      <c r="K77" s="79">
        <f ca="1">IF(TRIM(D77)="-",1,IF(AND(E77="",F77=""),0,IF(N(E77)&gt;N(F77),1,2)))</f>
        <v>2</v>
      </c>
    </row>
    <row r="78" spans="1:11" ht="20.25" thickBot="1">
      <c r="A78" s="56" t="s">
        <v>48</v>
      </c>
      <c r="B78" s="45" t="str">
        <f ca="1">Sk.L!$B$12</f>
        <v>98 C.T.P. Club Ořech - Glaserová Dana</v>
      </c>
      <c r="C78" s="44" t="s">
        <v>117</v>
      </c>
      <c r="D78" s="45" t="str">
        <f ca="1">Sk.L!$E$12</f>
        <v>75 Petank Club Praha - Maňák Jan</v>
      </c>
      <c r="E78" s="162">
        <v>13</v>
      </c>
      <c r="F78" s="162">
        <v>6</v>
      </c>
      <c r="G78" s="365">
        <f ca="1">INDIRECT(ADDRESS(4,A73,1,1,"Hřiště"))</f>
        <v>12</v>
      </c>
      <c r="K78" s="79">
        <f ca="1">IF(TRIM(D78)="-",1,IF(AND(E78="",F78=""),0,IF(N(E78)&gt;N(F78),1,2)))</f>
        <v>1</v>
      </c>
    </row>
    <row r="79" spans="1:11" ht="23.25" thickBot="1">
      <c r="A79" s="52">
        <v>13</v>
      </c>
      <c r="B79" s="52"/>
      <c r="C79" s="57" t="s">
        <v>268</v>
      </c>
      <c r="D79" s="52"/>
      <c r="E79" s="248"/>
      <c r="F79" s="248"/>
      <c r="G79" s="53"/>
      <c r="H79" s="16"/>
    </row>
    <row r="80" spans="1:11" ht="19.5">
      <c r="A80" s="54" t="s">
        <v>114</v>
      </c>
      <c r="B80" s="41" t="str">
        <f ca="1">Sk.M!$B$8</f>
        <v>13 PC Sokol Lipník - Zdobinský Michal ml.</v>
      </c>
      <c r="C80" s="42" t="s">
        <v>117</v>
      </c>
      <c r="D80" s="41" t="str">
        <f ca="1">Sk.M!$E$8</f>
        <v xml:space="preserve"> - </v>
      </c>
      <c r="E80" s="160"/>
      <c r="F80" s="160"/>
      <c r="G80" s="376">
        <f ca="1">INDIRECT(ADDRESS(4,A79,1,1,"Hřiště"))</f>
        <v>13</v>
      </c>
      <c r="H80" s="16"/>
      <c r="I80">
        <v>13</v>
      </c>
      <c r="J80">
        <f>ROW()</f>
        <v>80</v>
      </c>
      <c r="K80" s="79">
        <f ca="1">IF(TRIM(D80)="-",1,IF(AND(E80="",F80=""),0,IF(N(E80)&gt;N(F80),1,2)))</f>
        <v>1</v>
      </c>
    </row>
    <row r="81" spans="1:11" ht="19.5">
      <c r="A81" s="55" t="s">
        <v>115</v>
      </c>
      <c r="B81" s="43" t="str">
        <f ca="1">Sk.M!$B$9</f>
        <v>74 PK Osika Plzeň - Jirkovský Tomáš</v>
      </c>
      <c r="C81" s="44" t="s">
        <v>117</v>
      </c>
      <c r="D81" s="43" t="str">
        <f ca="1">Sk.M!$E$9</f>
        <v>99 SK Sahara Vědomice - Kocourek Pavel</v>
      </c>
      <c r="E81" s="161">
        <v>8</v>
      </c>
      <c r="F81" s="161">
        <v>13</v>
      </c>
      <c r="G81" s="364">
        <f ca="1">INDIRECT(ADDRESS(5,A79,1,1,"Hřiště"))</f>
        <v>13</v>
      </c>
      <c r="H81" s="16"/>
      <c r="K81" s="79">
        <f ca="1">IF(TRIM(D81)="-",1,IF(AND(E81="",F81=""),0,IF(N(E81)&gt;N(F81),1,2)))</f>
        <v>2</v>
      </c>
    </row>
    <row r="82" spans="1:11" ht="19.5">
      <c r="A82" s="55" t="s">
        <v>46</v>
      </c>
      <c r="B82" s="43" t="str">
        <f ca="1">Sk.M!$B$10</f>
        <v>13 PC Sokol Lipník - Zdobinský Michal ml.</v>
      </c>
      <c r="C82" s="44" t="s">
        <v>117</v>
      </c>
      <c r="D82" s="43" t="str">
        <f ca="1">Sk.M!$E$10</f>
        <v>99 SK Sahara Vědomice - Kocourek Pavel</v>
      </c>
      <c r="E82" s="161">
        <v>6</v>
      </c>
      <c r="F82" s="161">
        <v>13</v>
      </c>
      <c r="G82" s="364">
        <f ca="1">INDIRECT(ADDRESS(4,A79,1,1,"Hřiště"))</f>
        <v>13</v>
      </c>
      <c r="H82" s="16"/>
      <c r="K82" s="79">
        <f ca="1">IF(TRIM(D82)="-",1,IF(AND(E82="",F82=""),0,IF(N(E82)&gt;N(F82),1,2)))</f>
        <v>2</v>
      </c>
    </row>
    <row r="83" spans="1:11" ht="19.5">
      <c r="A83" s="55" t="s">
        <v>47</v>
      </c>
      <c r="B83" s="43" t="str">
        <f ca="1">Sk.M!$B$11</f>
        <v xml:space="preserve"> - </v>
      </c>
      <c r="C83" s="44" t="s">
        <v>117</v>
      </c>
      <c r="D83" s="43" t="str">
        <f ca="1">Sk.M!$E$11</f>
        <v>74 PK Osika Plzeň - Jirkovský Tomáš</v>
      </c>
      <c r="E83" s="161"/>
      <c r="F83" s="161">
        <v>13</v>
      </c>
      <c r="G83" s="364">
        <f ca="1">INDIRECT(ADDRESS(5,A79,1,1,"Hřiště"))</f>
        <v>13</v>
      </c>
      <c r="H83" s="16"/>
      <c r="K83" s="79">
        <f ca="1">IF(TRIM(D83)="-",1,IF(AND(E83="",F83=""),0,IF(N(E83)&gt;N(F83),1,2)))</f>
        <v>2</v>
      </c>
    </row>
    <row r="84" spans="1:11" ht="20.25" thickBot="1">
      <c r="A84" s="56" t="s">
        <v>48</v>
      </c>
      <c r="B84" s="45" t="str">
        <f ca="1">Sk.M!$B$12</f>
        <v>13 PC Sokol Lipník - Zdobinský Michal ml.</v>
      </c>
      <c r="C84" s="44" t="s">
        <v>117</v>
      </c>
      <c r="D84" s="45" t="str">
        <f ca="1">Sk.M!$E$12</f>
        <v>74 PK Osika Plzeň - Jirkovský Tomáš</v>
      </c>
      <c r="E84" s="162">
        <v>13</v>
      </c>
      <c r="F84" s="162">
        <v>7</v>
      </c>
      <c r="G84" s="365">
        <f ca="1">INDIRECT(ADDRESS(4,A79,1,1,"Hřiště"))</f>
        <v>13</v>
      </c>
      <c r="K84" s="79">
        <f ca="1">IF(TRIM(D84)="-",1,IF(AND(E84="",F84=""),0,IF(N(E84)&gt;N(F84),1,2)))</f>
        <v>1</v>
      </c>
    </row>
    <row r="85" spans="1:11" ht="23.25" thickBot="1">
      <c r="A85" s="52">
        <v>14</v>
      </c>
      <c r="B85" s="52"/>
      <c r="C85" s="57" t="s">
        <v>269</v>
      </c>
      <c r="D85" s="52"/>
      <c r="E85" s="248"/>
      <c r="F85" s="248"/>
      <c r="G85" s="53"/>
      <c r="H85" s="16"/>
    </row>
    <row r="86" spans="1:11" ht="19.5">
      <c r="A86" s="54" t="s">
        <v>114</v>
      </c>
      <c r="B86" s="41" t="str">
        <f ca="1">Sk.N!$B$8</f>
        <v>14 FRAPECO - Ondryáš Jiří</v>
      </c>
      <c r="C86" s="42" t="s">
        <v>117</v>
      </c>
      <c r="D86" s="41" t="str">
        <f ca="1">Sk.N!$E$8</f>
        <v xml:space="preserve"> - </v>
      </c>
      <c r="E86" s="160"/>
      <c r="F86" s="160"/>
      <c r="G86" s="376">
        <f ca="1">INDIRECT(ADDRESS(4,A85,1,1,"Hřiště"))</f>
        <v>14</v>
      </c>
      <c r="H86" s="16"/>
      <c r="I86">
        <v>14</v>
      </c>
      <c r="J86">
        <f>ROW()</f>
        <v>86</v>
      </c>
      <c r="K86" s="79">
        <f ca="1">IF(TRIM(D86)="-",1,IF(AND(E86="",F86=""),0,IF(N(E86)&gt;N(F86),1,2)))</f>
        <v>1</v>
      </c>
    </row>
    <row r="87" spans="1:11" ht="19.5">
      <c r="A87" s="55" t="s">
        <v>115</v>
      </c>
      <c r="B87" s="43" t="str">
        <f ca="1">Sk.N!$B$9</f>
        <v>73 SKP Kulová osma - Sjögren Magda</v>
      </c>
      <c r="C87" s="44" t="s">
        <v>117</v>
      </c>
      <c r="D87" s="43" t="str">
        <f ca="1">Sk.N!$E$9</f>
        <v>100 1. Starobrněnský PK - Blažejová Eva</v>
      </c>
      <c r="E87" s="161">
        <v>13</v>
      </c>
      <c r="F87" s="161">
        <v>11</v>
      </c>
      <c r="G87" s="364">
        <f ca="1">INDIRECT(ADDRESS(5,A85,1,1,"Hřiště"))</f>
        <v>14</v>
      </c>
      <c r="H87" s="16"/>
      <c r="K87" s="79">
        <f ca="1">IF(TRIM(D87)="-",1,IF(AND(E87="",F87=""),0,IF(N(E87)&gt;N(F87),1,2)))</f>
        <v>1</v>
      </c>
    </row>
    <row r="88" spans="1:11" ht="19.5">
      <c r="A88" s="55" t="s">
        <v>46</v>
      </c>
      <c r="B88" s="43" t="str">
        <f ca="1">Sk.N!$B$10</f>
        <v>14 FRAPECO - Ondryáš Jiří</v>
      </c>
      <c r="C88" s="44" t="s">
        <v>117</v>
      </c>
      <c r="D88" s="43" t="str">
        <f ca="1">Sk.N!$E$10</f>
        <v>73 SKP Kulová osma - Sjögren Magda</v>
      </c>
      <c r="E88" s="161">
        <v>13</v>
      </c>
      <c r="F88" s="161">
        <v>1</v>
      </c>
      <c r="G88" s="364">
        <f ca="1">INDIRECT(ADDRESS(4,A85,1,1,"Hřiště"))</f>
        <v>14</v>
      </c>
      <c r="H88" s="16"/>
      <c r="K88" s="79">
        <f ca="1">IF(TRIM(D88)="-",1,IF(AND(E88="",F88=""),0,IF(N(E88)&gt;N(F88),1,2)))</f>
        <v>1</v>
      </c>
    </row>
    <row r="89" spans="1:11" ht="19.5">
      <c r="A89" s="55" t="s">
        <v>47</v>
      </c>
      <c r="B89" s="43" t="str">
        <f ca="1">Sk.N!$B$11</f>
        <v xml:space="preserve"> - </v>
      </c>
      <c r="C89" s="44" t="s">
        <v>117</v>
      </c>
      <c r="D89" s="43" t="str">
        <f ca="1">Sk.N!$E$11</f>
        <v>100 1. Starobrněnský PK - Blažejová Eva</v>
      </c>
      <c r="E89" s="161"/>
      <c r="F89" s="161">
        <v>13</v>
      </c>
      <c r="G89" s="364">
        <f ca="1">INDIRECT(ADDRESS(5,A85,1,1,"Hřiště"))</f>
        <v>14</v>
      </c>
      <c r="H89" s="16"/>
      <c r="K89" s="79">
        <f ca="1">IF(TRIM(D89)="-",1,IF(AND(E89="",F89=""),0,IF(N(E89)&gt;N(F89),1,2)))</f>
        <v>2</v>
      </c>
    </row>
    <row r="90" spans="1:11" ht="20.25" thickBot="1">
      <c r="A90" s="56" t="s">
        <v>48</v>
      </c>
      <c r="B90" s="45" t="str">
        <f ca="1">Sk.N!$B$12</f>
        <v>73 SKP Kulová osma - Sjögren Magda</v>
      </c>
      <c r="C90" s="44" t="s">
        <v>117</v>
      </c>
      <c r="D90" s="45" t="str">
        <f ca="1">Sk.N!$E$12</f>
        <v>100 1. Starobrněnský PK - Blažejová Eva</v>
      </c>
      <c r="E90" s="162">
        <v>4</v>
      </c>
      <c r="F90" s="162">
        <v>13</v>
      </c>
      <c r="G90" s="365">
        <f ca="1">INDIRECT(ADDRESS(4,A85,1,1,"Hřiště"))</f>
        <v>14</v>
      </c>
      <c r="K90" s="79">
        <f ca="1">IF(TRIM(D90)="-",1,IF(AND(E90="",F90=""),0,IF(N(E90)&gt;N(F90),1,2)))</f>
        <v>2</v>
      </c>
    </row>
    <row r="91" spans="1:11" ht="23.25" thickBot="1">
      <c r="A91" s="52">
        <v>15</v>
      </c>
      <c r="B91" s="52"/>
      <c r="C91" s="57" t="s">
        <v>270</v>
      </c>
      <c r="D91" s="52"/>
      <c r="E91" s="248"/>
      <c r="F91" s="248"/>
      <c r="G91" s="53"/>
      <c r="H91" s="16"/>
    </row>
    <row r="92" spans="1:11" ht="19.5">
      <c r="A92" s="54" t="s">
        <v>114</v>
      </c>
      <c r="B92" s="41" t="str">
        <f ca="1">Sk.O!$B$8</f>
        <v>15 PLUK Jablonec - Palicová Markéta</v>
      </c>
      <c r="C92" s="42" t="s">
        <v>117</v>
      </c>
      <c r="D92" s="41" t="str">
        <f ca="1">Sk.O!$E$8</f>
        <v xml:space="preserve"> - </v>
      </c>
      <c r="E92" s="160"/>
      <c r="F92" s="160"/>
      <c r="G92" s="376">
        <f ca="1">INDIRECT(ADDRESS(4,A91,1,1,"Hřiště"))</f>
        <v>15</v>
      </c>
      <c r="H92" s="16"/>
      <c r="I92">
        <v>15</v>
      </c>
      <c r="J92">
        <f>ROW()</f>
        <v>92</v>
      </c>
      <c r="K92" s="79">
        <f ca="1">IF(TRIM(D92)="-",1,IF(AND(E92="",F92=""),0,IF(N(E92)&gt;N(F92),1,2)))</f>
        <v>1</v>
      </c>
    </row>
    <row r="93" spans="1:11" ht="19.5">
      <c r="A93" s="55" t="s">
        <v>115</v>
      </c>
      <c r="B93" s="43" t="str">
        <f ca="1">Sk.O!$B$9</f>
        <v>72 PAK Albrechtice - Valík Václav</v>
      </c>
      <c r="C93" s="44" t="s">
        <v>117</v>
      </c>
      <c r="D93" s="43" t="str">
        <f ca="1">Sk.O!$E$9</f>
        <v>101 PK Polouvsí - Valošek Radim</v>
      </c>
      <c r="E93" s="161">
        <v>13</v>
      </c>
      <c r="F93" s="161">
        <v>8</v>
      </c>
      <c r="G93" s="364">
        <f ca="1">INDIRECT(ADDRESS(5,A91,1,1,"Hřiště"))</f>
        <v>15</v>
      </c>
      <c r="H93" s="16"/>
      <c r="K93" s="79">
        <f ca="1">IF(TRIM(D93)="-",1,IF(AND(E93="",F93=""),0,IF(N(E93)&gt;N(F93),1,2)))</f>
        <v>1</v>
      </c>
    </row>
    <row r="94" spans="1:11" ht="19.5">
      <c r="A94" s="55" t="s">
        <v>46</v>
      </c>
      <c r="B94" s="43" t="str">
        <f ca="1">Sk.O!$B$10</f>
        <v>15 PLUK Jablonec - Palicová Markéta</v>
      </c>
      <c r="C94" s="44" t="s">
        <v>117</v>
      </c>
      <c r="D94" s="43" t="str">
        <f ca="1">Sk.O!$E$10</f>
        <v>72 PAK Albrechtice - Valík Václav</v>
      </c>
      <c r="E94" s="161">
        <v>13</v>
      </c>
      <c r="F94" s="161">
        <v>7</v>
      </c>
      <c r="G94" s="364">
        <f ca="1">INDIRECT(ADDRESS(4,A91,1,1,"Hřiště"))</f>
        <v>15</v>
      </c>
      <c r="H94" s="16"/>
      <c r="K94" s="79">
        <f ca="1">IF(TRIM(D94)="-",1,IF(AND(E94="",F94=""),0,IF(N(E94)&gt;N(F94),1,2)))</f>
        <v>1</v>
      </c>
    </row>
    <row r="95" spans="1:11" ht="19.5">
      <c r="A95" s="55" t="s">
        <v>47</v>
      </c>
      <c r="B95" s="43" t="str">
        <f ca="1">Sk.O!$B$11</f>
        <v xml:space="preserve"> - </v>
      </c>
      <c r="C95" s="44" t="s">
        <v>117</v>
      </c>
      <c r="D95" s="43" t="str">
        <f ca="1">Sk.O!$E$11</f>
        <v>101 PK Polouvsí - Valošek Radim</v>
      </c>
      <c r="E95" s="161"/>
      <c r="F95" s="161">
        <v>13</v>
      </c>
      <c r="G95" s="364">
        <f ca="1">INDIRECT(ADDRESS(5,A91,1,1,"Hřiště"))</f>
        <v>15</v>
      </c>
      <c r="H95" s="16"/>
      <c r="K95" s="79">
        <f ca="1">IF(TRIM(D95)="-",1,IF(AND(E95="",F95=""),0,IF(N(E95)&gt;N(F95),1,2)))</f>
        <v>2</v>
      </c>
    </row>
    <row r="96" spans="1:11" ht="20.25" thickBot="1">
      <c r="A96" s="56" t="s">
        <v>48</v>
      </c>
      <c r="B96" s="45" t="str">
        <f ca="1">Sk.O!$B$12</f>
        <v>72 PAK Albrechtice - Valík Václav</v>
      </c>
      <c r="C96" s="44" t="s">
        <v>117</v>
      </c>
      <c r="D96" s="45" t="str">
        <f ca="1">Sk.O!$E$12</f>
        <v>101 PK Polouvsí - Valošek Radim</v>
      </c>
      <c r="E96" s="162">
        <v>13</v>
      </c>
      <c r="F96" s="162">
        <v>6</v>
      </c>
      <c r="G96" s="365">
        <f ca="1">INDIRECT(ADDRESS(4,A91,1,1,"Hřiště"))</f>
        <v>15</v>
      </c>
      <c r="K96" s="79">
        <f ca="1">IF(TRIM(D96)="-",1,IF(AND(E96="",F96=""),0,IF(N(E96)&gt;N(F96),1,2)))</f>
        <v>1</v>
      </c>
    </row>
    <row r="97" spans="1:11" ht="23.25" thickBot="1">
      <c r="A97" s="52">
        <v>16</v>
      </c>
      <c r="B97" s="52"/>
      <c r="C97" s="57" t="s">
        <v>271</v>
      </c>
      <c r="D97" s="52"/>
      <c r="E97" s="248"/>
      <c r="F97" s="248"/>
      <c r="G97" s="53"/>
      <c r="H97" s="16"/>
    </row>
    <row r="98" spans="1:11" ht="19.5">
      <c r="A98" s="54" t="s">
        <v>114</v>
      </c>
      <c r="B98" s="41" t="str">
        <f ca="1">Sk.P!$B$8</f>
        <v>16 POP Praha - Konšel Jakub</v>
      </c>
      <c r="C98" s="42" t="s">
        <v>117</v>
      </c>
      <c r="D98" s="41" t="str">
        <f ca="1">Sk.P!$E$8</f>
        <v xml:space="preserve"> - </v>
      </c>
      <c r="E98" s="160"/>
      <c r="F98" s="160"/>
      <c r="G98" s="376">
        <f ca="1">INDIRECT(ADDRESS(4,A97,1,1,"Hřiště"))</f>
        <v>16</v>
      </c>
      <c r="H98" s="16"/>
      <c r="I98">
        <v>16</v>
      </c>
      <c r="J98">
        <f>ROW()</f>
        <v>98</v>
      </c>
      <c r="K98" s="79">
        <f ca="1">IF(TRIM(D98)="-",1,IF(AND(E98="",F98=""),0,IF(N(E98)&gt;N(F98),1,2)))</f>
        <v>1</v>
      </c>
    </row>
    <row r="99" spans="1:11" ht="19.5">
      <c r="A99" s="55" t="s">
        <v>115</v>
      </c>
      <c r="B99" s="43" t="str">
        <f ca="1">Sk.P!$B$9</f>
        <v>71 Bowle 09 Klatovy - Hulec Zdeněk</v>
      </c>
      <c r="C99" s="44" t="s">
        <v>117</v>
      </c>
      <c r="D99" s="43" t="str">
        <f ca="1">Sk.P!$E$9</f>
        <v>102 Sokol Kostomlaty - Vaníček Rudolf</v>
      </c>
      <c r="E99" s="161">
        <v>13</v>
      </c>
      <c r="F99" s="161">
        <v>10</v>
      </c>
      <c r="G99" s="364">
        <f ca="1">INDIRECT(ADDRESS(5,A97,1,1,"Hřiště"))</f>
        <v>16</v>
      </c>
      <c r="H99" s="16"/>
      <c r="K99" s="79">
        <f ca="1">IF(TRIM(D99)="-",1,IF(AND(E99="",F99=""),0,IF(N(E99)&gt;N(F99),1,2)))</f>
        <v>1</v>
      </c>
    </row>
    <row r="100" spans="1:11" ht="19.5">
      <c r="A100" s="55" t="s">
        <v>46</v>
      </c>
      <c r="B100" s="43" t="str">
        <f ca="1">Sk.P!$B$10</f>
        <v>16 POP Praha - Konšel Jakub</v>
      </c>
      <c r="C100" s="44" t="s">
        <v>117</v>
      </c>
      <c r="D100" s="43" t="str">
        <f ca="1">Sk.P!$E$10</f>
        <v>71 Bowle 09 Klatovy - Hulec Zdeněk</v>
      </c>
      <c r="E100" s="161">
        <v>11</v>
      </c>
      <c r="F100" s="161">
        <v>13</v>
      </c>
      <c r="G100" s="364">
        <f ca="1">INDIRECT(ADDRESS(4,A97,1,1,"Hřiště"))</f>
        <v>16</v>
      </c>
      <c r="H100" s="16"/>
      <c r="K100" s="79">
        <f ca="1">IF(TRIM(D100)="-",1,IF(AND(E100="",F100=""),0,IF(N(E100)&gt;N(F100),1,2)))</f>
        <v>2</v>
      </c>
    </row>
    <row r="101" spans="1:11" ht="19.5">
      <c r="A101" s="55" t="s">
        <v>47</v>
      </c>
      <c r="B101" s="43" t="str">
        <f ca="1">Sk.P!$B$11</f>
        <v xml:space="preserve"> - </v>
      </c>
      <c r="C101" s="44" t="s">
        <v>117</v>
      </c>
      <c r="D101" s="43" t="str">
        <f ca="1">Sk.P!$E$11</f>
        <v>102 Sokol Kostomlaty - Vaníček Rudolf</v>
      </c>
      <c r="E101" s="161"/>
      <c r="F101" s="161">
        <v>13</v>
      </c>
      <c r="G101" s="364">
        <f ca="1">INDIRECT(ADDRESS(5,A97,1,1,"Hřiště"))</f>
        <v>16</v>
      </c>
      <c r="H101" s="16"/>
      <c r="K101" s="79">
        <f ca="1">IF(TRIM(D101)="-",1,IF(AND(E101="",F101=""),0,IF(N(E101)&gt;N(F101),1,2)))</f>
        <v>2</v>
      </c>
    </row>
    <row r="102" spans="1:11" ht="20.25" thickBot="1">
      <c r="A102" s="56" t="s">
        <v>48</v>
      </c>
      <c r="B102" s="45" t="str">
        <f ca="1">Sk.P!$B$12</f>
        <v>16 POP Praha - Konšel Jakub</v>
      </c>
      <c r="C102" s="44" t="s">
        <v>117</v>
      </c>
      <c r="D102" s="45" t="str">
        <f ca="1">Sk.P!$E$12</f>
        <v>102 Sokol Kostomlaty - Vaníček Rudolf</v>
      </c>
      <c r="E102" s="162">
        <v>12</v>
      </c>
      <c r="F102" s="162">
        <v>13</v>
      </c>
      <c r="G102" s="365">
        <f ca="1">INDIRECT(ADDRESS(4,A97,1,1,"Hřiště"))</f>
        <v>16</v>
      </c>
      <c r="K102" s="79">
        <f ca="1">IF(TRIM(D102)="-",1,IF(AND(E102="",F102=""),0,IF(N(E102)&gt;N(F102),1,2)))</f>
        <v>2</v>
      </c>
    </row>
    <row r="103" spans="1:11" ht="23.25" thickBot="1">
      <c r="A103" s="52">
        <v>17</v>
      </c>
      <c r="B103" s="52"/>
      <c r="C103" s="57" t="s">
        <v>278</v>
      </c>
      <c r="D103" s="52"/>
      <c r="E103" s="248"/>
      <c r="F103" s="248"/>
      <c r="G103" s="53"/>
      <c r="H103" s="16"/>
    </row>
    <row r="104" spans="1:11" ht="19.5">
      <c r="A104" s="54" t="s">
        <v>114</v>
      </c>
      <c r="B104" s="41" t="str">
        <f ca="1">Sk.Q!$B$8</f>
        <v>17 SK Sahara Vědomice - Demčíková Jiřina</v>
      </c>
      <c r="C104" s="42" t="s">
        <v>117</v>
      </c>
      <c r="D104" s="41" t="str">
        <f ca="1">Sk.Q!$E$8</f>
        <v xml:space="preserve"> - </v>
      </c>
      <c r="E104" s="160"/>
      <c r="F104" s="160"/>
      <c r="G104" s="376">
        <f ca="1">INDIRECT(ADDRESS(4,A103,1,1,"Hřiště"))</f>
        <v>17</v>
      </c>
      <c r="H104" s="16"/>
      <c r="I104">
        <v>17</v>
      </c>
      <c r="J104">
        <f>ROW()</f>
        <v>104</v>
      </c>
      <c r="K104" s="79">
        <f ca="1">IF(TRIM(D104)="-",1,IF(AND(E104="",F104=""),0,IF(N(E104)&gt;N(F104),1,2)))</f>
        <v>1</v>
      </c>
    </row>
    <row r="105" spans="1:11" ht="19.5">
      <c r="A105" s="55" t="s">
        <v>115</v>
      </c>
      <c r="B105" s="43" t="str">
        <f ca="1">Sk.Q!$B$9</f>
        <v>70 Orel Řečkovice - Hanák Pavel</v>
      </c>
      <c r="C105" s="44" t="s">
        <v>117</v>
      </c>
      <c r="D105" s="43" t="str">
        <f ca="1">Sk.Q!$E$9</f>
        <v>103 PK Polouvsí - Rusek Luboš</v>
      </c>
      <c r="E105" s="161">
        <v>13</v>
      </c>
      <c r="F105" s="161">
        <v>9</v>
      </c>
      <c r="G105" s="364">
        <f ca="1">INDIRECT(ADDRESS(5,A103,1,1,"Hřiště"))</f>
        <v>17</v>
      </c>
      <c r="H105" s="16"/>
      <c r="K105" s="79">
        <f ca="1">IF(TRIM(D105)="-",1,IF(AND(E105="",F105=""),0,IF(N(E105)&gt;N(F105),1,2)))</f>
        <v>1</v>
      </c>
    </row>
    <row r="106" spans="1:11" ht="19.5">
      <c r="A106" s="55" t="s">
        <v>46</v>
      </c>
      <c r="B106" s="43" t="str">
        <f ca="1">Sk.Q!$B$10</f>
        <v>17 SK Sahara Vědomice - Demčíková Jiřina</v>
      </c>
      <c r="C106" s="44" t="s">
        <v>117</v>
      </c>
      <c r="D106" s="43" t="str">
        <f ca="1">Sk.Q!$E$10</f>
        <v>70 Orel Řečkovice - Hanák Pavel</v>
      </c>
      <c r="E106" s="161">
        <v>7</v>
      </c>
      <c r="F106" s="161">
        <v>13</v>
      </c>
      <c r="G106" s="364">
        <f ca="1">INDIRECT(ADDRESS(4,A103,1,1,"Hřiště"))</f>
        <v>17</v>
      </c>
      <c r="H106" s="16"/>
      <c r="K106" s="79">
        <f ca="1">IF(TRIM(D106)="-",1,IF(AND(E106="",F106=""),0,IF(N(E106)&gt;N(F106),1,2)))</f>
        <v>2</v>
      </c>
    </row>
    <row r="107" spans="1:11" ht="19.5">
      <c r="A107" s="55" t="s">
        <v>47</v>
      </c>
      <c r="B107" s="43" t="str">
        <f ca="1">Sk.Q!$B$11</f>
        <v xml:space="preserve"> - </v>
      </c>
      <c r="C107" s="44" t="s">
        <v>117</v>
      </c>
      <c r="D107" s="43" t="str">
        <f ca="1">Sk.Q!$E$11</f>
        <v>103 PK Polouvsí - Rusek Luboš</v>
      </c>
      <c r="E107" s="161"/>
      <c r="F107" s="161">
        <v>13</v>
      </c>
      <c r="G107" s="364">
        <f ca="1">INDIRECT(ADDRESS(5,A103,1,1,"Hřiště"))</f>
        <v>17</v>
      </c>
      <c r="H107" s="16"/>
      <c r="K107" s="79">
        <f ca="1">IF(TRIM(D107)="-",1,IF(AND(E107="",F107=""),0,IF(N(E107)&gt;N(F107),1,2)))</f>
        <v>2</v>
      </c>
    </row>
    <row r="108" spans="1:11" ht="20.25" thickBot="1">
      <c r="A108" s="56" t="s">
        <v>48</v>
      </c>
      <c r="B108" s="45" t="str">
        <f ca="1">Sk.Q!$B$12</f>
        <v>17 SK Sahara Vědomice - Demčíková Jiřina</v>
      </c>
      <c r="C108" s="44" t="s">
        <v>117</v>
      </c>
      <c r="D108" s="45" t="str">
        <f ca="1">Sk.Q!$E$12</f>
        <v>103 PK Polouvsí - Rusek Luboš</v>
      </c>
      <c r="E108" s="162">
        <v>13</v>
      </c>
      <c r="F108" s="162">
        <v>10</v>
      </c>
      <c r="G108" s="365">
        <f ca="1">INDIRECT(ADDRESS(4,A103,1,1,"Hřiště"))</f>
        <v>17</v>
      </c>
      <c r="K108" s="79">
        <f ca="1">IF(TRIM(D108)="-",1,IF(AND(E108="",F108=""),0,IF(N(E108)&gt;N(F108),1,2)))</f>
        <v>1</v>
      </c>
    </row>
    <row r="109" spans="1:11" ht="23.25" thickBot="1">
      <c r="A109" s="52">
        <v>18</v>
      </c>
      <c r="B109" s="52"/>
      <c r="C109" s="57" t="s">
        <v>279</v>
      </c>
      <c r="D109" s="52"/>
      <c r="E109" s="248"/>
      <c r="F109" s="248"/>
      <c r="G109" s="53"/>
      <c r="H109" s="16"/>
    </row>
    <row r="110" spans="1:11" ht="19.5">
      <c r="A110" s="54" t="s">
        <v>114</v>
      </c>
      <c r="B110" s="41" t="str">
        <f ca="1">Sk.R!$B$8</f>
        <v>18 1. KPK Vrchlabí - Michalička Lukáš</v>
      </c>
      <c r="C110" s="42" t="s">
        <v>117</v>
      </c>
      <c r="D110" s="41" t="str">
        <f ca="1">Sk.R!$E$8</f>
        <v xml:space="preserve"> - </v>
      </c>
      <c r="E110" s="160"/>
      <c r="F110" s="160"/>
      <c r="G110" s="376">
        <f ca="1">INDIRECT(ADDRESS(4,A109,1,1,"Hřiště"))</f>
        <v>18</v>
      </c>
      <c r="H110" s="16"/>
      <c r="I110">
        <v>18</v>
      </c>
      <c r="J110">
        <f>ROW()</f>
        <v>110</v>
      </c>
      <c r="K110" s="79">
        <f ca="1">IF(TRIM(D110)="-",1,IF(AND(E110="",F110=""),0,IF(N(E110)&gt;N(F110),1,2)))</f>
        <v>1</v>
      </c>
    </row>
    <row r="111" spans="1:11" ht="19.5">
      <c r="A111" s="55" t="s">
        <v>115</v>
      </c>
      <c r="B111" s="43" t="str">
        <f ca="1">Sk.R!$B$9</f>
        <v>69 PC Mimo Done - Radechovský Milan</v>
      </c>
      <c r="C111" s="44" t="s">
        <v>117</v>
      </c>
      <c r="D111" s="43" t="str">
        <f ca="1">Sk.R!$E$9</f>
        <v>104 PK Polouvsí - Ondryhal Josef</v>
      </c>
      <c r="E111" s="161">
        <v>10</v>
      </c>
      <c r="F111" s="161">
        <v>13</v>
      </c>
      <c r="G111" s="364">
        <f ca="1">INDIRECT(ADDRESS(5,A109,1,1,"Hřiště"))</f>
        <v>18</v>
      </c>
      <c r="H111" s="16"/>
      <c r="K111" s="79">
        <f ca="1">IF(TRIM(D111)="-",1,IF(AND(E111="",F111=""),0,IF(N(E111)&gt;N(F111),1,2)))</f>
        <v>2</v>
      </c>
    </row>
    <row r="112" spans="1:11" ht="19.5">
      <c r="A112" s="55" t="s">
        <v>46</v>
      </c>
      <c r="B112" s="43" t="str">
        <f ca="1">Sk.R!$B$10</f>
        <v>18 1. KPK Vrchlabí - Michalička Lukáš</v>
      </c>
      <c r="C112" s="44" t="s">
        <v>117</v>
      </c>
      <c r="D112" s="43" t="str">
        <f ca="1">Sk.R!$E$10</f>
        <v>104 PK Polouvsí - Ondryhal Josef</v>
      </c>
      <c r="E112" s="161">
        <v>12</v>
      </c>
      <c r="F112" s="161">
        <v>13</v>
      </c>
      <c r="G112" s="364">
        <f ca="1">INDIRECT(ADDRESS(4,A109,1,1,"Hřiště"))</f>
        <v>18</v>
      </c>
      <c r="H112" s="16"/>
      <c r="K112" s="79">
        <f ca="1">IF(TRIM(D112)="-",1,IF(AND(E112="",F112=""),0,IF(N(E112)&gt;N(F112),1,2)))</f>
        <v>2</v>
      </c>
    </row>
    <row r="113" spans="1:11" ht="19.5">
      <c r="A113" s="55" t="s">
        <v>47</v>
      </c>
      <c r="B113" s="43" t="str">
        <f ca="1">Sk.R!$B$11</f>
        <v xml:space="preserve"> - </v>
      </c>
      <c r="C113" s="44" t="s">
        <v>117</v>
      </c>
      <c r="D113" s="43" t="str">
        <f ca="1">Sk.R!$E$11</f>
        <v>69 PC Mimo Done - Radechovský Milan</v>
      </c>
      <c r="E113" s="161"/>
      <c r="F113" s="161">
        <v>13</v>
      </c>
      <c r="G113" s="364">
        <f ca="1">INDIRECT(ADDRESS(5,A109,1,1,"Hřiště"))</f>
        <v>18</v>
      </c>
      <c r="H113" s="16"/>
      <c r="K113" s="79">
        <f ca="1">IF(TRIM(D113)="-",1,IF(AND(E113="",F113=""),0,IF(N(E113)&gt;N(F113),1,2)))</f>
        <v>2</v>
      </c>
    </row>
    <row r="114" spans="1:11" ht="20.25" thickBot="1">
      <c r="A114" s="56" t="s">
        <v>48</v>
      </c>
      <c r="B114" s="45" t="str">
        <f ca="1">Sk.R!$B$12</f>
        <v>18 1. KPK Vrchlabí - Michalička Lukáš</v>
      </c>
      <c r="C114" s="44" t="s">
        <v>117</v>
      </c>
      <c r="D114" s="45" t="str">
        <f ca="1">Sk.R!$E$12</f>
        <v>69 PC Mimo Done - Radechovský Milan</v>
      </c>
      <c r="E114" s="162">
        <v>13</v>
      </c>
      <c r="F114" s="162">
        <v>11</v>
      </c>
      <c r="G114" s="365">
        <f ca="1">INDIRECT(ADDRESS(4,A109,1,1,"Hřiště"))</f>
        <v>18</v>
      </c>
      <c r="K114" s="79">
        <f ca="1">IF(TRIM(D114)="-",1,IF(AND(E114="",F114=""),0,IF(N(E114)&gt;N(F114),1,2)))</f>
        <v>1</v>
      </c>
    </row>
    <row r="115" spans="1:11" ht="23.25" thickBot="1">
      <c r="A115" s="52">
        <v>19</v>
      </c>
      <c r="B115" s="52"/>
      <c r="C115" s="57" t="s">
        <v>280</v>
      </c>
      <c r="D115" s="52"/>
      <c r="E115" s="248"/>
      <c r="F115" s="248"/>
      <c r="G115" s="53"/>
      <c r="H115" s="16"/>
    </row>
    <row r="116" spans="1:11" ht="19.5">
      <c r="A116" s="54" t="s">
        <v>114</v>
      </c>
      <c r="B116" s="41" t="str">
        <f ca="1">Sk.S!$B$8</f>
        <v>19 1. KPK Vrchlabí - Srnský Lubomír</v>
      </c>
      <c r="C116" s="42" t="s">
        <v>117</v>
      </c>
      <c r="D116" s="41" t="str">
        <f ca="1">Sk.S!$E$8</f>
        <v xml:space="preserve"> - </v>
      </c>
      <c r="E116" s="160"/>
      <c r="F116" s="160"/>
      <c r="G116" s="376">
        <f ca="1">INDIRECT(ADDRESS(4,A115,1,1,"Hřiště"))</f>
        <v>19</v>
      </c>
      <c r="H116" s="16"/>
      <c r="I116">
        <v>19</v>
      </c>
      <c r="J116">
        <f>ROW()</f>
        <v>116</v>
      </c>
      <c r="K116" s="79">
        <f ca="1">IF(TRIM(D116)="-",1,IF(AND(E116="",F116=""),0,IF(N(E116)&gt;N(F116),1,2)))</f>
        <v>1</v>
      </c>
    </row>
    <row r="117" spans="1:11" ht="19.5">
      <c r="A117" s="55" t="s">
        <v>115</v>
      </c>
      <c r="B117" s="43" t="str">
        <f ca="1">Sk.S!$B$9</f>
        <v>68 HAPEK - Burešová Jana</v>
      </c>
      <c r="C117" s="44" t="s">
        <v>117</v>
      </c>
      <c r="D117" s="43" t="str">
        <f ca="1">Sk.S!$E$9</f>
        <v>105 PC Mimo Done - Zikmunda Matěj</v>
      </c>
      <c r="E117" s="161">
        <v>8</v>
      </c>
      <c r="F117" s="161">
        <v>13</v>
      </c>
      <c r="G117" s="364">
        <f ca="1">INDIRECT(ADDRESS(5,A115,1,1,"Hřiště"))</f>
        <v>19</v>
      </c>
      <c r="H117" s="16"/>
      <c r="K117" s="79">
        <f ca="1">IF(TRIM(D117)="-",1,IF(AND(E117="",F117=""),0,IF(N(E117)&gt;N(F117),1,2)))</f>
        <v>2</v>
      </c>
    </row>
    <row r="118" spans="1:11" ht="19.5">
      <c r="A118" s="55" t="s">
        <v>46</v>
      </c>
      <c r="B118" s="43" t="str">
        <f ca="1">Sk.S!$B$10</f>
        <v>19 1. KPK Vrchlabí - Srnský Lubomír</v>
      </c>
      <c r="C118" s="44" t="s">
        <v>117</v>
      </c>
      <c r="D118" s="43" t="str">
        <f ca="1">Sk.S!$E$10</f>
        <v>105 PC Mimo Done - Zikmunda Matěj</v>
      </c>
      <c r="E118" s="161">
        <v>13</v>
      </c>
      <c r="F118" s="161">
        <v>0</v>
      </c>
      <c r="G118" s="364">
        <f ca="1">INDIRECT(ADDRESS(4,A115,1,1,"Hřiště"))</f>
        <v>19</v>
      </c>
      <c r="H118" s="16"/>
      <c r="K118" s="79">
        <f ca="1">IF(TRIM(D118)="-",1,IF(AND(E118="",F118=""),0,IF(N(E118)&gt;N(F118),1,2)))</f>
        <v>1</v>
      </c>
    </row>
    <row r="119" spans="1:11" ht="19.5">
      <c r="A119" s="55" t="s">
        <v>47</v>
      </c>
      <c r="B119" s="43" t="str">
        <f ca="1">Sk.S!$B$11</f>
        <v xml:space="preserve"> - </v>
      </c>
      <c r="C119" s="44" t="s">
        <v>117</v>
      </c>
      <c r="D119" s="43" t="str">
        <f ca="1">Sk.S!$E$11</f>
        <v>68 HAPEK - Burešová Jana</v>
      </c>
      <c r="E119" s="161"/>
      <c r="F119" s="161">
        <v>13</v>
      </c>
      <c r="G119" s="364">
        <f ca="1">INDIRECT(ADDRESS(5,A115,1,1,"Hřiště"))</f>
        <v>19</v>
      </c>
      <c r="H119" s="16"/>
      <c r="K119" s="79">
        <f ca="1">IF(TRIM(D119)="-",1,IF(AND(E119="",F119=""),0,IF(N(E119)&gt;N(F119),1,2)))</f>
        <v>2</v>
      </c>
    </row>
    <row r="120" spans="1:11" ht="20.25" thickBot="1">
      <c r="A120" s="56" t="s">
        <v>48</v>
      </c>
      <c r="B120" s="45" t="str">
        <f ca="1">Sk.S!$B$12</f>
        <v>105 PC Mimo Done - Zikmunda Matěj</v>
      </c>
      <c r="C120" s="44" t="s">
        <v>117</v>
      </c>
      <c r="D120" s="45" t="str">
        <f ca="1">Sk.S!$E$12</f>
        <v>68 HAPEK - Burešová Jana</v>
      </c>
      <c r="E120" s="162">
        <v>13</v>
      </c>
      <c r="F120" s="162">
        <v>6</v>
      </c>
      <c r="G120" s="365">
        <f ca="1">INDIRECT(ADDRESS(4,A115,1,1,"Hřiště"))</f>
        <v>19</v>
      </c>
      <c r="K120" s="79">
        <f ca="1">IF(TRIM(D120)="-",1,IF(AND(E120="",F120=""),0,IF(N(E120)&gt;N(F120),1,2)))</f>
        <v>1</v>
      </c>
    </row>
    <row r="121" spans="1:11" ht="23.25" thickBot="1">
      <c r="A121" s="52">
        <v>20</v>
      </c>
      <c r="B121" s="52"/>
      <c r="C121" s="57" t="s">
        <v>281</v>
      </c>
      <c r="D121" s="52"/>
      <c r="E121" s="248"/>
      <c r="F121" s="248"/>
      <c r="G121" s="53"/>
      <c r="H121" s="16"/>
    </row>
    <row r="122" spans="1:11" ht="19.5">
      <c r="A122" s="54" t="s">
        <v>114</v>
      </c>
      <c r="B122" s="41" t="str">
        <f ca="1">Sk.T!$B$8</f>
        <v>20 SKP Hranice VI-Valšovice - Jakeš Zbyněk</v>
      </c>
      <c r="C122" s="42" t="s">
        <v>117</v>
      </c>
      <c r="D122" s="41" t="str">
        <f ca="1">Sk.T!$E$8</f>
        <v xml:space="preserve"> - </v>
      </c>
      <c r="E122" s="160"/>
      <c r="F122" s="160"/>
      <c r="G122" s="376">
        <f ca="1">INDIRECT(ADDRESS(4,A121,1,1,"Hřiště"))</f>
        <v>20</v>
      </c>
      <c r="H122" s="16"/>
      <c r="I122">
        <v>20</v>
      </c>
      <c r="J122">
        <f>ROW()</f>
        <v>122</v>
      </c>
      <c r="K122" s="79">
        <f ca="1">IF(TRIM(D122)="-",1,IF(AND(E122="",F122=""),0,IF(N(E122)&gt;N(F122),1,2)))</f>
        <v>1</v>
      </c>
    </row>
    <row r="123" spans="1:11" ht="19.5">
      <c r="A123" s="55" t="s">
        <v>115</v>
      </c>
      <c r="B123" s="43" t="str">
        <f ca="1">Sk.T!$B$9</f>
        <v>67 POP Praha - Žárský Kamil</v>
      </c>
      <c r="C123" s="44" t="s">
        <v>117</v>
      </c>
      <c r="D123" s="43" t="str">
        <f ca="1">Sk.T!$E$9</f>
        <v>106 SENIOR TÝM Praha 1 - Blieková Alena</v>
      </c>
      <c r="E123" s="161">
        <v>13</v>
      </c>
      <c r="F123" s="161">
        <v>4</v>
      </c>
      <c r="G123" s="364">
        <f ca="1">INDIRECT(ADDRESS(5,A121,1,1,"Hřiště"))</f>
        <v>20</v>
      </c>
      <c r="H123" s="16"/>
      <c r="K123" s="79">
        <f ca="1">IF(TRIM(D123)="-",1,IF(AND(E123="",F123=""),0,IF(N(E123)&gt;N(F123),1,2)))</f>
        <v>1</v>
      </c>
    </row>
    <row r="124" spans="1:11" ht="19.5">
      <c r="A124" s="55" t="s">
        <v>46</v>
      </c>
      <c r="B124" s="43" t="str">
        <f ca="1">Sk.T!$B$10</f>
        <v>20 SKP Hranice VI-Valšovice - Jakeš Zbyněk</v>
      </c>
      <c r="C124" s="44" t="s">
        <v>117</v>
      </c>
      <c r="D124" s="43" t="str">
        <f ca="1">Sk.T!$E$10</f>
        <v>67 POP Praha - Žárský Kamil</v>
      </c>
      <c r="E124" s="161">
        <v>13</v>
      </c>
      <c r="F124" s="161">
        <v>6</v>
      </c>
      <c r="G124" s="364">
        <f ca="1">INDIRECT(ADDRESS(4,A121,1,1,"Hřiště"))</f>
        <v>20</v>
      </c>
      <c r="H124" s="16"/>
      <c r="K124" s="79">
        <f ca="1">IF(TRIM(D124)="-",1,IF(AND(E124="",F124=""),0,IF(N(E124)&gt;N(F124),1,2)))</f>
        <v>1</v>
      </c>
    </row>
    <row r="125" spans="1:11" ht="19.5">
      <c r="A125" s="55" t="s">
        <v>47</v>
      </c>
      <c r="B125" s="43" t="str">
        <f ca="1">Sk.T!$B$11</f>
        <v xml:space="preserve"> - </v>
      </c>
      <c r="C125" s="44" t="s">
        <v>117</v>
      </c>
      <c r="D125" s="43" t="str">
        <f ca="1">Sk.T!$E$11</f>
        <v>106 SENIOR TÝM Praha 1 - Blieková Alena</v>
      </c>
      <c r="E125" s="161"/>
      <c r="F125" s="161">
        <v>13</v>
      </c>
      <c r="G125" s="364">
        <f ca="1">INDIRECT(ADDRESS(5,A121,1,1,"Hřiště"))</f>
        <v>20</v>
      </c>
      <c r="H125" s="16"/>
      <c r="K125" s="79">
        <f ca="1">IF(TRIM(D125)="-",1,IF(AND(E125="",F125=""),0,IF(N(E125)&gt;N(F125),1,2)))</f>
        <v>2</v>
      </c>
    </row>
    <row r="126" spans="1:11" ht="20.25" thickBot="1">
      <c r="A126" s="56" t="s">
        <v>48</v>
      </c>
      <c r="B126" s="45" t="str">
        <f ca="1">Sk.T!$B$12</f>
        <v>67 POP Praha - Žárský Kamil</v>
      </c>
      <c r="C126" s="44" t="s">
        <v>117</v>
      </c>
      <c r="D126" s="45" t="str">
        <f ca="1">Sk.T!$E$12</f>
        <v>106 SENIOR TÝM Praha 1 - Blieková Alena</v>
      </c>
      <c r="E126" s="162">
        <v>13</v>
      </c>
      <c r="F126" s="162">
        <v>9</v>
      </c>
      <c r="G126" s="365">
        <f ca="1">INDIRECT(ADDRESS(4,A121,1,1,"Hřiště"))</f>
        <v>20</v>
      </c>
      <c r="K126" s="79">
        <f ca="1">IF(TRIM(D126)="-",1,IF(AND(E126="",F126=""),0,IF(N(E126)&gt;N(F126),1,2)))</f>
        <v>1</v>
      </c>
    </row>
    <row r="127" spans="1:11" ht="23.25" thickBot="1">
      <c r="A127" s="52">
        <v>21</v>
      </c>
      <c r="B127" s="52"/>
      <c r="C127" s="57" t="s">
        <v>282</v>
      </c>
      <c r="D127" s="52"/>
      <c r="E127" s="248"/>
      <c r="F127" s="248"/>
      <c r="G127" s="53"/>
      <c r="H127" s="16"/>
    </row>
    <row r="128" spans="1:11" ht="19.5">
      <c r="A128" s="54" t="s">
        <v>114</v>
      </c>
      <c r="B128" s="41" t="str">
        <f ca="1">Sk.U!$B$8</f>
        <v>21 PLUK Jablonec - Lukášová Jana</v>
      </c>
      <c r="C128" s="42" t="s">
        <v>117</v>
      </c>
      <c r="D128" s="41" t="str">
        <f ca="1">Sk.U!$E$8</f>
        <v xml:space="preserve"> - </v>
      </c>
      <c r="E128" s="160"/>
      <c r="F128" s="160"/>
      <c r="G128" s="376">
        <f ca="1">INDIRECT(ADDRESS(4,A127,1,1,"Hřiště"))</f>
        <v>21</v>
      </c>
      <c r="H128" s="16"/>
      <c r="I128">
        <v>21</v>
      </c>
      <c r="J128">
        <f>ROW()</f>
        <v>128</v>
      </c>
      <c r="K128" s="79">
        <f ca="1">IF(TRIM(D128)="-",1,IF(AND(E128="",F128=""),0,IF(N(E128)&gt;N(F128),1,2)))</f>
        <v>1</v>
      </c>
    </row>
    <row r="129" spans="1:11" ht="19.5">
      <c r="A129" s="55" t="s">
        <v>115</v>
      </c>
      <c r="B129" s="43" t="str">
        <f ca="1">Sk.U!$B$9</f>
        <v>66 PK 1293 Vojnův Městec - Fereš Pavel</v>
      </c>
      <c r="C129" s="44" t="s">
        <v>117</v>
      </c>
      <c r="D129" s="43" t="str">
        <f ca="1">Sk.U!$E$9</f>
        <v>107 1. KPK Vrchlabí - Srnský Jakub</v>
      </c>
      <c r="E129" s="161">
        <v>13</v>
      </c>
      <c r="F129" s="161">
        <v>2</v>
      </c>
      <c r="G129" s="364">
        <f ca="1">INDIRECT(ADDRESS(5,A127,1,1,"Hřiště"))</f>
        <v>21</v>
      </c>
      <c r="H129" s="16"/>
      <c r="K129" s="79">
        <f ca="1">IF(TRIM(D129)="-",1,IF(AND(E129="",F129=""),0,IF(N(E129)&gt;N(F129),1,2)))</f>
        <v>1</v>
      </c>
    </row>
    <row r="130" spans="1:11" ht="19.5">
      <c r="A130" s="55" t="s">
        <v>46</v>
      </c>
      <c r="B130" s="43" t="str">
        <f ca="1">Sk.U!$B$10</f>
        <v>21 PLUK Jablonec - Lukášová Jana</v>
      </c>
      <c r="C130" s="44" t="s">
        <v>117</v>
      </c>
      <c r="D130" s="43" t="str">
        <f ca="1">Sk.U!$E$10</f>
        <v>66 PK 1293 Vojnův Městec - Fereš Pavel</v>
      </c>
      <c r="E130" s="161">
        <v>11</v>
      </c>
      <c r="F130" s="161">
        <v>13</v>
      </c>
      <c r="G130" s="364">
        <f ca="1">INDIRECT(ADDRESS(4,A127,1,1,"Hřiště"))</f>
        <v>21</v>
      </c>
      <c r="H130" s="16"/>
      <c r="K130" s="79">
        <f ca="1">IF(TRIM(D130)="-",1,IF(AND(E130="",F130=""),0,IF(N(E130)&gt;N(F130),1,2)))</f>
        <v>2</v>
      </c>
    </row>
    <row r="131" spans="1:11" ht="19.5">
      <c r="A131" s="55" t="s">
        <v>47</v>
      </c>
      <c r="B131" s="43" t="str">
        <f ca="1">Sk.U!$B$11</f>
        <v xml:space="preserve"> - </v>
      </c>
      <c r="C131" s="44" t="s">
        <v>117</v>
      </c>
      <c r="D131" s="43" t="str">
        <f ca="1">Sk.U!$E$11</f>
        <v>107 1. KPK Vrchlabí - Srnský Jakub</v>
      </c>
      <c r="E131" s="161"/>
      <c r="F131" s="161">
        <v>13</v>
      </c>
      <c r="G131" s="364">
        <f ca="1">INDIRECT(ADDRESS(5,A127,1,1,"Hřiště"))</f>
        <v>21</v>
      </c>
      <c r="H131" s="16"/>
      <c r="K131" s="79">
        <f ca="1">IF(TRIM(D131)="-",1,IF(AND(E131="",F131=""),0,IF(N(E131)&gt;N(F131),1,2)))</f>
        <v>2</v>
      </c>
    </row>
    <row r="132" spans="1:11" ht="20.25" thickBot="1">
      <c r="A132" s="56" t="s">
        <v>48</v>
      </c>
      <c r="B132" s="45" t="str">
        <f ca="1">Sk.U!$B$12</f>
        <v>21 PLUK Jablonec - Lukášová Jana</v>
      </c>
      <c r="C132" s="44" t="s">
        <v>117</v>
      </c>
      <c r="D132" s="45" t="str">
        <f ca="1">Sk.U!$E$12</f>
        <v>107 1. KPK Vrchlabí - Srnský Jakub</v>
      </c>
      <c r="E132" s="162">
        <v>13</v>
      </c>
      <c r="F132" s="162">
        <v>6</v>
      </c>
      <c r="G132" s="365">
        <f ca="1">INDIRECT(ADDRESS(4,A127,1,1,"Hřiště"))</f>
        <v>21</v>
      </c>
      <c r="K132" s="79">
        <f ca="1">IF(TRIM(D132)="-",1,IF(AND(E132="",F132=""),0,IF(N(E132)&gt;N(F132),1,2)))</f>
        <v>1</v>
      </c>
    </row>
    <row r="133" spans="1:11" ht="23.25" thickBot="1">
      <c r="A133" s="52">
        <v>22</v>
      </c>
      <c r="B133" s="52"/>
      <c r="C133" s="57" t="s">
        <v>283</v>
      </c>
      <c r="D133" s="52"/>
      <c r="E133" s="248"/>
      <c r="F133" s="248"/>
      <c r="G133" s="53"/>
      <c r="H133" s="16"/>
    </row>
    <row r="134" spans="1:11" ht="19.5">
      <c r="A134" s="54" t="s">
        <v>114</v>
      </c>
      <c r="B134" s="41" t="str">
        <f ca="1">Sk.V!$B$8</f>
        <v>22 UBU Únětice - Fuksa Petr</v>
      </c>
      <c r="C134" s="42" t="s">
        <v>117</v>
      </c>
      <c r="D134" s="41" t="str">
        <f ca="1">Sk.V!$E$8</f>
        <v xml:space="preserve"> - </v>
      </c>
      <c r="E134" s="160"/>
      <c r="F134" s="160"/>
      <c r="G134" s="376">
        <f ca="1">INDIRECT(ADDRESS(4,A133,1,1,"Hřiště"))</f>
        <v>22</v>
      </c>
      <c r="H134" s="16"/>
      <c r="I134">
        <v>22</v>
      </c>
      <c r="J134">
        <f>ROW()</f>
        <v>134</v>
      </c>
      <c r="K134" s="79">
        <f ca="1">IF(TRIM(D134)="-",1,IF(AND(E134="",F134=""),0,IF(N(E134)&gt;N(F134),1,2)))</f>
        <v>1</v>
      </c>
    </row>
    <row r="135" spans="1:11" ht="19.5">
      <c r="A135" s="55" t="s">
        <v>115</v>
      </c>
      <c r="B135" s="43" t="str">
        <f ca="1">Sk.V!$B$9</f>
        <v>65 Sokol Kostomlaty - Vaníčková Alena</v>
      </c>
      <c r="C135" s="44" t="s">
        <v>117</v>
      </c>
      <c r="D135" s="43" t="str">
        <f ca="1">Sk.V!$E$9</f>
        <v>108 Bowle 09 Klatovy - Hůrka Jindřich</v>
      </c>
      <c r="E135" s="161">
        <v>13</v>
      </c>
      <c r="F135" s="161">
        <v>7</v>
      </c>
      <c r="G135" s="364">
        <f ca="1">INDIRECT(ADDRESS(5,A133,1,1,"Hřiště"))</f>
        <v>22</v>
      </c>
      <c r="H135" s="16"/>
      <c r="K135" s="79">
        <f ca="1">IF(TRIM(D135)="-",1,IF(AND(E135="",F135=""),0,IF(N(E135)&gt;N(F135),1,2)))</f>
        <v>1</v>
      </c>
    </row>
    <row r="136" spans="1:11" ht="19.5">
      <c r="A136" s="55" t="s">
        <v>46</v>
      </c>
      <c r="B136" s="43" t="str">
        <f ca="1">Sk.V!$B$10</f>
        <v>22 UBU Únětice - Fuksa Petr</v>
      </c>
      <c r="C136" s="44" t="s">
        <v>117</v>
      </c>
      <c r="D136" s="43" t="str">
        <f ca="1">Sk.V!$E$10</f>
        <v>65 Sokol Kostomlaty - Vaníčková Alena</v>
      </c>
      <c r="E136" s="161">
        <v>8</v>
      </c>
      <c r="F136" s="161">
        <v>13</v>
      </c>
      <c r="G136" s="364">
        <f ca="1">INDIRECT(ADDRESS(4,A133,1,1,"Hřiště"))</f>
        <v>22</v>
      </c>
      <c r="H136" s="16"/>
      <c r="K136" s="79">
        <f ca="1">IF(TRIM(D136)="-",1,IF(AND(E136="",F136=""),0,IF(N(E136)&gt;N(F136),1,2)))</f>
        <v>2</v>
      </c>
    </row>
    <row r="137" spans="1:11" ht="19.5">
      <c r="A137" s="55" t="s">
        <v>47</v>
      </c>
      <c r="B137" s="43" t="str">
        <f ca="1">Sk.V!$B$11</f>
        <v xml:space="preserve"> - </v>
      </c>
      <c r="C137" s="44" t="s">
        <v>117</v>
      </c>
      <c r="D137" s="43" t="str">
        <f ca="1">Sk.V!$E$11</f>
        <v>108 Bowle 09 Klatovy - Hůrka Jindřich</v>
      </c>
      <c r="E137" s="161"/>
      <c r="F137" s="161">
        <v>13</v>
      </c>
      <c r="G137" s="364">
        <f ca="1">INDIRECT(ADDRESS(5,A133,1,1,"Hřiště"))</f>
        <v>22</v>
      </c>
      <c r="H137" s="16"/>
      <c r="K137" s="79">
        <f ca="1">IF(TRIM(D137)="-",1,IF(AND(E137="",F137=""),0,IF(N(E137)&gt;N(F137),1,2)))</f>
        <v>2</v>
      </c>
    </row>
    <row r="138" spans="1:11" ht="20.25" thickBot="1">
      <c r="A138" s="56" t="s">
        <v>48</v>
      </c>
      <c r="B138" s="45" t="str">
        <f ca="1">Sk.V!$B$12</f>
        <v>22 UBU Únětice - Fuksa Petr</v>
      </c>
      <c r="C138" s="44" t="s">
        <v>117</v>
      </c>
      <c r="D138" s="45" t="str">
        <f ca="1">Sk.V!$E$12</f>
        <v>108 Bowle 09 Klatovy - Hůrka Jindřich</v>
      </c>
      <c r="E138" s="162">
        <v>13</v>
      </c>
      <c r="F138" s="162">
        <v>7</v>
      </c>
      <c r="G138" s="365">
        <f ca="1">INDIRECT(ADDRESS(4,A133,1,1,"Hřiště"))</f>
        <v>22</v>
      </c>
      <c r="K138" s="79">
        <f ca="1">IF(TRIM(D138)="-",1,IF(AND(E138="",F138=""),0,IF(N(E138)&gt;N(F138),1,2)))</f>
        <v>1</v>
      </c>
    </row>
    <row r="139" spans="1:11" ht="23.25" thickBot="1">
      <c r="A139" s="52">
        <v>23</v>
      </c>
      <c r="B139" s="52"/>
      <c r="C139" s="57" t="s">
        <v>284</v>
      </c>
      <c r="D139" s="52"/>
      <c r="E139" s="248"/>
      <c r="F139" s="248"/>
      <c r="G139" s="53"/>
      <c r="H139" s="16"/>
    </row>
    <row r="140" spans="1:11" ht="19.5">
      <c r="A140" s="54" t="s">
        <v>114</v>
      </c>
      <c r="B140" s="41" t="str">
        <f ca="1">Sk.W!$B$8</f>
        <v>23 Kulový blesk Olomouc - Konečná Jana</v>
      </c>
      <c r="C140" s="42" t="s">
        <v>117</v>
      </c>
      <c r="D140" s="41" t="str">
        <f ca="1">Sk.W!$E$8</f>
        <v xml:space="preserve"> - </v>
      </c>
      <c r="E140" s="160"/>
      <c r="F140" s="160"/>
      <c r="G140" s="376">
        <f ca="1">INDIRECT(ADDRESS(4,A139,1,1,"Hřiště"))</f>
        <v>23</v>
      </c>
      <c r="H140" s="16"/>
      <c r="I140">
        <v>23</v>
      </c>
      <c r="J140">
        <f>ROW()</f>
        <v>140</v>
      </c>
      <c r="K140" s="79">
        <f ca="1">IF(TRIM(D140)="-",1,IF(AND(E140="",F140=""),0,IF(N(E140)&gt;N(F140),1,2)))</f>
        <v>1</v>
      </c>
    </row>
    <row r="141" spans="1:11" ht="19.5">
      <c r="A141" s="55" t="s">
        <v>115</v>
      </c>
      <c r="B141" s="43" t="str">
        <f ca="1">Sk.W!$B$9</f>
        <v>64 SK Pétanque Řepy - Ptáček Miroslav</v>
      </c>
      <c r="C141" s="44" t="s">
        <v>117</v>
      </c>
      <c r="D141" s="43" t="str">
        <f ca="1">Sk.W!$E$9</f>
        <v>109 JAPKO - Stejskal Petr</v>
      </c>
      <c r="E141" s="161">
        <v>13</v>
      </c>
      <c r="F141" s="161">
        <v>8</v>
      </c>
      <c r="G141" s="364">
        <f ca="1">INDIRECT(ADDRESS(5,A139,1,1,"Hřiště"))</f>
        <v>23</v>
      </c>
      <c r="H141" s="16"/>
      <c r="K141" s="79">
        <f ca="1">IF(TRIM(D141)="-",1,IF(AND(E141="",F141=""),0,IF(N(E141)&gt;N(F141),1,2)))</f>
        <v>1</v>
      </c>
    </row>
    <row r="142" spans="1:11" ht="19.5">
      <c r="A142" s="55" t="s">
        <v>46</v>
      </c>
      <c r="B142" s="43" t="str">
        <f ca="1">Sk.W!$B$10</f>
        <v>23 Kulový blesk Olomouc - Konečná Jana</v>
      </c>
      <c r="C142" s="44" t="s">
        <v>117</v>
      </c>
      <c r="D142" s="43" t="str">
        <f ca="1">Sk.W!$E$10</f>
        <v>64 SK Pétanque Řepy - Ptáček Miroslav</v>
      </c>
      <c r="E142" s="161">
        <v>13</v>
      </c>
      <c r="F142" s="161">
        <v>6</v>
      </c>
      <c r="G142" s="364">
        <f ca="1">INDIRECT(ADDRESS(4,A139,1,1,"Hřiště"))</f>
        <v>23</v>
      </c>
      <c r="H142" s="16"/>
      <c r="K142" s="79">
        <f ca="1">IF(TRIM(D142)="-",1,IF(AND(E142="",F142=""),0,IF(N(E142)&gt;N(F142),1,2)))</f>
        <v>1</v>
      </c>
    </row>
    <row r="143" spans="1:11" ht="19.5">
      <c r="A143" s="55" t="s">
        <v>47</v>
      </c>
      <c r="B143" s="43" t="str">
        <f ca="1">Sk.W!$B$11</f>
        <v xml:space="preserve"> - </v>
      </c>
      <c r="C143" s="44" t="s">
        <v>117</v>
      </c>
      <c r="D143" s="43" t="str">
        <f ca="1">Sk.W!$E$11</f>
        <v>109 JAPKO - Stejskal Petr</v>
      </c>
      <c r="E143" s="161"/>
      <c r="F143" s="161">
        <v>13</v>
      </c>
      <c r="G143" s="364">
        <f ca="1">INDIRECT(ADDRESS(5,A139,1,1,"Hřiště"))</f>
        <v>23</v>
      </c>
      <c r="H143" s="16"/>
      <c r="K143" s="79">
        <f ca="1">IF(TRIM(D143)="-",1,IF(AND(E143="",F143=""),0,IF(N(E143)&gt;N(F143),1,2)))</f>
        <v>2</v>
      </c>
    </row>
    <row r="144" spans="1:11" ht="20.25" thickBot="1">
      <c r="A144" s="56" t="s">
        <v>48</v>
      </c>
      <c r="B144" s="45" t="str">
        <f ca="1">Sk.W!$B$12</f>
        <v>64 SK Pétanque Řepy - Ptáček Miroslav</v>
      </c>
      <c r="C144" s="44" t="s">
        <v>117</v>
      </c>
      <c r="D144" s="45" t="str">
        <f ca="1">Sk.W!$E$12</f>
        <v>109 JAPKO - Stejskal Petr</v>
      </c>
      <c r="E144" s="162">
        <v>9</v>
      </c>
      <c r="F144" s="162">
        <v>13</v>
      </c>
      <c r="G144" s="365">
        <f ca="1">INDIRECT(ADDRESS(4,A139,1,1,"Hřiště"))</f>
        <v>23</v>
      </c>
      <c r="K144" s="79">
        <f ca="1">IF(TRIM(D144)="-",1,IF(AND(E144="",F144=""),0,IF(N(E144)&gt;N(F144),1,2)))</f>
        <v>2</v>
      </c>
    </row>
    <row r="145" spans="1:11" ht="23.25" thickBot="1">
      <c r="A145" s="52">
        <v>24</v>
      </c>
      <c r="B145" s="52"/>
      <c r="C145" s="57" t="s">
        <v>285</v>
      </c>
      <c r="D145" s="52"/>
      <c r="E145" s="248"/>
      <c r="F145" s="248"/>
      <c r="G145" s="53"/>
      <c r="H145" s="16"/>
    </row>
    <row r="146" spans="1:11" ht="19.5">
      <c r="A146" s="54" t="s">
        <v>114</v>
      </c>
      <c r="B146" s="41" t="str">
        <f ca="1">Sk.X!$B$8</f>
        <v>24 TOP - ORLOVÁ - Ulmann Jiří</v>
      </c>
      <c r="C146" s="42" t="s">
        <v>117</v>
      </c>
      <c r="D146" s="41" t="str">
        <f ca="1">Sk.X!$E$8</f>
        <v xml:space="preserve"> - </v>
      </c>
      <c r="E146" s="160"/>
      <c r="F146" s="160"/>
      <c r="G146" s="376">
        <f ca="1">INDIRECT(ADDRESS(4,A145,1,1,"Hřiště"))</f>
        <v>24</v>
      </c>
      <c r="H146" s="16"/>
      <c r="I146">
        <v>24</v>
      </c>
      <c r="J146">
        <f>ROW()</f>
        <v>146</v>
      </c>
      <c r="K146" s="79">
        <f ca="1">IF(TRIM(D146)="-",1,IF(AND(E146="",F146=""),0,IF(N(E146)&gt;N(F146),1,2)))</f>
        <v>1</v>
      </c>
    </row>
    <row r="147" spans="1:11" ht="19.5">
      <c r="A147" s="55" t="s">
        <v>115</v>
      </c>
      <c r="B147" s="43" t="str">
        <f ca="1">Sk.X!$B$9</f>
        <v>63 HRODE KRUMSÍN - Karásek Jiří</v>
      </c>
      <c r="C147" s="44" t="s">
        <v>117</v>
      </c>
      <c r="D147" s="43" t="str">
        <f ca="1">Sk.X!$E$9</f>
        <v>110 PK Polouvsí - Valošková Sára</v>
      </c>
      <c r="E147" s="161">
        <v>10</v>
      </c>
      <c r="F147" s="161">
        <v>13</v>
      </c>
      <c r="G147" s="364">
        <f ca="1">INDIRECT(ADDRESS(5,A145,1,1,"Hřiště"))</f>
        <v>24</v>
      </c>
      <c r="H147" s="16"/>
      <c r="K147" s="79">
        <f ca="1">IF(TRIM(D147)="-",1,IF(AND(E147="",F147=""),0,IF(N(E147)&gt;N(F147),1,2)))</f>
        <v>2</v>
      </c>
    </row>
    <row r="148" spans="1:11" ht="19.5">
      <c r="A148" s="55" t="s">
        <v>46</v>
      </c>
      <c r="B148" s="43" t="str">
        <f ca="1">Sk.X!$B$10</f>
        <v>24 TOP - ORLOVÁ - Ulmann Jiří</v>
      </c>
      <c r="C148" s="44" t="s">
        <v>117</v>
      </c>
      <c r="D148" s="43" t="str">
        <f ca="1">Sk.X!$E$10</f>
        <v>110 PK Polouvsí - Valošková Sára</v>
      </c>
      <c r="E148" s="161">
        <v>11</v>
      </c>
      <c r="F148" s="161">
        <v>13</v>
      </c>
      <c r="G148" s="364">
        <f ca="1">INDIRECT(ADDRESS(4,A145,1,1,"Hřiště"))</f>
        <v>24</v>
      </c>
      <c r="H148" s="16"/>
      <c r="K148" s="79">
        <f ca="1">IF(TRIM(D148)="-",1,IF(AND(E148="",F148=""),0,IF(N(E148)&gt;N(F148),1,2)))</f>
        <v>2</v>
      </c>
    </row>
    <row r="149" spans="1:11" ht="19.5">
      <c r="A149" s="55" t="s">
        <v>47</v>
      </c>
      <c r="B149" s="43" t="str">
        <f ca="1">Sk.X!$B$11</f>
        <v xml:space="preserve"> - </v>
      </c>
      <c r="C149" s="44" t="s">
        <v>117</v>
      </c>
      <c r="D149" s="43" t="str">
        <f ca="1">Sk.X!$E$11</f>
        <v>63 HRODE KRUMSÍN - Karásek Jiří</v>
      </c>
      <c r="E149" s="161"/>
      <c r="F149" s="161">
        <v>13</v>
      </c>
      <c r="G149" s="364">
        <f ca="1">INDIRECT(ADDRESS(5,A145,1,1,"Hřiště"))</f>
        <v>24</v>
      </c>
      <c r="H149" s="16"/>
      <c r="K149" s="79">
        <f ca="1">IF(TRIM(D149)="-",1,IF(AND(E149="",F149=""),0,IF(N(E149)&gt;N(F149),1,2)))</f>
        <v>2</v>
      </c>
    </row>
    <row r="150" spans="1:11" ht="20.25" thickBot="1">
      <c r="A150" s="56" t="s">
        <v>48</v>
      </c>
      <c r="B150" s="45" t="str">
        <f ca="1">Sk.X!$B$12</f>
        <v>24 TOP - ORLOVÁ - Ulmann Jiří</v>
      </c>
      <c r="C150" s="44" t="s">
        <v>117</v>
      </c>
      <c r="D150" s="45" t="str">
        <f ca="1">Sk.X!$E$12</f>
        <v>63 HRODE KRUMSÍN - Karásek Jiří</v>
      </c>
      <c r="E150" s="162">
        <v>13</v>
      </c>
      <c r="F150" s="162">
        <v>9</v>
      </c>
      <c r="G150" s="365">
        <f ca="1">INDIRECT(ADDRESS(4,A145,1,1,"Hřiště"))</f>
        <v>24</v>
      </c>
      <c r="K150" s="79">
        <f ca="1">IF(TRIM(D150)="-",1,IF(AND(E150="",F150=""),0,IF(N(E150)&gt;N(F150),1,2)))</f>
        <v>1</v>
      </c>
    </row>
    <row r="151" spans="1:11" ht="23.25" thickBot="1">
      <c r="A151" s="52">
        <v>25</v>
      </c>
      <c r="B151" s="52"/>
      <c r="C151" s="57" t="s">
        <v>286</v>
      </c>
      <c r="D151" s="52"/>
      <c r="E151" s="248"/>
      <c r="F151" s="248"/>
      <c r="G151" s="53"/>
      <c r="H151" s="16"/>
    </row>
    <row r="152" spans="1:11" ht="19.5">
      <c r="A152" s="54" t="s">
        <v>114</v>
      </c>
      <c r="B152" s="41" t="str">
        <f ca="1">Sk.Y!$B$8</f>
        <v>25 Club Rodamiento - Dlouhá Ivana</v>
      </c>
      <c r="C152" s="42" t="s">
        <v>117</v>
      </c>
      <c r="D152" s="41" t="str">
        <f ca="1">Sk.Y!$E$8</f>
        <v xml:space="preserve"> - </v>
      </c>
      <c r="E152" s="160"/>
      <c r="F152" s="160"/>
      <c r="G152" s="376">
        <f ca="1">INDIRECT(ADDRESS(4,A151,1,1,"Hřiště"))</f>
        <v>25</v>
      </c>
      <c r="H152" s="16"/>
      <c r="I152">
        <v>25</v>
      </c>
      <c r="J152">
        <f>ROW()</f>
        <v>152</v>
      </c>
      <c r="K152" s="79">
        <f ca="1">IF(TRIM(D152)="-",1,IF(AND(E152="",F152=""),0,IF(N(E152)&gt;N(F152),1,2)))</f>
        <v>1</v>
      </c>
    </row>
    <row r="153" spans="1:11" ht="19.5">
      <c r="A153" s="55" t="s">
        <v>115</v>
      </c>
      <c r="B153" s="43" t="str">
        <f ca="1">Sk.Y!$B$9</f>
        <v>62 Carreau Brno - Grepl Jiří</v>
      </c>
      <c r="C153" s="44" t="s">
        <v>117</v>
      </c>
      <c r="D153" s="43" t="str">
        <f ca="1">Sk.Y!$E$9</f>
        <v>111 Bowle 09 Klatovy - Hůrková Lucie</v>
      </c>
      <c r="E153" s="161">
        <v>13</v>
      </c>
      <c r="F153" s="161">
        <v>5</v>
      </c>
      <c r="G153" s="364">
        <f ca="1">INDIRECT(ADDRESS(5,A151,1,1,"Hřiště"))</f>
        <v>25</v>
      </c>
      <c r="H153" s="16"/>
      <c r="K153" s="79">
        <f ca="1">IF(TRIM(D153)="-",1,IF(AND(E153="",F153=""),0,IF(N(E153)&gt;N(F153),1,2)))</f>
        <v>1</v>
      </c>
    </row>
    <row r="154" spans="1:11" ht="19.5">
      <c r="A154" s="55" t="s">
        <v>46</v>
      </c>
      <c r="B154" s="43" t="str">
        <f ca="1">Sk.Y!$B$10</f>
        <v>25 Club Rodamiento - Dlouhá Ivana</v>
      </c>
      <c r="C154" s="44" t="s">
        <v>117</v>
      </c>
      <c r="D154" s="43" t="str">
        <f ca="1">Sk.Y!$E$10</f>
        <v>62 Carreau Brno - Grepl Jiří</v>
      </c>
      <c r="E154" s="161">
        <v>4</v>
      </c>
      <c r="F154" s="161">
        <v>13</v>
      </c>
      <c r="G154" s="364">
        <f ca="1">INDIRECT(ADDRESS(4,A151,1,1,"Hřiště"))</f>
        <v>25</v>
      </c>
      <c r="H154" s="16"/>
      <c r="K154" s="79">
        <f ca="1">IF(TRIM(D154)="-",1,IF(AND(E154="",F154=""),0,IF(N(E154)&gt;N(F154),1,2)))</f>
        <v>2</v>
      </c>
    </row>
    <row r="155" spans="1:11" ht="19.5">
      <c r="A155" s="55" t="s">
        <v>47</v>
      </c>
      <c r="B155" s="43" t="str">
        <f ca="1">Sk.Y!$B$11</f>
        <v xml:space="preserve"> - </v>
      </c>
      <c r="C155" s="44" t="s">
        <v>117</v>
      </c>
      <c r="D155" s="43" t="str">
        <f ca="1">Sk.Y!$E$11</f>
        <v>111 Bowle 09 Klatovy - Hůrková Lucie</v>
      </c>
      <c r="E155" s="161"/>
      <c r="F155" s="161">
        <v>13</v>
      </c>
      <c r="G155" s="364">
        <f ca="1">INDIRECT(ADDRESS(5,A151,1,1,"Hřiště"))</f>
        <v>25</v>
      </c>
      <c r="H155" s="16"/>
      <c r="K155" s="79">
        <f ca="1">IF(TRIM(D155)="-",1,IF(AND(E155="",F155=""),0,IF(N(E155)&gt;N(F155),1,2)))</f>
        <v>2</v>
      </c>
    </row>
    <row r="156" spans="1:11" ht="20.25" thickBot="1">
      <c r="A156" s="56" t="s">
        <v>48</v>
      </c>
      <c r="B156" s="45" t="str">
        <f ca="1">Sk.Y!$B$12</f>
        <v>25 Club Rodamiento - Dlouhá Ivana</v>
      </c>
      <c r="C156" s="44" t="s">
        <v>117</v>
      </c>
      <c r="D156" s="45" t="str">
        <f ca="1">Sk.Y!$E$12</f>
        <v>111 Bowle 09 Klatovy - Hůrková Lucie</v>
      </c>
      <c r="E156" s="162">
        <v>13</v>
      </c>
      <c r="F156" s="162">
        <v>5</v>
      </c>
      <c r="G156" s="365">
        <f ca="1">INDIRECT(ADDRESS(4,A151,1,1,"Hřiště"))</f>
        <v>25</v>
      </c>
      <c r="K156" s="79">
        <f ca="1">IF(TRIM(D156)="-",1,IF(AND(E156="",F156=""),0,IF(N(E156)&gt;N(F156),1,2)))</f>
        <v>1</v>
      </c>
    </row>
    <row r="157" spans="1:11" ht="23.25" thickBot="1">
      <c r="A157" s="52">
        <v>26</v>
      </c>
      <c r="B157" s="52"/>
      <c r="C157" s="57" t="s">
        <v>287</v>
      </c>
      <c r="D157" s="52"/>
      <c r="E157" s="248"/>
      <c r="F157" s="248"/>
      <c r="G157" s="53"/>
      <c r="H157" s="16"/>
    </row>
    <row r="158" spans="1:11" ht="19.5">
      <c r="A158" s="54" t="s">
        <v>114</v>
      </c>
      <c r="B158" s="41" t="str">
        <f ca="1">Sk.Z!$B$8</f>
        <v>26 SK Pétanque Řepy - Holoubek Pavel</v>
      </c>
      <c r="C158" s="42" t="s">
        <v>117</v>
      </c>
      <c r="D158" s="41" t="str">
        <f ca="1">Sk.Z!$E$8</f>
        <v xml:space="preserve"> - </v>
      </c>
      <c r="E158" s="160"/>
      <c r="F158" s="160"/>
      <c r="G158" s="376">
        <f ca="1">INDIRECT(ADDRESS(4,A157,1,1,"Hřiště"))</f>
        <v>26</v>
      </c>
      <c r="H158" s="16"/>
      <c r="I158">
        <v>26</v>
      </c>
      <c r="J158">
        <f>ROW()</f>
        <v>158</v>
      </c>
      <c r="K158" s="79">
        <f ca="1">IF(TRIM(D158)="-",1,IF(AND(E158="",F158=""),0,IF(N(E158)&gt;N(F158),1,2)))</f>
        <v>1</v>
      </c>
    </row>
    <row r="159" spans="1:11" ht="19.5">
      <c r="A159" s="55" t="s">
        <v>115</v>
      </c>
      <c r="B159" s="43" t="str">
        <f ca="1">Sk.Z!$B$9</f>
        <v>61 PC Mimo Done - Kára Jan</v>
      </c>
      <c r="C159" s="44" t="s">
        <v>117</v>
      </c>
      <c r="D159" s="43" t="str">
        <f ca="1">Sk.Z!$E$9</f>
        <v>112 SK Sahara Vědomice - Gröschl Zdeněk</v>
      </c>
      <c r="E159" s="161">
        <v>6</v>
      </c>
      <c r="F159" s="161">
        <v>13</v>
      </c>
      <c r="G159" s="364">
        <f ca="1">INDIRECT(ADDRESS(5,A157,1,1,"Hřiště"))</f>
        <v>26</v>
      </c>
      <c r="H159" s="16"/>
      <c r="K159" s="79">
        <f ca="1">IF(TRIM(D159)="-",1,IF(AND(E159="",F159=""),0,IF(N(E159)&gt;N(F159),1,2)))</f>
        <v>2</v>
      </c>
    </row>
    <row r="160" spans="1:11" ht="19.5">
      <c r="A160" s="55" t="s">
        <v>46</v>
      </c>
      <c r="B160" s="43" t="str">
        <f ca="1">Sk.Z!$B$10</f>
        <v>26 SK Pétanque Řepy - Holoubek Pavel</v>
      </c>
      <c r="C160" s="44" t="s">
        <v>117</v>
      </c>
      <c r="D160" s="43" t="str">
        <f ca="1">Sk.Z!$E$10</f>
        <v>112 SK Sahara Vědomice - Gröschl Zdeněk</v>
      </c>
      <c r="E160" s="161">
        <v>10</v>
      </c>
      <c r="F160" s="161">
        <v>13</v>
      </c>
      <c r="G160" s="364">
        <f ca="1">INDIRECT(ADDRESS(4,A157,1,1,"Hřiště"))</f>
        <v>26</v>
      </c>
      <c r="H160" s="16"/>
      <c r="K160" s="79">
        <f ca="1">IF(TRIM(D160)="-",1,IF(AND(E160="",F160=""),0,IF(N(E160)&gt;N(F160),1,2)))</f>
        <v>2</v>
      </c>
    </row>
    <row r="161" spans="1:11" ht="19.5">
      <c r="A161" s="55" t="s">
        <v>47</v>
      </c>
      <c r="B161" s="43" t="str">
        <f ca="1">Sk.Z!$B$11</f>
        <v xml:space="preserve"> - </v>
      </c>
      <c r="C161" s="44" t="s">
        <v>117</v>
      </c>
      <c r="D161" s="43" t="str">
        <f ca="1">Sk.Z!$E$11</f>
        <v>61 PC Mimo Done - Kára Jan</v>
      </c>
      <c r="E161" s="161"/>
      <c r="F161" s="161">
        <v>13</v>
      </c>
      <c r="G161" s="364">
        <f ca="1">INDIRECT(ADDRESS(5,A157,1,1,"Hřiště"))</f>
        <v>26</v>
      </c>
      <c r="H161" s="16"/>
      <c r="K161" s="79">
        <f ca="1">IF(TRIM(D161)="-",1,IF(AND(E161="",F161=""),0,IF(N(E161)&gt;N(F161),1,2)))</f>
        <v>2</v>
      </c>
    </row>
    <row r="162" spans="1:11" ht="20.25" thickBot="1">
      <c r="A162" s="56" t="s">
        <v>48</v>
      </c>
      <c r="B162" s="45" t="str">
        <f ca="1">Sk.Z!$B$12</f>
        <v>26 SK Pétanque Řepy - Holoubek Pavel</v>
      </c>
      <c r="C162" s="44" t="s">
        <v>117</v>
      </c>
      <c r="D162" s="45" t="str">
        <f ca="1">Sk.Z!$E$12</f>
        <v>61 PC Mimo Done - Kára Jan</v>
      </c>
      <c r="E162" s="162">
        <v>13</v>
      </c>
      <c r="F162" s="162">
        <v>9</v>
      </c>
      <c r="G162" s="365">
        <f ca="1">INDIRECT(ADDRESS(4,A157,1,1,"Hřiště"))</f>
        <v>26</v>
      </c>
      <c r="K162" s="79">
        <f ca="1">IF(TRIM(D162)="-",1,IF(AND(E162="",F162=""),0,IF(N(E162)&gt;N(F162),1,2)))</f>
        <v>1</v>
      </c>
    </row>
    <row r="163" spans="1:11" ht="23.25" thickBot="1">
      <c r="A163" s="52">
        <v>27</v>
      </c>
      <c r="B163" s="52"/>
      <c r="C163" s="57" t="s">
        <v>255</v>
      </c>
      <c r="D163" s="52"/>
      <c r="E163" s="248"/>
      <c r="F163" s="248"/>
      <c r="G163" s="53"/>
      <c r="H163" s="16"/>
    </row>
    <row r="164" spans="1:11" ht="19.5">
      <c r="A164" s="54" t="s">
        <v>114</v>
      </c>
      <c r="B164" s="41" t="str">
        <f ca="1">Sk.AA!$B$8</f>
        <v>27 Sokol Kostomlaty - Vlach Jaromír</v>
      </c>
      <c r="C164" s="42" t="s">
        <v>117</v>
      </c>
      <c r="D164" s="41" t="str">
        <f ca="1">Sk.AA!$E$8</f>
        <v xml:space="preserve"> - </v>
      </c>
      <c r="E164" s="160"/>
      <c r="F164" s="160"/>
      <c r="G164" s="376">
        <f ca="1">INDIRECT(ADDRESS(4,A163,1,1,"Hřiště"))</f>
        <v>27</v>
      </c>
      <c r="H164" s="16"/>
      <c r="I164">
        <v>27</v>
      </c>
      <c r="J164">
        <f>ROW()</f>
        <v>164</v>
      </c>
      <c r="K164" s="79">
        <f ca="1">IF(TRIM(D164)="-",1,IF(AND(E164="",F164=""),0,IF(N(E164)&gt;N(F164),1,2)))</f>
        <v>1</v>
      </c>
    </row>
    <row r="165" spans="1:11" ht="19.5">
      <c r="A165" s="55" t="s">
        <v>115</v>
      </c>
      <c r="B165" s="43" t="str">
        <f ca="1">Sk.AA!$B$9</f>
        <v>60 SKP Hranice VI-Valšovice - Svobodová Lenka</v>
      </c>
      <c r="C165" s="44" t="s">
        <v>117</v>
      </c>
      <c r="D165" s="43" t="str">
        <f ca="1">Sk.AA!$E$9</f>
        <v>113 PK Polouvsí - Ondryhal Lukáš</v>
      </c>
      <c r="E165" s="161">
        <v>13</v>
      </c>
      <c r="F165" s="161">
        <v>10</v>
      </c>
      <c r="G165" s="364">
        <f ca="1">INDIRECT(ADDRESS(5,A163,1,1,"Hřiště"))</f>
        <v>27</v>
      </c>
      <c r="H165" s="16"/>
      <c r="K165" s="79">
        <f ca="1">IF(TRIM(D165)="-",1,IF(AND(E165="",F165=""),0,IF(N(E165)&gt;N(F165),1,2)))</f>
        <v>1</v>
      </c>
    </row>
    <row r="166" spans="1:11" ht="19.5">
      <c r="A166" s="55" t="s">
        <v>46</v>
      </c>
      <c r="B166" s="43" t="str">
        <f ca="1">Sk.AA!$B$10</f>
        <v>27 Sokol Kostomlaty - Vlach Jaromír</v>
      </c>
      <c r="C166" s="44" t="s">
        <v>117</v>
      </c>
      <c r="D166" s="43" t="str">
        <f ca="1">Sk.AA!$E$10</f>
        <v>60 SKP Hranice VI-Valšovice - Svobodová Lenka</v>
      </c>
      <c r="E166" s="161">
        <v>13</v>
      </c>
      <c r="F166" s="161">
        <v>8</v>
      </c>
      <c r="G166" s="364">
        <f ca="1">INDIRECT(ADDRESS(4,A163,1,1,"Hřiště"))</f>
        <v>27</v>
      </c>
      <c r="H166" s="16"/>
      <c r="K166" s="79">
        <f ca="1">IF(TRIM(D166)="-",1,IF(AND(E166="",F166=""),0,IF(N(E166)&gt;N(F166),1,2)))</f>
        <v>1</v>
      </c>
    </row>
    <row r="167" spans="1:11" ht="19.5">
      <c r="A167" s="55" t="s">
        <v>47</v>
      </c>
      <c r="B167" s="43" t="str">
        <f ca="1">Sk.AA!$B$11</f>
        <v xml:space="preserve"> - </v>
      </c>
      <c r="C167" s="44" t="s">
        <v>117</v>
      </c>
      <c r="D167" s="43" t="str">
        <f ca="1">Sk.AA!$E$11</f>
        <v>113 PK Polouvsí - Ondryhal Lukáš</v>
      </c>
      <c r="E167" s="161"/>
      <c r="F167" s="161">
        <v>13</v>
      </c>
      <c r="G167" s="364">
        <f ca="1">INDIRECT(ADDRESS(5,A163,1,1,"Hřiště"))</f>
        <v>27</v>
      </c>
      <c r="H167" s="16"/>
      <c r="K167" s="79">
        <f ca="1">IF(TRIM(D167)="-",1,IF(AND(E167="",F167=""),0,IF(N(E167)&gt;N(F167),1,2)))</f>
        <v>2</v>
      </c>
    </row>
    <row r="168" spans="1:11" ht="20.25" thickBot="1">
      <c r="A168" s="56" t="s">
        <v>48</v>
      </c>
      <c r="B168" s="45" t="str">
        <f ca="1">Sk.AA!$B$12</f>
        <v>60 SKP Hranice VI-Valšovice - Svobodová Lenka</v>
      </c>
      <c r="C168" s="44" t="s">
        <v>117</v>
      </c>
      <c r="D168" s="45" t="str">
        <f ca="1">Sk.AA!$E$12</f>
        <v>113 PK Polouvsí - Ondryhal Lukáš</v>
      </c>
      <c r="E168" s="162">
        <v>13</v>
      </c>
      <c r="F168" s="162">
        <v>9</v>
      </c>
      <c r="G168" s="365">
        <f ca="1">INDIRECT(ADDRESS(4,A163,1,1,"Hřiště"))</f>
        <v>27</v>
      </c>
      <c r="K168" s="79">
        <f ca="1">IF(TRIM(D168)="-",1,IF(AND(E168="",F168=""),0,IF(N(E168)&gt;N(F168),1,2)))</f>
        <v>1</v>
      </c>
    </row>
    <row r="169" spans="1:11" ht="23.25" thickBot="1">
      <c r="A169" s="52">
        <v>28</v>
      </c>
      <c r="B169" s="52"/>
      <c r="C169" s="57" t="s">
        <v>256</v>
      </c>
      <c r="D169" s="52"/>
      <c r="E169" s="248"/>
      <c r="F169" s="248"/>
      <c r="G169" s="53"/>
      <c r="H169" s="16"/>
    </row>
    <row r="170" spans="1:11" ht="19.5">
      <c r="A170" s="54" t="s">
        <v>114</v>
      </c>
      <c r="B170" s="41" t="str">
        <f ca="1">Sk.AB!$B$8</f>
        <v>28 SK Pétanque Řepy - Pastorek Jaroslav</v>
      </c>
      <c r="C170" s="42" t="s">
        <v>117</v>
      </c>
      <c r="D170" s="41" t="str">
        <f ca="1">Sk.AB!$E$8</f>
        <v xml:space="preserve"> - </v>
      </c>
      <c r="E170" s="160"/>
      <c r="F170" s="160"/>
      <c r="G170" s="376">
        <f ca="1">INDIRECT(ADDRESS(4,A169,1,1,"Hřiště"))</f>
        <v>28</v>
      </c>
      <c r="H170" s="16"/>
      <c r="I170">
        <v>28</v>
      </c>
      <c r="J170">
        <f>ROW()</f>
        <v>170</v>
      </c>
      <c r="K170" s="79">
        <f ca="1">IF(TRIM(D170)="-",1,IF(AND(E170="",F170=""),0,IF(N(E170)&gt;N(F170),1,2)))</f>
        <v>1</v>
      </c>
    </row>
    <row r="171" spans="1:11" ht="19.5">
      <c r="A171" s="55" t="s">
        <v>115</v>
      </c>
      <c r="B171" s="43" t="str">
        <f ca="1">Sk.AB!$B$9</f>
        <v>59 SKP Kulová osma - Chmelař Ivo</v>
      </c>
      <c r="C171" s="44" t="s">
        <v>117</v>
      </c>
      <c r="D171" s="43" t="str">
        <f ca="1">Sk.AB!$E$9</f>
        <v>114 PCP Lipník - Reinbergrová Václava</v>
      </c>
      <c r="E171" s="161">
        <v>13</v>
      </c>
      <c r="F171" s="161">
        <v>5</v>
      </c>
      <c r="G171" s="364">
        <f ca="1">INDIRECT(ADDRESS(5,A169,1,1,"Hřiště"))</f>
        <v>28</v>
      </c>
      <c r="H171" s="16"/>
      <c r="K171" s="79">
        <f ca="1">IF(TRIM(D171)="-",1,IF(AND(E171="",F171=""),0,IF(N(E171)&gt;N(F171),1,2)))</f>
        <v>1</v>
      </c>
    </row>
    <row r="172" spans="1:11" ht="19.5">
      <c r="A172" s="55" t="s">
        <v>46</v>
      </c>
      <c r="B172" s="43" t="str">
        <f ca="1">Sk.AB!$B$10</f>
        <v>28 SK Pétanque Řepy - Pastorek Jaroslav</v>
      </c>
      <c r="C172" s="44" t="s">
        <v>117</v>
      </c>
      <c r="D172" s="43" t="str">
        <f ca="1">Sk.AB!$E$10</f>
        <v>59 SKP Kulová osma - Chmelař Ivo</v>
      </c>
      <c r="E172" s="161">
        <v>13</v>
      </c>
      <c r="F172" s="161">
        <v>9</v>
      </c>
      <c r="G172" s="364">
        <f ca="1">INDIRECT(ADDRESS(4,A169,1,1,"Hřiště"))</f>
        <v>28</v>
      </c>
      <c r="H172" s="16"/>
      <c r="K172" s="79">
        <f ca="1">IF(TRIM(D172)="-",1,IF(AND(E172="",F172=""),0,IF(N(E172)&gt;N(F172),1,2)))</f>
        <v>1</v>
      </c>
    </row>
    <row r="173" spans="1:11" ht="19.5">
      <c r="A173" s="55" t="s">
        <v>47</v>
      </c>
      <c r="B173" s="43" t="str">
        <f ca="1">Sk.AB!$B$11</f>
        <v xml:space="preserve"> - </v>
      </c>
      <c r="C173" s="44" t="s">
        <v>117</v>
      </c>
      <c r="D173" s="43" t="str">
        <f ca="1">Sk.AB!$E$11</f>
        <v>114 PCP Lipník - Reinbergrová Václava</v>
      </c>
      <c r="E173" s="161"/>
      <c r="F173" s="161">
        <v>13</v>
      </c>
      <c r="G173" s="364">
        <f ca="1">INDIRECT(ADDRESS(5,A169,1,1,"Hřiště"))</f>
        <v>28</v>
      </c>
      <c r="H173" s="16"/>
      <c r="K173" s="79">
        <f ca="1">IF(TRIM(D173)="-",1,IF(AND(E173="",F173=""),0,IF(N(E173)&gt;N(F173),1,2)))</f>
        <v>2</v>
      </c>
    </row>
    <row r="174" spans="1:11" ht="20.25" thickBot="1">
      <c r="A174" s="56" t="s">
        <v>48</v>
      </c>
      <c r="B174" s="45" t="str">
        <f ca="1">Sk.AB!$B$12</f>
        <v>59 SKP Kulová osma - Chmelař Ivo</v>
      </c>
      <c r="C174" s="44" t="s">
        <v>117</v>
      </c>
      <c r="D174" s="45" t="str">
        <f ca="1">Sk.AB!$E$12</f>
        <v>114 PCP Lipník - Reinbergrová Václava</v>
      </c>
      <c r="E174" s="162">
        <v>8</v>
      </c>
      <c r="F174" s="162">
        <v>13</v>
      </c>
      <c r="G174" s="365">
        <f ca="1">INDIRECT(ADDRESS(4,A169,1,1,"Hřiště"))</f>
        <v>28</v>
      </c>
      <c r="K174" s="79">
        <f ca="1">IF(TRIM(D174)="-",1,IF(AND(E174="",F174=""),0,IF(N(E174)&gt;N(F174),1,2)))</f>
        <v>2</v>
      </c>
    </row>
    <row r="175" spans="1:11" ht="23.25" thickBot="1">
      <c r="A175" s="52">
        <v>29</v>
      </c>
      <c r="B175" s="52"/>
      <c r="C175" s="57" t="s">
        <v>257</v>
      </c>
      <c r="D175" s="52"/>
      <c r="E175" s="248"/>
      <c r="F175" s="248"/>
      <c r="G175" s="53"/>
      <c r="H175" s="16"/>
    </row>
    <row r="176" spans="1:11" ht="19.5">
      <c r="A176" s="54" t="s">
        <v>114</v>
      </c>
      <c r="B176" s="41" t="str">
        <f ca="1">Sk.AC!$B$8</f>
        <v>29 PC Sokol Lipník - Froňková Blanka</v>
      </c>
      <c r="C176" s="42" t="s">
        <v>117</v>
      </c>
      <c r="D176" s="41" t="str">
        <f ca="1">Sk.AC!$E$8</f>
        <v xml:space="preserve"> - </v>
      </c>
      <c r="E176" s="160"/>
      <c r="F176" s="160"/>
      <c r="G176" s="376">
        <f ca="1">INDIRECT(ADDRESS(4,A175,1,1,"Hřiště"))</f>
        <v>29</v>
      </c>
      <c r="H176" s="16"/>
      <c r="I176">
        <v>29</v>
      </c>
      <c r="J176">
        <f>ROW()</f>
        <v>176</v>
      </c>
      <c r="K176" s="79">
        <f ca="1">IF(TRIM(D176)="-",1,IF(AND(E176="",F176=""),0,IF(N(E176)&gt;N(F176),1,2)))</f>
        <v>1</v>
      </c>
    </row>
    <row r="177" spans="1:11" ht="19.5">
      <c r="A177" s="55" t="s">
        <v>115</v>
      </c>
      <c r="B177" s="43" t="str">
        <f ca="1">Sk.AC!$B$9</f>
        <v>58 PC Sokol Lipník - Fafek Petr</v>
      </c>
      <c r="C177" s="44" t="s">
        <v>117</v>
      </c>
      <c r="D177" s="43" t="str">
        <f ca="1">Sk.AC!$E$9</f>
        <v>115 SK Pétanque Řepy - Křížek Evžen</v>
      </c>
      <c r="E177" s="161">
        <v>13</v>
      </c>
      <c r="F177" s="161">
        <v>0</v>
      </c>
      <c r="G177" s="364">
        <f ca="1">INDIRECT(ADDRESS(5,A175,1,1,"Hřiště"))</f>
        <v>29</v>
      </c>
      <c r="H177" s="16"/>
      <c r="K177" s="79">
        <f ca="1">IF(TRIM(D177)="-",1,IF(AND(E177="",F177=""),0,IF(N(E177)&gt;N(F177),1,2)))</f>
        <v>1</v>
      </c>
    </row>
    <row r="178" spans="1:11" ht="19.5">
      <c r="A178" s="55" t="s">
        <v>46</v>
      </c>
      <c r="B178" s="43" t="str">
        <f ca="1">Sk.AC!$B$10</f>
        <v>29 PC Sokol Lipník - Froňková Blanka</v>
      </c>
      <c r="C178" s="44" t="s">
        <v>117</v>
      </c>
      <c r="D178" s="43" t="str">
        <f ca="1">Sk.AC!$E$10</f>
        <v>58 PC Sokol Lipník - Fafek Petr</v>
      </c>
      <c r="E178" s="161">
        <v>9</v>
      </c>
      <c r="F178" s="161">
        <v>13</v>
      </c>
      <c r="G178" s="364">
        <f ca="1">INDIRECT(ADDRESS(4,A175,1,1,"Hřiště"))</f>
        <v>29</v>
      </c>
      <c r="H178" s="16"/>
      <c r="K178" s="79">
        <f ca="1">IF(TRIM(D178)="-",1,IF(AND(E178="",F178=""),0,IF(N(E178)&gt;N(F178),1,2)))</f>
        <v>2</v>
      </c>
    </row>
    <row r="179" spans="1:11" ht="19.5">
      <c r="A179" s="55" t="s">
        <v>47</v>
      </c>
      <c r="B179" s="43" t="str">
        <f ca="1">Sk.AC!$B$11</f>
        <v xml:space="preserve"> - </v>
      </c>
      <c r="C179" s="44" t="s">
        <v>117</v>
      </c>
      <c r="D179" s="43" t="str">
        <f ca="1">Sk.AC!$E$11</f>
        <v>115 SK Pétanque Řepy - Křížek Evžen</v>
      </c>
      <c r="E179" s="161"/>
      <c r="F179" s="161">
        <v>13</v>
      </c>
      <c r="G179" s="364">
        <f ca="1">INDIRECT(ADDRESS(5,A175,1,1,"Hřiště"))</f>
        <v>29</v>
      </c>
      <c r="H179" s="16"/>
      <c r="K179" s="79">
        <f ca="1">IF(TRIM(D179)="-",1,IF(AND(E179="",F179=""),0,IF(N(E179)&gt;N(F179),1,2)))</f>
        <v>2</v>
      </c>
    </row>
    <row r="180" spans="1:11" ht="20.25" thickBot="1">
      <c r="A180" s="56" t="s">
        <v>48</v>
      </c>
      <c r="B180" s="45" t="str">
        <f ca="1">Sk.AC!$B$12</f>
        <v>29 PC Sokol Lipník - Froňková Blanka</v>
      </c>
      <c r="C180" s="44" t="s">
        <v>117</v>
      </c>
      <c r="D180" s="45" t="str">
        <f ca="1">Sk.AC!$E$12</f>
        <v>115 SK Pétanque Řepy - Křížek Evžen</v>
      </c>
      <c r="E180" s="162">
        <v>13</v>
      </c>
      <c r="F180" s="162">
        <v>5</v>
      </c>
      <c r="G180" s="365">
        <f ca="1">INDIRECT(ADDRESS(4,A175,1,1,"Hřiště"))</f>
        <v>29</v>
      </c>
      <c r="K180" s="79">
        <f ca="1">IF(TRIM(D180)="-",1,IF(AND(E180="",F180=""),0,IF(N(E180)&gt;N(F180),1,2)))</f>
        <v>1</v>
      </c>
    </row>
    <row r="181" spans="1:11" ht="23.25" thickBot="1">
      <c r="A181" s="52">
        <v>30</v>
      </c>
      <c r="B181" s="52"/>
      <c r="C181" s="57" t="s">
        <v>258</v>
      </c>
      <c r="D181" s="52"/>
      <c r="E181" s="248"/>
      <c r="F181" s="248"/>
      <c r="G181" s="53"/>
      <c r="H181" s="16"/>
    </row>
    <row r="182" spans="1:11" ht="19.5">
      <c r="A182" s="54" t="s">
        <v>114</v>
      </c>
      <c r="B182" s="41" t="str">
        <f ca="1">Sk.AD!$B$8</f>
        <v>30 POP Praha - Resl Jan</v>
      </c>
      <c r="C182" s="42" t="s">
        <v>117</v>
      </c>
      <c r="D182" s="41" t="str">
        <f ca="1">Sk.AD!$E$8</f>
        <v>143 PEK Stolín - Geisler Dan</v>
      </c>
      <c r="E182" s="160">
        <v>13</v>
      </c>
      <c r="F182" s="160">
        <v>3</v>
      </c>
      <c r="G182" s="376">
        <f ca="1">INDIRECT(ADDRESS(4,A181,1,1,"Hřiště"))</f>
        <v>30</v>
      </c>
      <c r="H182" s="16"/>
      <c r="I182">
        <v>30</v>
      </c>
      <c r="J182">
        <f>ROW()</f>
        <v>182</v>
      </c>
      <c r="K182" s="79">
        <f ca="1">IF(TRIM(D182)="-",1,IF(AND(E182="",F182=""),0,IF(N(E182)&gt;N(F182),1,2)))</f>
        <v>1</v>
      </c>
    </row>
    <row r="183" spans="1:11" ht="19.5">
      <c r="A183" s="55" t="s">
        <v>115</v>
      </c>
      <c r="B183" s="43" t="str">
        <f ca="1">Sk.AD!$B$9</f>
        <v>57 SKP Hranice VI-Valšovice - Kutá Miloslava</v>
      </c>
      <c r="C183" s="44" t="s">
        <v>117</v>
      </c>
      <c r="D183" s="43" t="str">
        <f ca="1">Sk.AD!$E$9</f>
        <v>116 SK Pétanque Řepy - Procházka Josef</v>
      </c>
      <c r="E183" s="161">
        <v>13</v>
      </c>
      <c r="F183" s="161">
        <v>11</v>
      </c>
      <c r="G183" s="364">
        <f ca="1">INDIRECT(ADDRESS(5,A181,1,1,"Hřiště"))</f>
        <v>31</v>
      </c>
      <c r="H183" s="16"/>
      <c r="K183" s="79">
        <f ca="1">IF(TRIM(D183)="-",1,IF(AND(E183="",F183=""),0,IF(N(E183)&gt;N(F183),1,2)))</f>
        <v>1</v>
      </c>
    </row>
    <row r="184" spans="1:11" ht="19.5">
      <c r="A184" s="55" t="s">
        <v>46</v>
      </c>
      <c r="B184" s="43" t="str">
        <f ca="1">Sk.AD!$B$10</f>
        <v>30 POP Praha - Resl Jan</v>
      </c>
      <c r="C184" s="44" t="s">
        <v>117</v>
      </c>
      <c r="D184" s="43" t="str">
        <f ca="1">Sk.AD!$E$10</f>
        <v>57 SKP Hranice VI-Valšovice - Kutá Miloslava</v>
      </c>
      <c r="E184" s="161">
        <v>13</v>
      </c>
      <c r="F184" s="161">
        <v>8</v>
      </c>
      <c r="G184" s="364">
        <f ca="1">INDIRECT(ADDRESS(4,A181,1,1,"Hřiště"))</f>
        <v>30</v>
      </c>
      <c r="H184" s="16"/>
      <c r="K184" s="79">
        <f ca="1">IF(TRIM(D184)="-",1,IF(AND(E184="",F184=""),0,IF(N(E184)&gt;N(F184),1,2)))</f>
        <v>1</v>
      </c>
    </row>
    <row r="185" spans="1:11" ht="19.5">
      <c r="A185" s="55" t="s">
        <v>47</v>
      </c>
      <c r="B185" s="43" t="str">
        <f ca="1">Sk.AD!$B$11</f>
        <v>143 PEK Stolín - Geisler Dan</v>
      </c>
      <c r="C185" s="44" t="s">
        <v>117</v>
      </c>
      <c r="D185" s="43" t="str">
        <f ca="1">Sk.AD!$E$11</f>
        <v>116 SK Pétanque Řepy - Procházka Josef</v>
      </c>
      <c r="E185" s="161">
        <v>13</v>
      </c>
      <c r="F185" s="161">
        <v>11</v>
      </c>
      <c r="G185" s="364">
        <f ca="1">INDIRECT(ADDRESS(5,A181,1,1,"Hřiště"))</f>
        <v>31</v>
      </c>
      <c r="H185" s="16"/>
      <c r="K185" s="79">
        <f ca="1">IF(TRIM(D185)="-",1,IF(AND(E185="",F185=""),0,IF(N(E185)&gt;N(F185),1,2)))</f>
        <v>1</v>
      </c>
    </row>
    <row r="186" spans="1:11" ht="20.25" thickBot="1">
      <c r="A186" s="56" t="s">
        <v>48</v>
      </c>
      <c r="B186" s="45" t="str">
        <f ca="1">Sk.AD!$B$12</f>
        <v>57 SKP Hranice VI-Valšovice - Kutá Miloslava</v>
      </c>
      <c r="C186" s="44" t="s">
        <v>117</v>
      </c>
      <c r="D186" s="45" t="str">
        <f ca="1">Sk.AD!$E$12</f>
        <v>143 PEK Stolín - Geisler Dan</v>
      </c>
      <c r="E186" s="162">
        <v>13</v>
      </c>
      <c r="F186" s="162">
        <v>6</v>
      </c>
      <c r="G186" s="365">
        <f ca="1">INDIRECT(ADDRESS(4,A181,1,1,"Hřiště"))</f>
        <v>30</v>
      </c>
      <c r="K186" s="79">
        <f ca="1">IF(TRIM(D186)="-",1,IF(AND(E186="",F186=""),0,IF(N(E186)&gt;N(F186),1,2)))</f>
        <v>1</v>
      </c>
    </row>
    <row r="187" spans="1:11" ht="23.25" thickBot="1">
      <c r="A187" s="52">
        <v>31</v>
      </c>
      <c r="B187" s="52"/>
      <c r="C187" s="57" t="s">
        <v>288</v>
      </c>
      <c r="D187" s="52"/>
      <c r="E187" s="248"/>
      <c r="F187" s="248"/>
      <c r="G187" s="53"/>
      <c r="H187" s="16"/>
    </row>
    <row r="188" spans="1:11" ht="19.5">
      <c r="A188" s="54" t="s">
        <v>114</v>
      </c>
      <c r="B188" s="41" t="str">
        <f ca="1">Sk.AE!$B$8</f>
        <v>31 PLUK Jablonec - Lukáš Petr</v>
      </c>
      <c r="C188" s="42" t="s">
        <v>117</v>
      </c>
      <c r="D188" s="41" t="str">
        <f ca="1">Sk.AE!$E$8</f>
        <v>142 PEK Stolín - Rousek Simon</v>
      </c>
      <c r="E188" s="160">
        <v>13</v>
      </c>
      <c r="F188" s="160">
        <v>3</v>
      </c>
      <c r="G188" s="376">
        <f ca="1">INDIRECT(ADDRESS(4,A187,1,1,"Hřiště"))</f>
        <v>32</v>
      </c>
      <c r="H188" s="16"/>
      <c r="I188">
        <v>31</v>
      </c>
      <c r="J188">
        <f>ROW()</f>
        <v>188</v>
      </c>
      <c r="K188" s="79">
        <f ca="1">IF(TRIM(D188)="-",1,IF(AND(E188="",F188=""),0,IF(N(E188)&gt;N(F188),1,2)))</f>
        <v>1</v>
      </c>
    </row>
    <row r="189" spans="1:11" ht="19.5">
      <c r="A189" s="55" t="s">
        <v>115</v>
      </c>
      <c r="B189" s="43" t="str">
        <f ca="1">Sk.AE!$B$9</f>
        <v>56 SK Pétanque Řepy - Hladík Jaroslav</v>
      </c>
      <c r="C189" s="44" t="s">
        <v>117</v>
      </c>
      <c r="D189" s="43" t="str">
        <f ca="1">Sk.AE!$E$9</f>
        <v>117 PEK Stolín - Jablonský Lukáš</v>
      </c>
      <c r="E189" s="161">
        <v>13</v>
      </c>
      <c r="F189" s="161">
        <v>11</v>
      </c>
      <c r="G189" s="364">
        <f ca="1">INDIRECT(ADDRESS(5,A187,1,1,"Hřiště"))</f>
        <v>33</v>
      </c>
      <c r="H189" s="16"/>
      <c r="K189" s="79">
        <f ca="1">IF(TRIM(D189)="-",1,IF(AND(E189="",F189=""),0,IF(N(E189)&gt;N(F189),1,2)))</f>
        <v>1</v>
      </c>
    </row>
    <row r="190" spans="1:11" ht="19.5">
      <c r="A190" s="55" t="s">
        <v>46</v>
      </c>
      <c r="B190" s="43" t="str">
        <f ca="1">Sk.AE!$B$10</f>
        <v>31 PLUK Jablonec - Lukáš Petr</v>
      </c>
      <c r="C190" s="44" t="s">
        <v>117</v>
      </c>
      <c r="D190" s="43" t="str">
        <f ca="1">Sk.AE!$E$10</f>
        <v>56 SK Pétanque Řepy - Hladík Jaroslav</v>
      </c>
      <c r="E190" s="161">
        <v>13</v>
      </c>
      <c r="F190" s="161">
        <v>4</v>
      </c>
      <c r="G190" s="364">
        <f ca="1">INDIRECT(ADDRESS(4,A187,1,1,"Hřiště"))</f>
        <v>32</v>
      </c>
      <c r="H190" s="16"/>
      <c r="K190" s="79">
        <f ca="1">IF(TRIM(D190)="-",1,IF(AND(E190="",F190=""),0,IF(N(E190)&gt;N(F190),1,2)))</f>
        <v>1</v>
      </c>
    </row>
    <row r="191" spans="1:11" ht="19.5">
      <c r="A191" s="55" t="s">
        <v>47</v>
      </c>
      <c r="B191" s="43" t="str">
        <f ca="1">Sk.AE!$B$11</f>
        <v>142 PEK Stolín - Rousek Simon</v>
      </c>
      <c r="C191" s="44" t="s">
        <v>117</v>
      </c>
      <c r="D191" s="43" t="str">
        <f ca="1">Sk.AE!$E$11</f>
        <v>117 PEK Stolín - Jablonský Lukáš</v>
      </c>
      <c r="E191" s="161">
        <v>1</v>
      </c>
      <c r="F191" s="161">
        <v>13</v>
      </c>
      <c r="G191" s="364">
        <f ca="1">INDIRECT(ADDRESS(5,A187,1,1,"Hřiště"))</f>
        <v>33</v>
      </c>
      <c r="H191" s="16"/>
      <c r="K191" s="79">
        <f ca="1">IF(TRIM(D191)="-",1,IF(AND(E191="",F191=""),0,IF(N(E191)&gt;N(F191),1,2)))</f>
        <v>2</v>
      </c>
    </row>
    <row r="192" spans="1:11" ht="20.25" thickBot="1">
      <c r="A192" s="56" t="s">
        <v>48</v>
      </c>
      <c r="B192" s="45" t="str">
        <f ca="1">Sk.AE!$B$12</f>
        <v>56 SK Pétanque Řepy - Hladík Jaroslav</v>
      </c>
      <c r="C192" s="44" t="s">
        <v>117</v>
      </c>
      <c r="D192" s="45" t="str">
        <f ca="1">Sk.AE!$E$12</f>
        <v>117 PEK Stolín - Jablonský Lukáš</v>
      </c>
      <c r="E192" s="162">
        <v>13</v>
      </c>
      <c r="F192" s="162">
        <v>10</v>
      </c>
      <c r="G192" s="365">
        <f ca="1">INDIRECT(ADDRESS(4,A187,1,1,"Hřiště"))</f>
        <v>32</v>
      </c>
      <c r="K192" s="79">
        <f ca="1">IF(TRIM(D192)="-",1,IF(AND(E192="",F192=""),0,IF(N(E192)&gt;N(F192),1,2)))</f>
        <v>1</v>
      </c>
    </row>
    <row r="193" spans="1:11" ht="23.25" thickBot="1">
      <c r="A193" s="52">
        <v>32</v>
      </c>
      <c r="B193" s="52"/>
      <c r="C193" s="57" t="s">
        <v>289</v>
      </c>
      <c r="D193" s="52"/>
      <c r="E193" s="248"/>
      <c r="F193" s="248"/>
      <c r="G193" s="53"/>
      <c r="H193" s="16"/>
    </row>
    <row r="194" spans="1:11" ht="19.5">
      <c r="A194" s="54" t="s">
        <v>114</v>
      </c>
      <c r="B194" s="41" t="str">
        <f ca="1">Sk.AF!$B$8</f>
        <v>32 Club Rodamiento - Kamaryt Josef</v>
      </c>
      <c r="C194" s="42" t="s">
        <v>117</v>
      </c>
      <c r="D194" s="41" t="str">
        <f ca="1">Sk.AF!$E$8</f>
        <v>141 PC Sokol PP Hr. Králové - Jarouš Vítek</v>
      </c>
      <c r="E194" s="160">
        <v>13</v>
      </c>
      <c r="F194" s="160">
        <v>4</v>
      </c>
      <c r="G194" s="376">
        <f ca="1">INDIRECT(ADDRESS(4,A193,1,1,"Hřiště"))</f>
        <v>34</v>
      </c>
      <c r="H194" s="16"/>
      <c r="I194">
        <v>32</v>
      </c>
      <c r="J194">
        <f>ROW()</f>
        <v>194</v>
      </c>
      <c r="K194" s="79">
        <f ca="1">IF(TRIM(D194)="-",1,IF(AND(E194="",F194=""),0,IF(N(E194)&gt;N(F194),1,2)))</f>
        <v>1</v>
      </c>
    </row>
    <row r="195" spans="1:11" ht="19.5">
      <c r="A195" s="55" t="s">
        <v>115</v>
      </c>
      <c r="B195" s="43" t="str">
        <f ca="1">Sk.AF!$B$9</f>
        <v>55 1. KPK Vrchlabí - Sládková Hana</v>
      </c>
      <c r="C195" s="44" t="s">
        <v>117</v>
      </c>
      <c r="D195" s="43" t="str">
        <f ca="1">Sk.AF!$E$9</f>
        <v>118 PEK Stolín - Hájková Iveta</v>
      </c>
      <c r="E195" s="161">
        <v>1</v>
      </c>
      <c r="F195" s="161">
        <v>13</v>
      </c>
      <c r="G195" s="364">
        <f ca="1">INDIRECT(ADDRESS(5,A193,1,1,"Hřiště"))</f>
        <v>35</v>
      </c>
      <c r="H195" s="16"/>
      <c r="K195" s="79">
        <f ca="1">IF(TRIM(D195)="-",1,IF(AND(E195="",F195=""),0,IF(N(E195)&gt;N(F195),1,2)))</f>
        <v>2</v>
      </c>
    </row>
    <row r="196" spans="1:11" ht="19.5">
      <c r="A196" s="55" t="s">
        <v>46</v>
      </c>
      <c r="B196" s="43" t="str">
        <f ca="1">Sk.AF!$B$10</f>
        <v>32 Club Rodamiento - Kamaryt Josef</v>
      </c>
      <c r="C196" s="44" t="s">
        <v>117</v>
      </c>
      <c r="D196" s="43" t="str">
        <f ca="1">Sk.AF!$E$10</f>
        <v>118 PEK Stolín - Hájková Iveta</v>
      </c>
      <c r="E196" s="161">
        <v>13</v>
      </c>
      <c r="F196" s="161">
        <v>3</v>
      </c>
      <c r="G196" s="364">
        <f ca="1">INDIRECT(ADDRESS(4,A193,1,1,"Hřiště"))</f>
        <v>34</v>
      </c>
      <c r="H196" s="16"/>
      <c r="K196" s="79">
        <f ca="1">IF(TRIM(D196)="-",1,IF(AND(E196="",F196=""),0,IF(N(E196)&gt;N(F196),1,2)))</f>
        <v>1</v>
      </c>
    </row>
    <row r="197" spans="1:11" ht="19.5">
      <c r="A197" s="55" t="s">
        <v>47</v>
      </c>
      <c r="B197" s="43" t="str">
        <f ca="1">Sk.AF!$B$11</f>
        <v>141 PC Sokol PP Hr. Králové - Jarouš Vítek</v>
      </c>
      <c r="C197" s="44" t="s">
        <v>117</v>
      </c>
      <c r="D197" s="43" t="str">
        <f ca="1">Sk.AF!$E$11</f>
        <v>55 1. KPK Vrchlabí - Sládková Hana</v>
      </c>
      <c r="E197" s="161">
        <v>7</v>
      </c>
      <c r="F197" s="161">
        <v>13</v>
      </c>
      <c r="G197" s="364">
        <f ca="1">INDIRECT(ADDRESS(5,A193,1,1,"Hřiště"))</f>
        <v>35</v>
      </c>
      <c r="H197" s="16"/>
      <c r="K197" s="79">
        <f ca="1">IF(TRIM(D197)="-",1,IF(AND(E197="",F197=""),0,IF(N(E197)&gt;N(F197),1,2)))</f>
        <v>2</v>
      </c>
    </row>
    <row r="198" spans="1:11" ht="20.25" thickBot="1">
      <c r="A198" s="56" t="s">
        <v>48</v>
      </c>
      <c r="B198" s="45" t="str">
        <f ca="1">Sk.AF!$B$12</f>
        <v>118 PEK Stolín - Hájková Iveta</v>
      </c>
      <c r="C198" s="44" t="s">
        <v>117</v>
      </c>
      <c r="D198" s="45" t="str">
        <f ca="1">Sk.AF!$E$12</f>
        <v>55 1. KPK Vrchlabí - Sládková Hana</v>
      </c>
      <c r="E198" s="162">
        <v>13</v>
      </c>
      <c r="F198" s="162">
        <v>9</v>
      </c>
      <c r="G198" s="365">
        <f ca="1">INDIRECT(ADDRESS(4,A193,1,1,"Hřiště"))</f>
        <v>34</v>
      </c>
      <c r="K198" s="79">
        <f ca="1">IF(TRIM(D198)="-",1,IF(AND(E198="",F198=""),0,IF(N(E198)&gt;N(F198),1,2)))</f>
        <v>1</v>
      </c>
    </row>
    <row r="199" spans="1:11" ht="23.25" thickBot="1">
      <c r="A199" s="52">
        <v>33</v>
      </c>
      <c r="B199" s="52"/>
      <c r="C199" s="57" t="s">
        <v>1111</v>
      </c>
      <c r="D199" s="52"/>
      <c r="E199" s="52"/>
      <c r="F199" s="52"/>
      <c r="G199" s="52"/>
      <c r="H199" s="17"/>
    </row>
    <row r="200" spans="1:11" ht="19.5">
      <c r="A200" s="54" t="s">
        <v>114</v>
      </c>
      <c r="B200" s="41" t="str">
        <f ca="1">Sk.AG!$B$8</f>
        <v>33 1. KPK Vrchlabí - Brázda Vladimír</v>
      </c>
      <c r="C200" s="42" t="s">
        <v>117</v>
      </c>
      <c r="D200" s="41" t="str">
        <f ca="1">Sk.AG!$E$8</f>
        <v>140 PKT Velký Šanc - Loprais Zdeněk</v>
      </c>
      <c r="E200" s="160">
        <v>13</v>
      </c>
      <c r="F200" s="160">
        <v>6</v>
      </c>
      <c r="G200" s="376">
        <f ca="1">INDIRECT(ADDRESS(4,A199,1,1,"Hřiště"))</f>
        <v>36</v>
      </c>
      <c r="H200" s="16"/>
      <c r="I200">
        <v>33</v>
      </c>
      <c r="J200">
        <f>ROW()</f>
        <v>200</v>
      </c>
      <c r="K200" s="79">
        <f ca="1">IF(TRIM(D200)="-",1,IF(AND(E200="",F200=""),0,IF(N(E200)&gt;N(F200),1,2)))</f>
        <v>1</v>
      </c>
    </row>
    <row r="201" spans="1:11" ht="19.5">
      <c r="A201" s="55" t="s">
        <v>115</v>
      </c>
      <c r="B201" s="43" t="str">
        <f ca="1">Sk.AG!$B$9</f>
        <v>54 SK Sahara Vědomice - Horáčková Simona</v>
      </c>
      <c r="C201" s="44" t="s">
        <v>117</v>
      </c>
      <c r="D201" s="43" t="str">
        <f ca="1">Sk.AG!$E$9</f>
        <v>119 Petank Club Praha - Rendjambe Amos</v>
      </c>
      <c r="E201" s="161">
        <v>13</v>
      </c>
      <c r="F201" s="161">
        <v>7</v>
      </c>
      <c r="G201" s="364">
        <f ca="1">INDIRECT(ADDRESS(5,A199,1,1,"Hřiště"))</f>
        <v>37</v>
      </c>
      <c r="H201" s="16"/>
      <c r="K201" s="79">
        <f ca="1">IF(TRIM(D201)="-",1,IF(AND(E201="",F201=""),0,IF(N(E201)&gt;N(F201),1,2)))</f>
        <v>1</v>
      </c>
    </row>
    <row r="202" spans="1:11" ht="19.5">
      <c r="A202" s="55" t="s">
        <v>46</v>
      </c>
      <c r="B202" s="43" t="str">
        <f ca="1">Sk.AG!$B$10</f>
        <v>33 1. KPK Vrchlabí - Brázda Vladimír</v>
      </c>
      <c r="C202" s="44" t="s">
        <v>117</v>
      </c>
      <c r="D202" s="43" t="str">
        <f ca="1">Sk.AG!$E$10</f>
        <v>54 SK Sahara Vědomice - Horáčková Simona</v>
      </c>
      <c r="E202" s="161">
        <v>13</v>
      </c>
      <c r="F202" s="161">
        <v>9</v>
      </c>
      <c r="G202" s="364">
        <f ca="1">INDIRECT(ADDRESS(4,A199,1,1,"Hřiště"))</f>
        <v>36</v>
      </c>
      <c r="H202" s="16"/>
      <c r="K202" s="79">
        <f ca="1">IF(TRIM(D202)="-",1,IF(AND(E202="",F202=""),0,IF(N(E202)&gt;N(F202),1,2)))</f>
        <v>1</v>
      </c>
    </row>
    <row r="203" spans="1:11" ht="19.5">
      <c r="A203" s="55" t="s">
        <v>47</v>
      </c>
      <c r="B203" s="43" t="str">
        <f ca="1">Sk.AG!$B$11</f>
        <v>140 PKT Velký Šanc - Loprais Zdeněk</v>
      </c>
      <c r="C203" s="44" t="s">
        <v>117</v>
      </c>
      <c r="D203" s="43" t="str">
        <f ca="1">Sk.AG!$E$11</f>
        <v>119 Petank Club Praha - Rendjambe Amos</v>
      </c>
      <c r="E203" s="161">
        <v>13</v>
      </c>
      <c r="F203" s="161">
        <v>7</v>
      </c>
      <c r="G203" s="364">
        <f ca="1">INDIRECT(ADDRESS(5,A199,1,1,"Hřiště"))</f>
        <v>37</v>
      </c>
      <c r="H203" s="16"/>
      <c r="K203" s="79">
        <f ca="1">IF(TRIM(D203)="-",1,IF(AND(E203="",F203=""),0,IF(N(E203)&gt;N(F203),1,2)))</f>
        <v>1</v>
      </c>
    </row>
    <row r="204" spans="1:11" ht="20.25" thickBot="1">
      <c r="A204" s="56" t="s">
        <v>48</v>
      </c>
      <c r="B204" s="45" t="str">
        <f ca="1">Sk.AG!$B$12</f>
        <v>54 SK Sahara Vědomice - Horáčková Simona</v>
      </c>
      <c r="C204" s="44" t="s">
        <v>117</v>
      </c>
      <c r="D204" s="45" t="str">
        <f ca="1">Sk.AG!$E$12</f>
        <v>140 PKT Velký Šanc - Loprais Zdeněk</v>
      </c>
      <c r="E204" s="162">
        <v>13</v>
      </c>
      <c r="F204" s="162">
        <v>2</v>
      </c>
      <c r="G204" s="365">
        <f ca="1">INDIRECT(ADDRESS(4,A199,1,1,"Hřiště"))</f>
        <v>36</v>
      </c>
      <c r="H204" s="16"/>
      <c r="K204" s="79">
        <f ca="1">IF(TRIM(D204)="-",1,IF(AND(E204="",F204=""),0,IF(N(E204)&gt;N(F204),1,2)))</f>
        <v>1</v>
      </c>
    </row>
    <row r="205" spans="1:11" ht="23.25" thickBot="1">
      <c r="A205" s="52">
        <v>34</v>
      </c>
      <c r="B205" s="52"/>
      <c r="C205" s="57" t="s">
        <v>1112</v>
      </c>
      <c r="D205" s="52"/>
      <c r="E205" s="248"/>
      <c r="F205" s="248"/>
      <c r="G205" s="53"/>
      <c r="H205" s="17"/>
    </row>
    <row r="206" spans="1:11" ht="19.5">
      <c r="A206" s="54" t="s">
        <v>114</v>
      </c>
      <c r="B206" s="41" t="str">
        <f ca="1">Sk.AH!$B$8</f>
        <v>34 UBU Únětice - Tomášková Dana</v>
      </c>
      <c r="C206" s="42" t="s">
        <v>117</v>
      </c>
      <c r="D206" s="41" t="str">
        <f ca="1">Sk.AH!$E$8</f>
        <v>139 ČPK Poděbrady - Karbulka Jan</v>
      </c>
      <c r="E206" s="160">
        <v>13</v>
      </c>
      <c r="F206" s="160">
        <v>6</v>
      </c>
      <c r="G206" s="376">
        <f ca="1">INDIRECT(ADDRESS(4,A205,1,1,"Hřiště"))</f>
        <v>38</v>
      </c>
      <c r="H206" s="16"/>
      <c r="I206">
        <v>34</v>
      </c>
      <c r="J206">
        <f>ROW()</f>
        <v>206</v>
      </c>
      <c r="K206" s="79">
        <f ca="1">IF(TRIM(D206)="-",1,IF(AND(E206="",F206=""),0,IF(N(E206)&gt;N(F206),1,2)))</f>
        <v>1</v>
      </c>
    </row>
    <row r="207" spans="1:11" ht="19.5">
      <c r="A207" s="55" t="s">
        <v>115</v>
      </c>
      <c r="B207" s="43" t="str">
        <f ca="1">Sk.AH!$B$9</f>
        <v>53 SKP Kulová osma - Krejčínová Lenka</v>
      </c>
      <c r="C207" s="44" t="s">
        <v>117</v>
      </c>
      <c r="D207" s="43" t="str">
        <f ca="1">Sk.AH!$E$9</f>
        <v>120 Petank Club Praha - Křešťáková Jana</v>
      </c>
      <c r="E207" s="161">
        <v>6</v>
      </c>
      <c r="F207" s="161">
        <v>13</v>
      </c>
      <c r="G207" s="364">
        <f ca="1">INDIRECT(ADDRESS(5,A205,1,1,"Hřiště"))</f>
        <v>39</v>
      </c>
      <c r="H207" s="16"/>
      <c r="K207" s="79">
        <f ca="1">IF(TRIM(D207)="-",1,IF(AND(E207="",F207=""),0,IF(N(E207)&gt;N(F207),1,2)))</f>
        <v>2</v>
      </c>
    </row>
    <row r="208" spans="1:11" ht="19.5">
      <c r="A208" s="55" t="s">
        <v>46</v>
      </c>
      <c r="B208" s="43" t="str">
        <f ca="1">Sk.AH!$B$10</f>
        <v>34 UBU Únětice - Tomášková Dana</v>
      </c>
      <c r="C208" s="44" t="s">
        <v>117</v>
      </c>
      <c r="D208" s="43" t="str">
        <f ca="1">Sk.AH!$E$10</f>
        <v>120 Petank Club Praha - Křešťáková Jana</v>
      </c>
      <c r="E208" s="161">
        <v>11</v>
      </c>
      <c r="F208" s="161">
        <v>13</v>
      </c>
      <c r="G208" s="364">
        <f ca="1">INDIRECT(ADDRESS(4,A205,1,1,"Hřiště"))</f>
        <v>38</v>
      </c>
      <c r="H208" s="16"/>
      <c r="K208" s="79">
        <f ca="1">IF(TRIM(D208)="-",1,IF(AND(E208="",F208=""),0,IF(N(E208)&gt;N(F208),1,2)))</f>
        <v>2</v>
      </c>
    </row>
    <row r="209" spans="1:11" ht="19.5">
      <c r="A209" s="55" t="s">
        <v>47</v>
      </c>
      <c r="B209" s="43" t="str">
        <f ca="1">Sk.AH!$B$11</f>
        <v>139 ČPK Poděbrady - Karbulka Jan</v>
      </c>
      <c r="C209" s="44" t="s">
        <v>117</v>
      </c>
      <c r="D209" s="43" t="str">
        <f ca="1">Sk.AH!$E$11</f>
        <v>53 SKP Kulová osma - Krejčínová Lenka</v>
      </c>
      <c r="E209" s="161">
        <v>13</v>
      </c>
      <c r="F209" s="161">
        <v>10</v>
      </c>
      <c r="G209" s="364">
        <f ca="1">INDIRECT(ADDRESS(5,A205,1,1,"Hřiště"))</f>
        <v>39</v>
      </c>
      <c r="H209" s="16"/>
      <c r="K209" s="79">
        <f ca="1">IF(TRIM(D209)="-",1,IF(AND(E209="",F209=""),0,IF(N(E209)&gt;N(F209),1,2)))</f>
        <v>1</v>
      </c>
    </row>
    <row r="210" spans="1:11" ht="20.25" thickBot="1">
      <c r="A210" s="56" t="s">
        <v>48</v>
      </c>
      <c r="B210" s="45" t="str">
        <f ca="1">Sk.AH!$B$12</f>
        <v>34 UBU Únětice - Tomášková Dana</v>
      </c>
      <c r="C210" s="44" t="s">
        <v>117</v>
      </c>
      <c r="D210" s="45" t="str">
        <f ca="1">Sk.AH!$E$12</f>
        <v>139 ČPK Poděbrady - Karbulka Jan</v>
      </c>
      <c r="E210" s="162">
        <v>7</v>
      </c>
      <c r="F210" s="162">
        <v>13</v>
      </c>
      <c r="G210" s="365">
        <f ca="1">INDIRECT(ADDRESS(4,A205,1,1,"Hřiště"))</f>
        <v>38</v>
      </c>
      <c r="H210" s="16"/>
      <c r="K210" s="79">
        <f ca="1">IF(TRIM(D210)="-",1,IF(AND(E210="",F210=""),0,IF(N(E210)&gt;N(F210),1,2)))</f>
        <v>2</v>
      </c>
    </row>
    <row r="211" spans="1:11" ht="23.25" thickBot="1">
      <c r="A211" s="52">
        <v>35</v>
      </c>
      <c r="B211" s="52"/>
      <c r="C211" s="57" t="s">
        <v>1113</v>
      </c>
      <c r="D211" s="52"/>
      <c r="E211" s="248"/>
      <c r="F211" s="248"/>
      <c r="G211" s="53"/>
      <c r="H211" s="17"/>
    </row>
    <row r="212" spans="1:11" ht="19.5">
      <c r="A212" s="54" t="s">
        <v>114</v>
      </c>
      <c r="B212" s="41" t="str">
        <f ca="1">Sk.AI!$B$8</f>
        <v>35 SK Sahara Vědomice - Demčík Milan St.</v>
      </c>
      <c r="C212" s="42" t="s">
        <v>117</v>
      </c>
      <c r="D212" s="41" t="str">
        <f ca="1">Sk.AI!$E$8</f>
        <v>138 SK Pétanque Řepy - Mullerová Jiřina</v>
      </c>
      <c r="E212" s="160">
        <v>13</v>
      </c>
      <c r="F212" s="160">
        <v>8</v>
      </c>
      <c r="G212" s="376">
        <f ca="1">INDIRECT(ADDRESS(4,A211,1,1,"Hřiště"))</f>
        <v>40</v>
      </c>
      <c r="H212" s="16"/>
      <c r="I212">
        <v>35</v>
      </c>
      <c r="J212">
        <f>ROW()</f>
        <v>212</v>
      </c>
      <c r="K212" s="79">
        <f ca="1">IF(TRIM(D212)="-",1,IF(AND(E212="",F212=""),0,IF(N(E212)&gt;N(F212),1,2)))</f>
        <v>1</v>
      </c>
    </row>
    <row r="213" spans="1:11" ht="19.5">
      <c r="A213" s="55" t="s">
        <v>115</v>
      </c>
      <c r="B213" s="43" t="str">
        <f ca="1">Sk.AI!$B$9</f>
        <v>52 SKP Kulová osma - Chmelařová Yvetta</v>
      </c>
      <c r="C213" s="44" t="s">
        <v>117</v>
      </c>
      <c r="D213" s="43" t="str">
        <f ca="1">Sk.AI!$E$9</f>
        <v>121 PCP Lipník - Kmoch Miroslav</v>
      </c>
      <c r="E213" s="161">
        <v>10</v>
      </c>
      <c r="F213" s="161">
        <v>13</v>
      </c>
      <c r="G213" s="364">
        <f ca="1">INDIRECT(ADDRESS(5,A211,1,1,"Hřiště"))</f>
        <v>41</v>
      </c>
      <c r="H213" s="16"/>
      <c r="K213" s="79">
        <f ca="1">IF(TRIM(D213)="-",1,IF(AND(E213="",F213=""),0,IF(N(E213)&gt;N(F213),1,2)))</f>
        <v>2</v>
      </c>
    </row>
    <row r="214" spans="1:11" ht="19.5">
      <c r="A214" s="55" t="s">
        <v>46</v>
      </c>
      <c r="B214" s="43" t="str">
        <f ca="1">Sk.AI!$B$10</f>
        <v>35 SK Sahara Vědomice - Demčík Milan St.</v>
      </c>
      <c r="C214" s="44" t="s">
        <v>117</v>
      </c>
      <c r="D214" s="43" t="str">
        <f ca="1">Sk.AI!$E$10</f>
        <v>121 PCP Lipník - Kmoch Miroslav</v>
      </c>
      <c r="E214" s="161">
        <v>10</v>
      </c>
      <c r="F214" s="161">
        <v>13</v>
      </c>
      <c r="G214" s="364">
        <f ca="1">INDIRECT(ADDRESS(4,A211,1,1,"Hřiště"))</f>
        <v>40</v>
      </c>
      <c r="H214" s="16"/>
      <c r="K214" s="79">
        <f ca="1">IF(TRIM(D214)="-",1,IF(AND(E214="",F214=""),0,IF(N(E214)&gt;N(F214),1,2)))</f>
        <v>2</v>
      </c>
    </row>
    <row r="215" spans="1:11" ht="19.5">
      <c r="A215" s="55" t="s">
        <v>47</v>
      </c>
      <c r="B215" s="43" t="str">
        <f ca="1">Sk.AI!$B$11</f>
        <v>138 SK Pétanque Řepy - Mullerová Jiřina</v>
      </c>
      <c r="C215" s="44" t="s">
        <v>117</v>
      </c>
      <c r="D215" s="43" t="str">
        <f ca="1">Sk.AI!$E$11</f>
        <v>52 SKP Kulová osma - Chmelařová Yvetta</v>
      </c>
      <c r="E215" s="161">
        <v>6</v>
      </c>
      <c r="F215" s="161">
        <v>13</v>
      </c>
      <c r="G215" s="364">
        <f ca="1">INDIRECT(ADDRESS(5,A211,1,1,"Hřiště"))</f>
        <v>41</v>
      </c>
      <c r="H215" s="16"/>
      <c r="K215" s="79">
        <f ca="1">IF(TRIM(D215)="-",1,IF(AND(E215="",F215=""),0,IF(N(E215)&gt;N(F215),1,2)))</f>
        <v>2</v>
      </c>
    </row>
    <row r="216" spans="1:11" ht="20.25" thickBot="1">
      <c r="A216" s="56" t="s">
        <v>48</v>
      </c>
      <c r="B216" s="45" t="str">
        <f ca="1">Sk.AI!$B$12</f>
        <v>35 SK Sahara Vědomice - Demčík Milan St.</v>
      </c>
      <c r="C216" s="44" t="s">
        <v>117</v>
      </c>
      <c r="D216" s="45" t="str">
        <f ca="1">Sk.AI!$E$12</f>
        <v>52 SKP Kulová osma - Chmelařová Yvetta</v>
      </c>
      <c r="E216" s="162">
        <v>13</v>
      </c>
      <c r="F216" s="162">
        <v>4</v>
      </c>
      <c r="G216" s="365">
        <f ca="1">INDIRECT(ADDRESS(4,A211,1,1,"Hřiště"))</f>
        <v>40</v>
      </c>
      <c r="H216" s="16"/>
      <c r="K216" s="79">
        <f ca="1">IF(TRIM(D216)="-",1,IF(AND(E216="",F216=""),0,IF(N(E216)&gt;N(F216),1,2)))</f>
        <v>1</v>
      </c>
    </row>
    <row r="217" spans="1:11" ht="23.25" thickBot="1">
      <c r="A217" s="52">
        <v>36</v>
      </c>
      <c r="B217" s="52"/>
      <c r="C217" s="57" t="s">
        <v>1114</v>
      </c>
      <c r="D217" s="52"/>
      <c r="E217" s="248"/>
      <c r="F217" s="248"/>
      <c r="G217" s="53"/>
      <c r="H217" s="17"/>
    </row>
    <row r="218" spans="1:11" ht="19.5">
      <c r="A218" s="54" t="s">
        <v>114</v>
      </c>
      <c r="B218" s="41" t="str">
        <f ca="1">Sk.AJ!$B$8</f>
        <v>36 HRODE KRUMSÍN - Pírek Martin</v>
      </c>
      <c r="C218" s="42" t="s">
        <v>117</v>
      </c>
      <c r="D218" s="41" t="str">
        <f ca="1">Sk.AJ!$E$8</f>
        <v>137 SK Pétanque Řepy - Klazarová Vlasta</v>
      </c>
      <c r="E218" s="160">
        <v>13</v>
      </c>
      <c r="F218" s="160">
        <v>10</v>
      </c>
      <c r="G218" s="376">
        <f ca="1">INDIRECT(ADDRESS(4,A217,1,1,"Hřiště"))</f>
        <v>42</v>
      </c>
      <c r="H218" s="16"/>
      <c r="I218">
        <v>36</v>
      </c>
      <c r="J218">
        <f>ROW()</f>
        <v>218</v>
      </c>
      <c r="K218" s="79">
        <f ca="1">IF(TRIM(D218)="-",1,IF(AND(E218="",F218=""),0,IF(N(E218)&gt;N(F218),1,2)))</f>
        <v>1</v>
      </c>
    </row>
    <row r="219" spans="1:11" ht="19.5">
      <c r="A219" s="55" t="s">
        <v>115</v>
      </c>
      <c r="B219" s="43" t="str">
        <f ca="1">Sk.AJ!$B$9</f>
        <v>51 Orel Řečkovice - Hanák David</v>
      </c>
      <c r="C219" s="44" t="s">
        <v>117</v>
      </c>
      <c r="D219" s="43" t="str">
        <f ca="1">Sk.AJ!$E$9</f>
        <v>122 SK Pétanque Řepy - Koňasová Hana</v>
      </c>
      <c r="E219" s="161">
        <v>13</v>
      </c>
      <c r="F219" s="161">
        <v>3</v>
      </c>
      <c r="G219" s="364">
        <f ca="1">INDIRECT(ADDRESS(5,A217,1,1,"Hřiště"))</f>
        <v>43</v>
      </c>
      <c r="H219" s="16"/>
      <c r="K219" s="79">
        <f ca="1">IF(TRIM(D219)="-",1,IF(AND(E219="",F219=""),0,IF(N(E219)&gt;N(F219),1,2)))</f>
        <v>1</v>
      </c>
    </row>
    <row r="220" spans="1:11" ht="19.5">
      <c r="A220" s="55" t="s">
        <v>46</v>
      </c>
      <c r="B220" s="43" t="str">
        <f ca="1">Sk.AJ!$B$10</f>
        <v>36 HRODE KRUMSÍN - Pírek Martin</v>
      </c>
      <c r="C220" s="44" t="s">
        <v>117</v>
      </c>
      <c r="D220" s="43" t="str">
        <f ca="1">Sk.AJ!$E$10</f>
        <v>51 Orel Řečkovice - Hanák David</v>
      </c>
      <c r="E220" s="161">
        <v>7</v>
      </c>
      <c r="F220" s="161">
        <v>13</v>
      </c>
      <c r="G220" s="364">
        <f ca="1">INDIRECT(ADDRESS(4,A217,1,1,"Hřiště"))</f>
        <v>42</v>
      </c>
      <c r="H220" s="16"/>
      <c r="K220" s="79">
        <f ca="1">IF(TRIM(D220)="-",1,IF(AND(E220="",F220=""),0,IF(N(E220)&gt;N(F220),1,2)))</f>
        <v>2</v>
      </c>
    </row>
    <row r="221" spans="1:11" ht="19.5">
      <c r="A221" s="55" t="s">
        <v>47</v>
      </c>
      <c r="B221" s="43" t="str">
        <f ca="1">Sk.AJ!$B$11</f>
        <v>137 SK Pétanque Řepy - Klazarová Vlasta</v>
      </c>
      <c r="C221" s="44" t="s">
        <v>117</v>
      </c>
      <c r="D221" s="43" t="str">
        <f ca="1">Sk.AJ!$E$11</f>
        <v>122 SK Pétanque Řepy - Koňasová Hana</v>
      </c>
      <c r="E221" s="161">
        <v>13</v>
      </c>
      <c r="F221" s="161">
        <v>10</v>
      </c>
      <c r="G221" s="364">
        <f ca="1">INDIRECT(ADDRESS(5,A217,1,1,"Hřiště"))</f>
        <v>43</v>
      </c>
      <c r="H221" s="16"/>
      <c r="K221" s="79">
        <f ca="1">IF(TRIM(D221)="-",1,IF(AND(E221="",F221=""),0,IF(N(E221)&gt;N(F221),1,2)))</f>
        <v>1</v>
      </c>
    </row>
    <row r="222" spans="1:11" ht="20.25" thickBot="1">
      <c r="A222" s="56" t="s">
        <v>48</v>
      </c>
      <c r="B222" s="45" t="str">
        <f ca="1">Sk.AJ!$B$12</f>
        <v>36 HRODE KRUMSÍN - Pírek Martin</v>
      </c>
      <c r="C222" s="44" t="s">
        <v>117</v>
      </c>
      <c r="D222" s="45" t="str">
        <f ca="1">Sk.AJ!$E$12</f>
        <v>137 SK Pétanque Řepy - Klazarová Vlasta</v>
      </c>
      <c r="E222" s="162">
        <v>13</v>
      </c>
      <c r="F222" s="162">
        <v>6</v>
      </c>
      <c r="G222" s="365">
        <f ca="1">INDIRECT(ADDRESS(4,A217,1,1,"Hřiště"))</f>
        <v>42</v>
      </c>
      <c r="H222" s="16"/>
      <c r="K222" s="79">
        <f ca="1">IF(TRIM(D222)="-",1,IF(AND(E222="",F222=""),0,IF(N(E222)&gt;N(F222),1,2)))</f>
        <v>1</v>
      </c>
    </row>
    <row r="223" spans="1:11" ht="23.25" thickBot="1">
      <c r="A223" s="52">
        <v>37</v>
      </c>
      <c r="B223" s="52"/>
      <c r="C223" s="57" t="s">
        <v>1115</v>
      </c>
      <c r="D223" s="52"/>
      <c r="E223" s="248"/>
      <c r="F223" s="248"/>
      <c r="G223" s="53"/>
      <c r="H223" s="17"/>
    </row>
    <row r="224" spans="1:11" ht="19.5">
      <c r="A224" s="54" t="s">
        <v>114</v>
      </c>
      <c r="B224" s="41" t="str">
        <f ca="1">Sk.AK!$B$8</f>
        <v>37 1. KPK Vrchlabí - Řezníček Jiří</v>
      </c>
      <c r="C224" s="42" t="s">
        <v>117</v>
      </c>
      <c r="D224" s="41" t="str">
        <f ca="1">Sk.AK!$E$8</f>
        <v>136 PC Sokol PP Hr. Králové - Vávrová Ivana</v>
      </c>
      <c r="E224" s="160">
        <v>13</v>
      </c>
      <c r="F224" s="160">
        <v>8</v>
      </c>
      <c r="G224" s="376">
        <f ca="1">INDIRECT(ADDRESS(4,A223,1,1,"Hřiště"))</f>
        <v>44</v>
      </c>
      <c r="H224" s="16"/>
      <c r="I224">
        <v>37</v>
      </c>
      <c r="J224">
        <f>ROW()</f>
        <v>224</v>
      </c>
      <c r="K224" s="79">
        <f ca="1">IF(TRIM(D224)="-",1,IF(AND(E224="",F224=""),0,IF(N(E224)&gt;N(F224),1,2)))</f>
        <v>1</v>
      </c>
    </row>
    <row r="225" spans="1:11" ht="19.5">
      <c r="A225" s="55" t="s">
        <v>115</v>
      </c>
      <c r="B225" s="43" t="str">
        <f ca="1">Sk.AK!$B$9</f>
        <v>50 SKP Kulová osma - Krejčín Leoš</v>
      </c>
      <c r="C225" s="44" t="s">
        <v>117</v>
      </c>
      <c r="D225" s="43" t="str">
        <f ca="1">Sk.AK!$E$9</f>
        <v>123 SK Pétanque Řepy - Josífková Eva</v>
      </c>
      <c r="E225" s="161">
        <v>13</v>
      </c>
      <c r="F225" s="161">
        <v>9</v>
      </c>
      <c r="G225" s="364">
        <f ca="1">INDIRECT(ADDRESS(5,A223,1,1,"Hřiště"))</f>
        <v>45</v>
      </c>
      <c r="H225" s="16"/>
      <c r="K225" s="79">
        <f ca="1">IF(TRIM(D225)="-",1,IF(AND(E225="",F225=""),0,IF(N(E225)&gt;N(F225),1,2)))</f>
        <v>1</v>
      </c>
    </row>
    <row r="226" spans="1:11" ht="19.5">
      <c r="A226" s="55" t="s">
        <v>46</v>
      </c>
      <c r="B226" s="43" t="str">
        <f ca="1">Sk.AK!$B$10</f>
        <v>37 1. KPK Vrchlabí - Řezníček Jiří</v>
      </c>
      <c r="C226" s="44" t="s">
        <v>117</v>
      </c>
      <c r="D226" s="43" t="str">
        <f ca="1">Sk.AK!$E$10</f>
        <v>50 SKP Kulová osma - Krejčín Leoš</v>
      </c>
      <c r="E226" s="161">
        <v>9</v>
      </c>
      <c r="F226" s="161">
        <v>13</v>
      </c>
      <c r="G226" s="364">
        <f ca="1">INDIRECT(ADDRESS(4,A223,1,1,"Hřiště"))</f>
        <v>44</v>
      </c>
      <c r="H226" s="16"/>
      <c r="K226" s="79">
        <f ca="1">IF(TRIM(D226)="-",1,IF(AND(E226="",F226=""),0,IF(N(E226)&gt;N(F226),1,2)))</f>
        <v>2</v>
      </c>
    </row>
    <row r="227" spans="1:11" ht="19.5">
      <c r="A227" s="55" t="s">
        <v>47</v>
      </c>
      <c r="B227" s="43" t="str">
        <f ca="1">Sk.AK!$B$11</f>
        <v>136 PC Sokol PP Hr. Králové - Vávrová Ivana</v>
      </c>
      <c r="C227" s="44" t="s">
        <v>117</v>
      </c>
      <c r="D227" s="43" t="str">
        <f ca="1">Sk.AK!$E$11</f>
        <v>123 SK Pétanque Řepy - Josífková Eva</v>
      </c>
      <c r="E227" s="161">
        <v>5</v>
      </c>
      <c r="F227" s="161">
        <v>13</v>
      </c>
      <c r="G227" s="364">
        <f ca="1">INDIRECT(ADDRESS(5,A223,1,1,"Hřiště"))</f>
        <v>45</v>
      </c>
      <c r="H227" s="16"/>
      <c r="K227" s="79">
        <f ca="1">IF(TRIM(D227)="-",1,IF(AND(E227="",F227=""),0,IF(N(E227)&gt;N(F227),1,2)))</f>
        <v>2</v>
      </c>
    </row>
    <row r="228" spans="1:11" ht="20.25" thickBot="1">
      <c r="A228" s="56" t="s">
        <v>48</v>
      </c>
      <c r="B228" s="45" t="str">
        <f ca="1">Sk.AK!$B$12</f>
        <v>37 1. KPK Vrchlabí - Řezníček Jiří</v>
      </c>
      <c r="C228" s="44" t="s">
        <v>117</v>
      </c>
      <c r="D228" s="45" t="str">
        <f ca="1">Sk.AK!$E$12</f>
        <v>123 SK Pétanque Řepy - Josífková Eva</v>
      </c>
      <c r="E228" s="162">
        <v>13</v>
      </c>
      <c r="F228" s="162">
        <v>7</v>
      </c>
      <c r="G228" s="365">
        <f ca="1">INDIRECT(ADDRESS(4,A223,1,1,"Hřiště"))</f>
        <v>44</v>
      </c>
      <c r="H228" s="16"/>
      <c r="K228" s="79">
        <f ca="1">IF(TRIM(D228)="-",1,IF(AND(E228="",F228=""),0,IF(N(E228)&gt;N(F228),1,2)))</f>
        <v>1</v>
      </c>
    </row>
    <row r="229" spans="1:11" ht="23.25" thickBot="1">
      <c r="A229" s="52">
        <v>38</v>
      </c>
      <c r="B229" s="52"/>
      <c r="C229" s="57" t="s">
        <v>1116</v>
      </c>
      <c r="D229" s="52"/>
      <c r="E229" s="248"/>
      <c r="F229" s="248"/>
      <c r="G229" s="53"/>
      <c r="H229" s="17"/>
    </row>
    <row r="230" spans="1:11" ht="19.5">
      <c r="A230" s="54" t="s">
        <v>114</v>
      </c>
      <c r="B230" s="41" t="str">
        <f ca="1">Sk.AL!$B$8</f>
        <v>38 FENYX Adamov - Král Pavel</v>
      </c>
      <c r="C230" s="42" t="s">
        <v>117</v>
      </c>
      <c r="D230" s="41" t="str">
        <f ca="1">Sk.AL!$E$8</f>
        <v>135 VARAN - Tintěrová Kateřina</v>
      </c>
      <c r="E230" s="160">
        <v>13</v>
      </c>
      <c r="F230" s="160">
        <v>11</v>
      </c>
      <c r="G230" s="376">
        <f ca="1">INDIRECT(ADDRESS(4,A229,1,1,"Hřiště"))</f>
        <v>46</v>
      </c>
      <c r="H230" s="16"/>
      <c r="I230">
        <v>38</v>
      </c>
      <c r="J230">
        <f>ROW()</f>
        <v>230</v>
      </c>
      <c r="K230" s="79">
        <f ca="1">IF(TRIM(D230)="-",1,IF(AND(E230="",F230=""),0,IF(N(E230)&gt;N(F230),1,2)))</f>
        <v>1</v>
      </c>
    </row>
    <row r="231" spans="1:11" ht="19.5">
      <c r="A231" s="55" t="s">
        <v>115</v>
      </c>
      <c r="B231" s="43" t="str">
        <f ca="1">Sk.AL!$B$9</f>
        <v>49 1. KPK Vrchlabí - Hančová Alice</v>
      </c>
      <c r="C231" s="44" t="s">
        <v>117</v>
      </c>
      <c r="D231" s="43" t="str">
        <f ca="1">Sk.AL!$E$9</f>
        <v>124 SK Sahara Vědomice - Suchomel Luděk</v>
      </c>
      <c r="E231" s="161">
        <v>12</v>
      </c>
      <c r="F231" s="161">
        <v>13</v>
      </c>
      <c r="G231" s="364">
        <f ca="1">INDIRECT(ADDRESS(5,A229,1,1,"Hřiště"))</f>
        <v>47</v>
      </c>
      <c r="H231" s="16"/>
      <c r="K231" s="79">
        <f ca="1">IF(TRIM(D231)="-",1,IF(AND(E231="",F231=""),0,IF(N(E231)&gt;N(F231),1,2)))</f>
        <v>2</v>
      </c>
    </row>
    <row r="232" spans="1:11" ht="19.5">
      <c r="A232" s="55" t="s">
        <v>46</v>
      </c>
      <c r="B232" s="43" t="str">
        <f ca="1">Sk.AL!$B$10</f>
        <v>38 FENYX Adamov - Král Pavel</v>
      </c>
      <c r="C232" s="44" t="s">
        <v>117</v>
      </c>
      <c r="D232" s="43" t="str">
        <f ca="1">Sk.AL!$E$10</f>
        <v>124 SK Sahara Vědomice - Suchomel Luděk</v>
      </c>
      <c r="E232" s="161">
        <v>13</v>
      </c>
      <c r="F232" s="161">
        <v>12</v>
      </c>
      <c r="G232" s="364">
        <f ca="1">INDIRECT(ADDRESS(4,A229,1,1,"Hřiště"))</f>
        <v>46</v>
      </c>
      <c r="H232" s="16"/>
      <c r="K232" s="79">
        <f ca="1">IF(TRIM(D232)="-",1,IF(AND(E232="",F232=""),0,IF(N(E232)&gt;N(F232),1,2)))</f>
        <v>1</v>
      </c>
    </row>
    <row r="233" spans="1:11" ht="19.5">
      <c r="A233" s="55" t="s">
        <v>47</v>
      </c>
      <c r="B233" s="43" t="str">
        <f ca="1">Sk.AL!$B$11</f>
        <v>135 VARAN - Tintěrová Kateřina</v>
      </c>
      <c r="C233" s="44" t="s">
        <v>117</v>
      </c>
      <c r="D233" s="43" t="str">
        <f ca="1">Sk.AL!$E$11</f>
        <v>49 1. KPK Vrchlabí - Hančová Alice</v>
      </c>
      <c r="E233" s="161">
        <v>13</v>
      </c>
      <c r="F233" s="161">
        <v>4</v>
      </c>
      <c r="G233" s="364">
        <f ca="1">INDIRECT(ADDRESS(5,A229,1,1,"Hřiště"))</f>
        <v>47</v>
      </c>
      <c r="H233" s="16"/>
      <c r="K233" s="79">
        <f ca="1">IF(TRIM(D233)="-",1,IF(AND(E233="",F233=""),0,IF(N(E233)&gt;N(F233),1,2)))</f>
        <v>1</v>
      </c>
    </row>
    <row r="234" spans="1:11" ht="20.25" thickBot="1">
      <c r="A234" s="56" t="s">
        <v>48</v>
      </c>
      <c r="B234" s="45" t="str">
        <f ca="1">Sk.AL!$B$12</f>
        <v>124 SK Sahara Vědomice - Suchomel Luděk</v>
      </c>
      <c r="C234" s="44" t="s">
        <v>117</v>
      </c>
      <c r="D234" s="45" t="str">
        <f ca="1">Sk.AL!$E$12</f>
        <v>135 VARAN - Tintěrová Kateřina</v>
      </c>
      <c r="E234" s="162">
        <v>6</v>
      </c>
      <c r="F234" s="162">
        <v>13</v>
      </c>
      <c r="G234" s="365">
        <f ca="1">INDIRECT(ADDRESS(4,A229,1,1,"Hřiště"))</f>
        <v>46</v>
      </c>
      <c r="H234" s="16"/>
      <c r="K234" s="79">
        <f ca="1">IF(TRIM(D234)="-",1,IF(AND(E234="",F234=""),0,IF(N(E234)&gt;N(F234),1,2)))</f>
        <v>2</v>
      </c>
    </row>
    <row r="235" spans="1:11" ht="23.25" thickBot="1">
      <c r="A235" s="52">
        <v>39</v>
      </c>
      <c r="B235" s="52"/>
      <c r="C235" s="57" t="s">
        <v>1117</v>
      </c>
      <c r="D235" s="52"/>
      <c r="E235" s="248"/>
      <c r="F235" s="248"/>
      <c r="G235" s="53"/>
      <c r="H235" s="17"/>
    </row>
    <row r="236" spans="1:11" ht="19.5">
      <c r="A236" s="54" t="s">
        <v>114</v>
      </c>
      <c r="B236" s="41" t="str">
        <f ca="1">Sk.AM!$B$8</f>
        <v>39 FRAPECO - Felčárek Jaroslav</v>
      </c>
      <c r="C236" s="42" t="s">
        <v>117</v>
      </c>
      <c r="D236" s="41" t="str">
        <f ca="1">Sk.AM!$E$8</f>
        <v>134 UBU Únětice - Kolaříková Josefína</v>
      </c>
      <c r="E236" s="160">
        <v>13</v>
      </c>
      <c r="F236" s="160">
        <v>4</v>
      </c>
      <c r="G236" s="376">
        <f ca="1">INDIRECT(ADDRESS(4,A235,1,1,"Hřiště"))</f>
        <v>48</v>
      </c>
      <c r="H236" s="16"/>
      <c r="I236">
        <v>39</v>
      </c>
      <c r="J236">
        <f>ROW()</f>
        <v>236</v>
      </c>
      <c r="K236" s="79">
        <f ca="1">IF(TRIM(D236)="-",1,IF(AND(E236="",F236=""),0,IF(N(E236)&gt;N(F236),1,2)))</f>
        <v>1</v>
      </c>
    </row>
    <row r="237" spans="1:11" ht="19.5">
      <c r="A237" s="55" t="s">
        <v>115</v>
      </c>
      <c r="B237" s="43" t="str">
        <f ca="1">Sk.AM!$B$9</f>
        <v>48 UBU Únětice - Palas Pavel</v>
      </c>
      <c r="C237" s="44" t="s">
        <v>117</v>
      </c>
      <c r="D237" s="43" t="str">
        <f ca="1">Sk.AM!$E$9</f>
        <v>125 SK Pétanque Řepy - Váňová Věra</v>
      </c>
      <c r="E237" s="161">
        <v>13</v>
      </c>
      <c r="F237" s="161">
        <v>3</v>
      </c>
      <c r="G237" s="364">
        <f ca="1">INDIRECT(ADDRESS(5,A235,1,1,"Hřiště"))</f>
        <v>49</v>
      </c>
      <c r="H237" s="16"/>
      <c r="K237" s="79">
        <f ca="1">IF(TRIM(D237)="-",1,IF(AND(E237="",F237=""),0,IF(N(E237)&gt;N(F237),1,2)))</f>
        <v>1</v>
      </c>
    </row>
    <row r="238" spans="1:11" ht="19.5">
      <c r="A238" s="55" t="s">
        <v>46</v>
      </c>
      <c r="B238" s="43" t="str">
        <f ca="1">Sk.AM!$B$10</f>
        <v>39 FRAPECO - Felčárek Jaroslav</v>
      </c>
      <c r="C238" s="44" t="s">
        <v>117</v>
      </c>
      <c r="D238" s="43" t="str">
        <f ca="1">Sk.AM!$E$10</f>
        <v>48 UBU Únětice - Palas Pavel</v>
      </c>
      <c r="E238" s="161">
        <v>7</v>
      </c>
      <c r="F238" s="161">
        <v>13</v>
      </c>
      <c r="G238" s="364">
        <f ca="1">INDIRECT(ADDRESS(4,A235,1,1,"Hřiště"))</f>
        <v>48</v>
      </c>
      <c r="H238" s="16"/>
      <c r="K238" s="79">
        <f ca="1">IF(TRIM(D238)="-",1,IF(AND(E238="",F238=""),0,IF(N(E238)&gt;N(F238),1,2)))</f>
        <v>2</v>
      </c>
    </row>
    <row r="239" spans="1:11" ht="19.5">
      <c r="A239" s="55" t="s">
        <v>47</v>
      </c>
      <c r="B239" s="43" t="str">
        <f ca="1">Sk.AM!$B$11</f>
        <v>134 UBU Únětice - Kolaříková Josefína</v>
      </c>
      <c r="C239" s="44" t="s">
        <v>117</v>
      </c>
      <c r="D239" s="43" t="str">
        <f ca="1">Sk.AM!$E$11</f>
        <v>125 SK Pétanque Řepy - Váňová Věra</v>
      </c>
      <c r="E239" s="161">
        <v>13</v>
      </c>
      <c r="F239" s="161">
        <v>12</v>
      </c>
      <c r="G239" s="364">
        <f ca="1">INDIRECT(ADDRESS(5,A235,1,1,"Hřiště"))</f>
        <v>49</v>
      </c>
      <c r="H239" s="16"/>
      <c r="K239" s="79">
        <f ca="1">IF(TRIM(D239)="-",1,IF(AND(E239="",F239=""),0,IF(N(E239)&gt;N(F239),1,2)))</f>
        <v>1</v>
      </c>
    </row>
    <row r="240" spans="1:11" ht="20.25" thickBot="1">
      <c r="A240" s="56" t="s">
        <v>48</v>
      </c>
      <c r="B240" s="45" t="str">
        <f ca="1">Sk.AM!$B$12</f>
        <v>39 FRAPECO - Felčárek Jaroslav</v>
      </c>
      <c r="C240" s="44" t="s">
        <v>117</v>
      </c>
      <c r="D240" s="45" t="str">
        <f ca="1">Sk.AM!$E$12</f>
        <v>134 UBU Únětice - Kolaříková Josefína</v>
      </c>
      <c r="E240" s="162">
        <v>13</v>
      </c>
      <c r="F240" s="162">
        <v>5</v>
      </c>
      <c r="G240" s="365">
        <f ca="1">INDIRECT(ADDRESS(4,A235,1,1,"Hřiště"))</f>
        <v>48</v>
      </c>
      <c r="H240" s="16"/>
      <c r="K240" s="79">
        <f ca="1">IF(TRIM(D240)="-",1,IF(AND(E240="",F240=""),0,IF(N(E240)&gt;N(F240),1,2)))</f>
        <v>1</v>
      </c>
    </row>
    <row r="241" spans="1:11" ht="23.25" thickBot="1">
      <c r="A241" s="52">
        <v>40</v>
      </c>
      <c r="B241" s="52"/>
      <c r="C241" s="57" t="s">
        <v>1118</v>
      </c>
      <c r="D241" s="52"/>
      <c r="E241" s="248"/>
      <c r="F241" s="248"/>
      <c r="G241" s="53"/>
      <c r="H241" s="17"/>
    </row>
    <row r="242" spans="1:11" ht="19.5">
      <c r="A242" s="54" t="s">
        <v>114</v>
      </c>
      <c r="B242" s="41" t="str">
        <f ca="1">Sk.AN!$B$8</f>
        <v>40 HAPEK - Bureš Pavel st.</v>
      </c>
      <c r="C242" s="42" t="s">
        <v>117</v>
      </c>
      <c r="D242" s="41" t="str">
        <f ca="1">Sk.AN!$E$8</f>
        <v>133 FRAPECO - Husáková Petra</v>
      </c>
      <c r="E242" s="160">
        <v>13</v>
      </c>
      <c r="F242" s="160">
        <v>8</v>
      </c>
      <c r="G242" s="376">
        <f ca="1">INDIRECT(ADDRESS(4,A241,1,1,"Hřiště"))</f>
        <v>50</v>
      </c>
      <c r="H242" s="16"/>
      <c r="I242">
        <v>40</v>
      </c>
      <c r="J242">
        <f>ROW()</f>
        <v>242</v>
      </c>
      <c r="K242" s="79">
        <f ca="1">IF(TRIM(D242)="-",1,IF(AND(E242="",F242=""),0,IF(N(E242)&gt;N(F242),1,2)))</f>
        <v>1</v>
      </c>
    </row>
    <row r="243" spans="1:11" ht="19.5">
      <c r="A243" s="55" t="s">
        <v>115</v>
      </c>
      <c r="B243" s="43" t="str">
        <f ca="1">Sk.AN!$B$9</f>
        <v>47 SK Sahara Vědomice - Kulhánek Milan</v>
      </c>
      <c r="C243" s="44" t="s">
        <v>117</v>
      </c>
      <c r="D243" s="43" t="str">
        <f ca="1">Sk.AN!$E$9</f>
        <v>126 1. KPK Vrchlabí - Lukeš Jakub</v>
      </c>
      <c r="E243" s="161">
        <v>11</v>
      </c>
      <c r="F243" s="161">
        <v>13</v>
      </c>
      <c r="G243" s="364">
        <f ca="1">INDIRECT(ADDRESS(5,A241,1,1,"Hřiště"))</f>
        <v>51</v>
      </c>
      <c r="H243" s="16"/>
      <c r="K243" s="79">
        <f ca="1">IF(TRIM(D243)="-",1,IF(AND(E243="",F243=""),0,IF(N(E243)&gt;N(F243),1,2)))</f>
        <v>2</v>
      </c>
    </row>
    <row r="244" spans="1:11" ht="19.5">
      <c r="A244" s="55" t="s">
        <v>46</v>
      </c>
      <c r="B244" s="43" t="str">
        <f ca="1">Sk.AN!$B$10</f>
        <v>40 HAPEK - Bureš Pavel st.</v>
      </c>
      <c r="C244" s="44" t="s">
        <v>117</v>
      </c>
      <c r="D244" s="43" t="str">
        <f ca="1">Sk.AN!$E$10</f>
        <v>126 1. KPK Vrchlabí - Lukeš Jakub</v>
      </c>
      <c r="E244" s="161">
        <v>13</v>
      </c>
      <c r="F244" s="161">
        <v>11</v>
      </c>
      <c r="G244" s="364">
        <f ca="1">INDIRECT(ADDRESS(4,A241,1,1,"Hřiště"))</f>
        <v>50</v>
      </c>
      <c r="H244" s="16"/>
      <c r="K244" s="79">
        <f ca="1">IF(TRIM(D244)="-",1,IF(AND(E244="",F244=""),0,IF(N(E244)&gt;N(F244),1,2)))</f>
        <v>1</v>
      </c>
    </row>
    <row r="245" spans="1:11" ht="19.5">
      <c r="A245" s="55" t="s">
        <v>47</v>
      </c>
      <c r="B245" s="43" t="str">
        <f ca="1">Sk.AN!$B$11</f>
        <v>133 FRAPECO - Husáková Petra</v>
      </c>
      <c r="C245" s="44" t="s">
        <v>117</v>
      </c>
      <c r="D245" s="43" t="str">
        <f ca="1">Sk.AN!$E$11</f>
        <v>47 SK Sahara Vědomice - Kulhánek Milan</v>
      </c>
      <c r="E245" s="161">
        <v>13</v>
      </c>
      <c r="F245" s="161">
        <v>3</v>
      </c>
      <c r="G245" s="364">
        <f ca="1">INDIRECT(ADDRESS(5,A241,1,1,"Hřiště"))</f>
        <v>51</v>
      </c>
      <c r="H245" s="16"/>
      <c r="K245" s="79">
        <f ca="1">IF(TRIM(D245)="-",1,IF(AND(E245="",F245=""),0,IF(N(E245)&gt;N(F245),1,2)))</f>
        <v>1</v>
      </c>
    </row>
    <row r="246" spans="1:11" ht="20.25" thickBot="1">
      <c r="A246" s="56" t="s">
        <v>48</v>
      </c>
      <c r="B246" s="45" t="str">
        <f ca="1">Sk.AN!$B$12</f>
        <v>126 1. KPK Vrchlabí - Lukeš Jakub</v>
      </c>
      <c r="C246" s="44" t="s">
        <v>117</v>
      </c>
      <c r="D246" s="45" t="str">
        <f ca="1">Sk.AN!$E$12</f>
        <v>133 FRAPECO - Husáková Petra</v>
      </c>
      <c r="E246" s="162">
        <v>13</v>
      </c>
      <c r="F246" s="162">
        <v>4</v>
      </c>
      <c r="G246" s="365">
        <f ca="1">INDIRECT(ADDRESS(4,A241,1,1,"Hřiště"))</f>
        <v>50</v>
      </c>
      <c r="H246" s="16"/>
      <c r="K246" s="79">
        <f ca="1">IF(TRIM(D246)="-",1,IF(AND(E246="",F246=""),0,IF(N(E246)&gt;N(F246),1,2)))</f>
        <v>1</v>
      </c>
    </row>
    <row r="247" spans="1:11" ht="23.25" thickBot="1">
      <c r="A247" s="52">
        <v>41</v>
      </c>
      <c r="B247" s="52"/>
      <c r="C247" s="57" t="s">
        <v>1119</v>
      </c>
      <c r="D247" s="52"/>
      <c r="E247" s="248"/>
      <c r="F247" s="248"/>
      <c r="G247" s="53"/>
      <c r="H247" s="16"/>
    </row>
    <row r="248" spans="1:11" ht="19.5">
      <c r="A248" s="54" t="s">
        <v>114</v>
      </c>
      <c r="B248" s="41" t="str">
        <f ca="1">Sk.AO!$B$8</f>
        <v>41 SKP Kulová osma - Pilát Petr</v>
      </c>
      <c r="C248" s="42" t="s">
        <v>117</v>
      </c>
      <c r="D248" s="41" t="str">
        <f ca="1">Sk.AO!$E$8</f>
        <v>132 SK Pétanque Řepy - Čapková Věra</v>
      </c>
      <c r="E248" s="160">
        <v>13</v>
      </c>
      <c r="F248" s="160">
        <v>4</v>
      </c>
      <c r="G248" s="376">
        <f ca="1">INDIRECT(ADDRESS(4,A247,1,1,"Hřiště"))</f>
        <v>52</v>
      </c>
      <c r="H248" s="16"/>
      <c r="I248">
        <v>41</v>
      </c>
      <c r="J248">
        <f>ROW()</f>
        <v>248</v>
      </c>
      <c r="K248" s="79">
        <f ca="1">IF(TRIM(D248)="-",1,IF(AND(E248="",F248=""),0,IF(N(E248)&gt;N(F248),1,2)))</f>
        <v>1</v>
      </c>
    </row>
    <row r="249" spans="1:11" ht="19.5">
      <c r="A249" s="55" t="s">
        <v>115</v>
      </c>
      <c r="B249" s="43" t="str">
        <f ca="1">Sk.AO!$B$9</f>
        <v>46 PK Osika Plzeň - Radoušová Jana</v>
      </c>
      <c r="C249" s="44" t="s">
        <v>117</v>
      </c>
      <c r="D249" s="43" t="str">
        <f ca="1">Sk.AO!$E$9</f>
        <v>127 JAPKO - Fukal Milan</v>
      </c>
      <c r="E249" s="161">
        <v>10</v>
      </c>
      <c r="F249" s="161">
        <v>13</v>
      </c>
      <c r="G249" s="364">
        <f ca="1">INDIRECT(ADDRESS(5,A247,1,1,"Hřiště"))</f>
        <v>53</v>
      </c>
      <c r="H249" s="16"/>
      <c r="K249" s="79">
        <f ca="1">IF(TRIM(D249)="-",1,IF(AND(E249="",F249=""),0,IF(N(E249)&gt;N(F249),1,2)))</f>
        <v>2</v>
      </c>
    </row>
    <row r="250" spans="1:11" ht="19.5">
      <c r="A250" s="55" t="s">
        <v>46</v>
      </c>
      <c r="B250" s="43" t="str">
        <f ca="1">Sk.AO!$B$10</f>
        <v>41 SKP Kulová osma - Pilát Petr</v>
      </c>
      <c r="C250" s="44" t="s">
        <v>117</v>
      </c>
      <c r="D250" s="43" t="str">
        <f ca="1">Sk.AO!$E$10</f>
        <v>127 JAPKO - Fukal Milan</v>
      </c>
      <c r="E250" s="161">
        <v>13</v>
      </c>
      <c r="F250" s="161">
        <v>8</v>
      </c>
      <c r="G250" s="364">
        <f ca="1">INDIRECT(ADDRESS(4,A247,1,1,"Hřiště"))</f>
        <v>52</v>
      </c>
      <c r="H250" s="16"/>
      <c r="K250" s="79">
        <f ca="1">IF(TRIM(D250)="-",1,IF(AND(E250="",F250=""),0,IF(N(E250)&gt;N(F250),1,2)))</f>
        <v>1</v>
      </c>
    </row>
    <row r="251" spans="1:11" ht="19.5">
      <c r="A251" s="55" t="s">
        <v>47</v>
      </c>
      <c r="B251" s="43" t="str">
        <f ca="1">Sk.AO!$B$11</f>
        <v>132 SK Pétanque Řepy - Čapková Věra</v>
      </c>
      <c r="C251" s="44" t="s">
        <v>117</v>
      </c>
      <c r="D251" s="43" t="str">
        <f ca="1">Sk.AO!$E$11</f>
        <v>46 PK Osika Plzeň - Radoušová Jana</v>
      </c>
      <c r="E251" s="161">
        <v>2</v>
      </c>
      <c r="F251" s="161">
        <v>13</v>
      </c>
      <c r="G251" s="364">
        <f ca="1">INDIRECT(ADDRESS(5,A247,1,1,"Hřiště"))</f>
        <v>53</v>
      </c>
      <c r="H251" s="16"/>
      <c r="K251" s="79">
        <f ca="1">IF(TRIM(D251)="-",1,IF(AND(E251="",F251=""),0,IF(N(E251)&gt;N(F251),1,2)))</f>
        <v>2</v>
      </c>
    </row>
    <row r="252" spans="1:11" ht="20.25" thickBot="1">
      <c r="A252" s="56" t="s">
        <v>48</v>
      </c>
      <c r="B252" s="45" t="str">
        <f ca="1">Sk.AO!$B$12</f>
        <v>127 JAPKO - Fukal Milan</v>
      </c>
      <c r="C252" s="44" t="s">
        <v>117</v>
      </c>
      <c r="D252" s="45" t="str">
        <f ca="1">Sk.AO!$E$12</f>
        <v>46 PK Osika Plzeň - Radoušová Jana</v>
      </c>
      <c r="E252" s="162">
        <v>13</v>
      </c>
      <c r="F252" s="162">
        <v>8</v>
      </c>
      <c r="G252" s="365">
        <f ca="1">INDIRECT(ADDRESS(4,A247,1,1,"Hřiště"))</f>
        <v>52</v>
      </c>
      <c r="K252" s="79">
        <f ca="1">IF(TRIM(D252)="-",1,IF(AND(E252="",F252=""),0,IF(N(E252)&gt;N(F252),1,2)))</f>
        <v>1</v>
      </c>
    </row>
    <row r="253" spans="1:11" ht="23.25" thickBot="1">
      <c r="A253" s="52">
        <v>42</v>
      </c>
      <c r="B253" s="52"/>
      <c r="C253" s="57" t="s">
        <v>1120</v>
      </c>
      <c r="D253" s="52"/>
      <c r="E253" s="248"/>
      <c r="F253" s="248"/>
      <c r="G253" s="53"/>
      <c r="H253" s="16"/>
    </row>
    <row r="254" spans="1:11" ht="19.5">
      <c r="A254" s="54" t="s">
        <v>114</v>
      </c>
      <c r="B254" s="41" t="str">
        <f ca="1">Sk.AP!$B$8</f>
        <v>42 FRAPECO - Šedivý Zdeněk</v>
      </c>
      <c r="C254" s="42" t="s">
        <v>117</v>
      </c>
      <c r="D254" s="41" t="str">
        <f ca="1">Sk.AP!$E$8</f>
        <v>131 PKT Velký Šanc - Sedláčková Hedvika</v>
      </c>
      <c r="E254" s="160">
        <v>8</v>
      </c>
      <c r="F254" s="160">
        <v>13</v>
      </c>
      <c r="G254" s="376">
        <f ca="1">INDIRECT(ADDRESS(4,A253,1,1,"Hřiště"))</f>
        <v>54</v>
      </c>
      <c r="H254" s="16"/>
      <c r="I254">
        <v>42</v>
      </c>
      <c r="J254">
        <f>ROW()</f>
        <v>254</v>
      </c>
      <c r="K254" s="79">
        <f ca="1">IF(TRIM(D254)="-",1,IF(AND(E254="",F254=""),0,IF(N(E254)&gt;N(F254),1,2)))</f>
        <v>2</v>
      </c>
    </row>
    <row r="255" spans="1:11" ht="19.5">
      <c r="A255" s="55" t="s">
        <v>115</v>
      </c>
      <c r="B255" s="43" t="str">
        <f ca="1">Sk.AP!$B$9</f>
        <v>45 SKP Hranice VI-Valšovice - Tománek Petr</v>
      </c>
      <c r="C255" s="44" t="s">
        <v>117</v>
      </c>
      <c r="D255" s="43" t="str">
        <f ca="1">Sk.AP!$E$9</f>
        <v>128 PC Mimo Done - Duška Miloš</v>
      </c>
      <c r="E255" s="161">
        <v>13</v>
      </c>
      <c r="F255" s="161">
        <v>3</v>
      </c>
      <c r="G255" s="364">
        <f ca="1">INDIRECT(ADDRESS(5,A253,1,1,"Hřiště"))</f>
        <v>55</v>
      </c>
      <c r="H255" s="16"/>
      <c r="K255" s="79">
        <f ca="1">IF(TRIM(D255)="-",1,IF(AND(E255="",F255=""),0,IF(N(E255)&gt;N(F255),1,2)))</f>
        <v>1</v>
      </c>
    </row>
    <row r="256" spans="1:11" ht="19.5">
      <c r="A256" s="55" t="s">
        <v>46</v>
      </c>
      <c r="B256" s="43" t="str">
        <f ca="1">Sk.AP!$B$10</f>
        <v>131 PKT Velký Šanc - Sedláčková Hedvika</v>
      </c>
      <c r="C256" s="44" t="s">
        <v>117</v>
      </c>
      <c r="D256" s="43" t="str">
        <f ca="1">Sk.AP!$E$10</f>
        <v>45 SKP Hranice VI-Valšovice - Tománek Petr</v>
      </c>
      <c r="E256" s="161">
        <v>13</v>
      </c>
      <c r="F256" s="161">
        <v>6</v>
      </c>
      <c r="G256" s="364">
        <f ca="1">INDIRECT(ADDRESS(4,A253,1,1,"Hřiště"))</f>
        <v>54</v>
      </c>
      <c r="H256" s="16"/>
      <c r="K256" s="79">
        <f ca="1">IF(TRIM(D256)="-",1,IF(AND(E256="",F256=""),0,IF(N(E256)&gt;N(F256),1,2)))</f>
        <v>1</v>
      </c>
    </row>
    <row r="257" spans="1:11" ht="19.5">
      <c r="A257" s="55" t="s">
        <v>47</v>
      </c>
      <c r="B257" s="43" t="str">
        <f ca="1">Sk.AP!$B$11</f>
        <v>42 FRAPECO - Šedivý Zdeněk</v>
      </c>
      <c r="C257" s="44" t="s">
        <v>117</v>
      </c>
      <c r="D257" s="43" t="str">
        <f ca="1">Sk.AP!$E$11</f>
        <v>128 PC Mimo Done - Duška Miloš</v>
      </c>
      <c r="E257" s="161">
        <v>13</v>
      </c>
      <c r="F257" s="161">
        <v>8</v>
      </c>
      <c r="G257" s="364">
        <f ca="1">INDIRECT(ADDRESS(5,A253,1,1,"Hřiště"))</f>
        <v>55</v>
      </c>
      <c r="H257" s="16"/>
      <c r="K257" s="79">
        <f ca="1">IF(TRIM(D257)="-",1,IF(AND(E257="",F257=""),0,IF(N(E257)&gt;N(F257),1,2)))</f>
        <v>1</v>
      </c>
    </row>
    <row r="258" spans="1:11" ht="20.25" thickBot="1">
      <c r="A258" s="56" t="s">
        <v>48</v>
      </c>
      <c r="B258" s="45" t="str">
        <f ca="1">Sk.AP!$B$12</f>
        <v>45 SKP Hranice VI-Valšovice - Tománek Petr</v>
      </c>
      <c r="C258" s="44" t="s">
        <v>117</v>
      </c>
      <c r="D258" s="45" t="str">
        <f ca="1">Sk.AP!$E$12</f>
        <v>42 FRAPECO - Šedivý Zdeněk</v>
      </c>
      <c r="E258" s="162">
        <v>13</v>
      </c>
      <c r="F258" s="162">
        <v>10</v>
      </c>
      <c r="G258" s="365">
        <f ca="1">INDIRECT(ADDRESS(4,A253,1,1,"Hřiště"))</f>
        <v>54</v>
      </c>
      <c r="K258" s="79">
        <f ca="1">IF(TRIM(D258)="-",1,IF(AND(E258="",F258=""),0,IF(N(E258)&gt;N(F258),1,2)))</f>
        <v>1</v>
      </c>
    </row>
    <row r="259" spans="1:11" ht="23.25" thickBot="1">
      <c r="A259" s="52">
        <v>43</v>
      </c>
      <c r="B259" s="52"/>
      <c r="C259" s="57" t="s">
        <v>1121</v>
      </c>
      <c r="D259" s="52"/>
      <c r="E259" s="248"/>
      <c r="F259" s="248"/>
      <c r="G259" s="53"/>
      <c r="H259" s="16"/>
    </row>
    <row r="260" spans="1:11" ht="19.5">
      <c r="A260" s="54" t="s">
        <v>114</v>
      </c>
      <c r="B260" s="41" t="str">
        <f ca="1">Sk.AQ!$B$8</f>
        <v>43 SK Sahara Vědomice - Přibyl Miloš</v>
      </c>
      <c r="C260" s="42" t="s">
        <v>117</v>
      </c>
      <c r="D260" s="41" t="str">
        <f ca="1">Sk.AQ!$E$8</f>
        <v>130 PEK Stolín - Rousková Nina</v>
      </c>
      <c r="E260" s="160">
        <v>13</v>
      </c>
      <c r="F260" s="160">
        <v>6</v>
      </c>
      <c r="G260" s="376">
        <f ca="1">INDIRECT(ADDRESS(4,A259,1,1,"Hřiště"))</f>
        <v>56</v>
      </c>
      <c r="H260" s="16"/>
      <c r="I260">
        <v>43</v>
      </c>
      <c r="J260">
        <f>ROW()</f>
        <v>260</v>
      </c>
      <c r="K260" s="79">
        <f ca="1">IF(TRIM(D260)="-",1,IF(AND(E260="",F260=""),0,IF(N(E260)&gt;N(F260),1,2)))</f>
        <v>1</v>
      </c>
    </row>
    <row r="261" spans="1:11" ht="19.5">
      <c r="A261" s="55" t="s">
        <v>115</v>
      </c>
      <c r="B261" s="43" t="str">
        <f ca="1">Sk.AQ!$B$9</f>
        <v>44 Petank Club Praha - Vorel Jan</v>
      </c>
      <c r="C261" s="44" t="s">
        <v>117</v>
      </c>
      <c r="D261" s="43" t="str">
        <f ca="1">Sk.AQ!$E$9</f>
        <v>129 SK Pétanque Řepy - Gazdíková Jiřina</v>
      </c>
      <c r="E261" s="161">
        <v>13</v>
      </c>
      <c r="F261" s="161">
        <v>3</v>
      </c>
      <c r="G261" s="364">
        <f ca="1">INDIRECT(ADDRESS(5,A259,1,1,"Hřiště"))</f>
        <v>57</v>
      </c>
      <c r="H261" s="16"/>
      <c r="K261" s="79">
        <f ca="1">IF(TRIM(D261)="-",1,IF(AND(E261="",F261=""),0,IF(N(E261)&gt;N(F261),1,2)))</f>
        <v>1</v>
      </c>
    </row>
    <row r="262" spans="1:11" ht="19.5">
      <c r="A262" s="55" t="s">
        <v>46</v>
      </c>
      <c r="B262" s="43" t="str">
        <f ca="1">Sk.AQ!$B$10</f>
        <v>43 SK Sahara Vědomice - Přibyl Miloš</v>
      </c>
      <c r="C262" s="44" t="s">
        <v>117</v>
      </c>
      <c r="D262" s="43" t="str">
        <f ca="1">Sk.AQ!$E$10</f>
        <v>44 Petank Club Praha - Vorel Jan</v>
      </c>
      <c r="E262" s="161">
        <v>13</v>
      </c>
      <c r="F262" s="161">
        <v>9</v>
      </c>
      <c r="G262" s="364">
        <f ca="1">INDIRECT(ADDRESS(4,A259,1,1,"Hřiště"))</f>
        <v>56</v>
      </c>
      <c r="H262" s="16"/>
      <c r="K262" s="79">
        <f ca="1">IF(TRIM(D262)="-",1,IF(AND(E262="",F262=""),0,IF(N(E262)&gt;N(F262),1,2)))</f>
        <v>1</v>
      </c>
    </row>
    <row r="263" spans="1:11" ht="19.5">
      <c r="A263" s="55" t="s">
        <v>47</v>
      </c>
      <c r="B263" s="43" t="str">
        <f ca="1">Sk.AQ!$B$11</f>
        <v>130 PEK Stolín - Rousková Nina</v>
      </c>
      <c r="C263" s="44" t="s">
        <v>117</v>
      </c>
      <c r="D263" s="43" t="str">
        <f ca="1">Sk.AQ!$E$11</f>
        <v>129 SK Pétanque Řepy - Gazdíková Jiřina</v>
      </c>
      <c r="E263" s="161">
        <v>7</v>
      </c>
      <c r="F263" s="161">
        <v>13</v>
      </c>
      <c r="G263" s="364">
        <f ca="1">INDIRECT(ADDRESS(5,A259,1,1,"Hřiště"))</f>
        <v>57</v>
      </c>
      <c r="H263" s="16"/>
      <c r="K263" s="79">
        <f ca="1">IF(TRIM(D263)="-",1,IF(AND(E263="",F263=""),0,IF(N(E263)&gt;N(F263),1,2)))</f>
        <v>2</v>
      </c>
    </row>
    <row r="264" spans="1:11" ht="20.25" thickBot="1">
      <c r="A264" s="56" t="s">
        <v>48</v>
      </c>
      <c r="B264" s="45" t="str">
        <f ca="1">Sk.AQ!$B$12</f>
        <v>44 Petank Club Praha - Vorel Jan</v>
      </c>
      <c r="C264" s="44" t="s">
        <v>117</v>
      </c>
      <c r="D264" s="45" t="str">
        <f ca="1">Sk.AQ!$E$12</f>
        <v>129 SK Pétanque Řepy - Gazdíková Jiřina</v>
      </c>
      <c r="E264" s="162">
        <v>13</v>
      </c>
      <c r="F264" s="162">
        <v>6</v>
      </c>
      <c r="G264" s="365">
        <f ca="1">INDIRECT(ADDRESS(4,A259,1,1,"Hřiště"))</f>
        <v>56</v>
      </c>
      <c r="K264" s="79">
        <f ca="1">IF(TRIM(D264)="-",1,IF(AND(E264="",F264=""),0,IF(N(E264)&gt;N(F264),1,2)))</f>
        <v>1</v>
      </c>
    </row>
    <row r="265" spans="1:11" ht="23.25" thickBot="1">
      <c r="A265" s="52">
        <v>44</v>
      </c>
      <c r="B265" s="52"/>
      <c r="C265" s="57" t="s">
        <v>1122</v>
      </c>
      <c r="D265" s="52"/>
      <c r="E265" s="248"/>
      <c r="F265" s="248"/>
      <c r="G265" s="53"/>
      <c r="H265" s="16"/>
    </row>
    <row r="266" spans="1:11" ht="19.5">
      <c r="A266" s="54" t="s">
        <v>114</v>
      </c>
      <c r="B266" s="41" t="str">
        <f ca="1">Sk.AR!$B$8</f>
        <v xml:space="preserve"> - </v>
      </c>
      <c r="C266" s="42" t="s">
        <v>117</v>
      </c>
      <c r="D266" s="41" t="str">
        <f ca="1">Sk.AR!$E$8</f>
        <v xml:space="preserve"> - </v>
      </c>
      <c r="E266" s="160"/>
      <c r="F266" s="160"/>
      <c r="G266" s="376">
        <f ca="1">INDIRECT(ADDRESS(4,A265,1,1,"Hřiště"))</f>
        <v>0</v>
      </c>
      <c r="H266" s="16"/>
      <c r="I266">
        <v>44</v>
      </c>
      <c r="J266">
        <f>ROW()</f>
        <v>266</v>
      </c>
      <c r="K266" s="79">
        <f ca="1">IF(TRIM(D266)="-",1,IF(AND(E266="",F266=""),0,IF(N(E266)&gt;N(F266),1,2)))</f>
        <v>1</v>
      </c>
    </row>
    <row r="267" spans="1:11" ht="19.5">
      <c r="A267" s="55" t="s">
        <v>115</v>
      </c>
      <c r="B267" s="43" t="str">
        <f ca="1">Sk.AR!$B$9</f>
        <v xml:space="preserve"> - </v>
      </c>
      <c r="C267" s="44" t="s">
        <v>117</v>
      </c>
      <c r="D267" s="43" t="str">
        <f ca="1">Sk.AR!$E$9</f>
        <v xml:space="preserve"> - </v>
      </c>
      <c r="E267" s="161"/>
      <c r="F267" s="161"/>
      <c r="G267" s="364">
        <f ca="1">INDIRECT(ADDRESS(5,A265,1,1,"Hřiště"))</f>
        <v>0</v>
      </c>
      <c r="H267" s="16"/>
      <c r="K267" s="79">
        <f ca="1">IF(TRIM(D267)="-",1,IF(AND(E267="",F267=""),0,IF(N(E267)&gt;N(F267),1,2)))</f>
        <v>1</v>
      </c>
    </row>
    <row r="268" spans="1:11" ht="19.5">
      <c r="A268" s="55" t="s">
        <v>46</v>
      </c>
      <c r="B268" s="43" t="str">
        <f ca="1">Sk.AR!$B$10</f>
        <v xml:space="preserve"> - </v>
      </c>
      <c r="C268" s="44" t="s">
        <v>117</v>
      </c>
      <c r="D268" s="43" t="str">
        <f>Sk.AR!$E$10</f>
        <v xml:space="preserve"> </v>
      </c>
      <c r="E268" s="161"/>
      <c r="F268" s="161"/>
      <c r="G268" s="364">
        <f ca="1">INDIRECT(ADDRESS(4,A265,1,1,"Hřiště"))</f>
        <v>0</v>
      </c>
      <c r="H268" s="16"/>
      <c r="K268" s="79">
        <f>IF(TRIM(D268)="-",1,IF(AND(E268="",F268=""),0,IF(N(E268)&gt;N(F268),1,2)))</f>
        <v>0</v>
      </c>
    </row>
    <row r="269" spans="1:11" ht="19.5">
      <c r="A269" s="55" t="s">
        <v>47</v>
      </c>
      <c r="B269" s="43" t="str">
        <f ca="1">Sk.AR!$B$11</f>
        <v xml:space="preserve"> - </v>
      </c>
      <c r="C269" s="44" t="s">
        <v>117</v>
      </c>
      <c r="D269" s="43" t="str">
        <f ca="1">Sk.AR!$E$11</f>
        <v xml:space="preserve"> </v>
      </c>
      <c r="E269" s="161"/>
      <c r="F269" s="161"/>
      <c r="G269" s="364">
        <f ca="1">INDIRECT(ADDRESS(5,A265,1,1,"Hřiště"))</f>
        <v>0</v>
      </c>
      <c r="H269" s="16"/>
      <c r="K269" s="79">
        <f ca="1">IF(TRIM(D269)="-",1,IF(AND(E269="",F269=""),0,IF(N(E269)&gt;N(F269),1,2)))</f>
        <v>0</v>
      </c>
    </row>
    <row r="270" spans="1:11" ht="20.25" thickBot="1">
      <c r="A270" s="56" t="s">
        <v>48</v>
      </c>
      <c r="B270" s="45" t="str">
        <f>Sk.AR!$B$12</f>
        <v xml:space="preserve"> </v>
      </c>
      <c r="C270" s="44" t="s">
        <v>117</v>
      </c>
      <c r="D270" s="45" t="str">
        <f ca="1">Sk.AR!$E$12</f>
        <v xml:space="preserve"> </v>
      </c>
      <c r="E270" s="162"/>
      <c r="F270" s="162"/>
      <c r="G270" s="365">
        <f ca="1">INDIRECT(ADDRESS(4,A265,1,1,"Hřiště"))</f>
        <v>0</v>
      </c>
      <c r="K270" s="79">
        <f ca="1">IF(TRIM(D270)="-",1,IF(AND(E270="",F270=""),0,IF(N(E270)&gt;N(F270),1,2)))</f>
        <v>0</v>
      </c>
    </row>
    <row r="271" spans="1:11" ht="23.25" thickBot="1">
      <c r="A271" s="52">
        <v>45</v>
      </c>
      <c r="B271" s="52"/>
      <c r="C271" s="57" t="s">
        <v>1123</v>
      </c>
      <c r="D271" s="52"/>
      <c r="E271" s="248"/>
      <c r="F271" s="248"/>
      <c r="G271" s="53"/>
      <c r="H271" s="16"/>
    </row>
    <row r="272" spans="1:11" ht="19.5">
      <c r="A272" s="54" t="s">
        <v>114</v>
      </c>
      <c r="B272" s="41" t="str">
        <f ca="1">Sk.AS!$B$8</f>
        <v xml:space="preserve"> - </v>
      </c>
      <c r="C272" s="42" t="s">
        <v>117</v>
      </c>
      <c r="D272" s="41" t="str">
        <f ca="1">Sk.AS!$E$8</f>
        <v xml:space="preserve"> - </v>
      </c>
      <c r="E272" s="160"/>
      <c r="F272" s="160"/>
      <c r="G272" s="376">
        <f ca="1">INDIRECT(ADDRESS(4,A271,1,1,"Hřiště"))</f>
        <v>0</v>
      </c>
      <c r="H272" s="16"/>
      <c r="I272">
        <v>45</v>
      </c>
      <c r="J272">
        <f>ROW()</f>
        <v>272</v>
      </c>
      <c r="K272" s="79">
        <f ca="1">IF(TRIM(D272)="-",1,IF(AND(E272="",F272=""),0,IF(N(E272)&gt;N(F272),1,2)))</f>
        <v>1</v>
      </c>
    </row>
    <row r="273" spans="1:11" ht="19.5">
      <c r="A273" s="55" t="s">
        <v>115</v>
      </c>
      <c r="B273" s="43" t="str">
        <f ca="1">Sk.AS!$B$9</f>
        <v xml:space="preserve"> - </v>
      </c>
      <c r="C273" s="44" t="s">
        <v>117</v>
      </c>
      <c r="D273" s="43" t="str">
        <f ca="1">Sk.AS!$E$9</f>
        <v xml:space="preserve"> - </v>
      </c>
      <c r="E273" s="161"/>
      <c r="F273" s="161"/>
      <c r="G273" s="364">
        <f ca="1">INDIRECT(ADDRESS(5,A271,1,1,"Hřiště"))</f>
        <v>0</v>
      </c>
      <c r="H273" s="16"/>
      <c r="K273" s="79">
        <f ca="1">IF(TRIM(D273)="-",1,IF(AND(E273="",F273=""),0,IF(N(E273)&gt;N(F273),1,2)))</f>
        <v>1</v>
      </c>
    </row>
    <row r="274" spans="1:11" ht="19.5">
      <c r="A274" s="55" t="s">
        <v>46</v>
      </c>
      <c r="B274" s="43" t="str">
        <f ca="1">Sk.AS!$B$10</f>
        <v xml:space="preserve"> - </v>
      </c>
      <c r="C274" s="44" t="s">
        <v>117</v>
      </c>
      <c r="D274" s="43" t="str">
        <f>Sk.AS!$E$10</f>
        <v xml:space="preserve"> </v>
      </c>
      <c r="E274" s="161"/>
      <c r="F274" s="161"/>
      <c r="G274" s="364">
        <f ca="1">INDIRECT(ADDRESS(4,A271,1,1,"Hřiště"))</f>
        <v>0</v>
      </c>
      <c r="H274" s="16"/>
      <c r="K274" s="79">
        <f>IF(TRIM(D274)="-",1,IF(AND(E274="",F274=""),0,IF(N(E274)&gt;N(F274),1,2)))</f>
        <v>0</v>
      </c>
    </row>
    <row r="275" spans="1:11" ht="19.5">
      <c r="A275" s="55" t="s">
        <v>47</v>
      </c>
      <c r="B275" s="43" t="str">
        <f ca="1">Sk.AS!$B$11</f>
        <v xml:space="preserve"> - </v>
      </c>
      <c r="C275" s="44" t="s">
        <v>117</v>
      </c>
      <c r="D275" s="43" t="str">
        <f ca="1">Sk.AS!$E$11</f>
        <v xml:space="preserve"> </v>
      </c>
      <c r="E275" s="161"/>
      <c r="F275" s="161"/>
      <c r="G275" s="364">
        <f ca="1">INDIRECT(ADDRESS(5,A271,1,1,"Hřiště"))</f>
        <v>0</v>
      </c>
      <c r="H275" s="16"/>
      <c r="K275" s="79">
        <f ca="1">IF(TRIM(D275)="-",1,IF(AND(E275="",F275=""),0,IF(N(E275)&gt;N(F275),1,2)))</f>
        <v>0</v>
      </c>
    </row>
    <row r="276" spans="1:11" ht="20.25" thickBot="1">
      <c r="A276" s="56" t="s">
        <v>48</v>
      </c>
      <c r="B276" s="45" t="str">
        <f>Sk.AS!$B$12</f>
        <v xml:space="preserve"> </v>
      </c>
      <c r="C276" s="44" t="s">
        <v>117</v>
      </c>
      <c r="D276" s="45" t="str">
        <f ca="1">Sk.AS!$E$12</f>
        <v xml:space="preserve"> </v>
      </c>
      <c r="E276" s="162"/>
      <c r="F276" s="162"/>
      <c r="G276" s="365">
        <f ca="1">INDIRECT(ADDRESS(4,A271,1,1,"Hřiště"))</f>
        <v>0</v>
      </c>
      <c r="K276" s="79">
        <f ca="1">IF(TRIM(D276)="-",1,IF(AND(E276="",F276=""),0,IF(N(E276)&gt;N(F276),1,2)))</f>
        <v>0</v>
      </c>
    </row>
    <row r="277" spans="1:11" ht="23.25" thickBot="1">
      <c r="A277" s="52">
        <v>46</v>
      </c>
      <c r="B277" s="52"/>
      <c r="C277" s="57" t="s">
        <v>1124</v>
      </c>
      <c r="D277" s="52"/>
      <c r="E277" s="248"/>
      <c r="F277" s="248"/>
      <c r="G277" s="53"/>
      <c r="H277" s="16"/>
    </row>
    <row r="278" spans="1:11" ht="19.5">
      <c r="A278" s="54" t="s">
        <v>114</v>
      </c>
      <c r="B278" s="41" t="str">
        <f ca="1">Sk.AT!$B$8</f>
        <v xml:space="preserve"> - </v>
      </c>
      <c r="C278" s="42" t="s">
        <v>117</v>
      </c>
      <c r="D278" s="41" t="str">
        <f ca="1">Sk.AT!$E$8</f>
        <v xml:space="preserve"> - </v>
      </c>
      <c r="E278" s="160"/>
      <c r="F278" s="160"/>
      <c r="G278" s="376">
        <f ca="1">INDIRECT(ADDRESS(4,A277,1,1,"Hřiště"))</f>
        <v>0</v>
      </c>
      <c r="H278" s="16"/>
      <c r="I278">
        <v>46</v>
      </c>
      <c r="J278">
        <f>ROW()</f>
        <v>278</v>
      </c>
      <c r="K278" s="79">
        <f ca="1">IF(TRIM(D278)="-",1,IF(AND(E278="",F278=""),0,IF(N(E278)&gt;N(F278),1,2)))</f>
        <v>1</v>
      </c>
    </row>
    <row r="279" spans="1:11" ht="19.5">
      <c r="A279" s="55" t="s">
        <v>115</v>
      </c>
      <c r="B279" s="43" t="str">
        <f ca="1">Sk.AT!$B$9</f>
        <v xml:space="preserve"> - </v>
      </c>
      <c r="C279" s="44" t="s">
        <v>117</v>
      </c>
      <c r="D279" s="43" t="str">
        <f ca="1">Sk.AT!$E$9</f>
        <v xml:space="preserve"> - </v>
      </c>
      <c r="E279" s="161"/>
      <c r="F279" s="161"/>
      <c r="G279" s="364">
        <f ca="1">INDIRECT(ADDRESS(5,A277,1,1,"Hřiště"))</f>
        <v>0</v>
      </c>
      <c r="H279" s="16"/>
      <c r="K279" s="79">
        <f ca="1">IF(TRIM(D279)="-",1,IF(AND(E279="",F279=""),0,IF(N(E279)&gt;N(F279),1,2)))</f>
        <v>1</v>
      </c>
    </row>
    <row r="280" spans="1:11" ht="19.5">
      <c r="A280" s="55" t="s">
        <v>46</v>
      </c>
      <c r="B280" s="43" t="str">
        <f ca="1">Sk.AT!$B$10</f>
        <v xml:space="preserve"> - </v>
      </c>
      <c r="C280" s="44" t="s">
        <v>117</v>
      </c>
      <c r="D280" s="43" t="str">
        <f>Sk.AT!$E$10</f>
        <v xml:space="preserve"> </v>
      </c>
      <c r="E280" s="161"/>
      <c r="F280" s="161"/>
      <c r="G280" s="364">
        <f ca="1">INDIRECT(ADDRESS(4,A277,1,1,"Hřiště"))</f>
        <v>0</v>
      </c>
      <c r="H280" s="16"/>
      <c r="K280" s="79">
        <f>IF(TRIM(D280)="-",1,IF(AND(E280="",F280=""),0,IF(N(E280)&gt;N(F280),1,2)))</f>
        <v>0</v>
      </c>
    </row>
    <row r="281" spans="1:11" ht="19.5">
      <c r="A281" s="55" t="s">
        <v>47</v>
      </c>
      <c r="B281" s="43" t="str">
        <f ca="1">Sk.AT!$B$11</f>
        <v xml:space="preserve"> - </v>
      </c>
      <c r="C281" s="44" t="s">
        <v>117</v>
      </c>
      <c r="D281" s="43" t="str">
        <f ca="1">Sk.AT!$E$11</f>
        <v xml:space="preserve"> </v>
      </c>
      <c r="E281" s="161"/>
      <c r="F281" s="161"/>
      <c r="G281" s="364">
        <f ca="1">INDIRECT(ADDRESS(5,A277,1,1,"Hřiště"))</f>
        <v>0</v>
      </c>
      <c r="H281" s="16"/>
      <c r="K281" s="79">
        <f ca="1">IF(TRIM(D281)="-",1,IF(AND(E281="",F281=""),0,IF(N(E281)&gt;N(F281),1,2)))</f>
        <v>0</v>
      </c>
    </row>
    <row r="282" spans="1:11" ht="20.25" thickBot="1">
      <c r="A282" s="56" t="s">
        <v>48</v>
      </c>
      <c r="B282" s="45" t="str">
        <f>Sk.AT!$B$12</f>
        <v xml:space="preserve"> </v>
      </c>
      <c r="C282" s="44" t="s">
        <v>117</v>
      </c>
      <c r="D282" s="45" t="str">
        <f ca="1">Sk.AT!$E$12</f>
        <v xml:space="preserve"> </v>
      </c>
      <c r="E282" s="162"/>
      <c r="F282" s="162"/>
      <c r="G282" s="365">
        <f ca="1">INDIRECT(ADDRESS(4,A277,1,1,"Hřiště"))</f>
        <v>0</v>
      </c>
      <c r="K282" s="79">
        <f ca="1">IF(TRIM(D282)="-",1,IF(AND(E282="",F282=""),0,IF(N(E282)&gt;N(F282),1,2)))</f>
        <v>0</v>
      </c>
    </row>
    <row r="283" spans="1:11" ht="23.25" thickBot="1">
      <c r="A283" s="52">
        <v>47</v>
      </c>
      <c r="B283" s="52"/>
      <c r="C283" s="57" t="s">
        <v>1125</v>
      </c>
      <c r="D283" s="52"/>
      <c r="E283" s="248"/>
      <c r="F283" s="248"/>
      <c r="G283" s="53"/>
      <c r="H283" s="16"/>
    </row>
    <row r="284" spans="1:11" ht="19.5">
      <c r="A284" s="54" t="s">
        <v>114</v>
      </c>
      <c r="B284" s="41" t="str">
        <f ca="1">Sk.AU!$B$8</f>
        <v xml:space="preserve"> - </v>
      </c>
      <c r="C284" s="42" t="s">
        <v>117</v>
      </c>
      <c r="D284" s="41" t="str">
        <f ca="1">Sk.AU!$E$8</f>
        <v xml:space="preserve"> - </v>
      </c>
      <c r="E284" s="160"/>
      <c r="F284" s="160"/>
      <c r="G284" s="376">
        <f ca="1">INDIRECT(ADDRESS(4,A283,1,1,"Hřiště"))</f>
        <v>0</v>
      </c>
      <c r="H284" s="16"/>
      <c r="I284">
        <v>47</v>
      </c>
      <c r="J284">
        <f>ROW()</f>
        <v>284</v>
      </c>
      <c r="K284" s="79">
        <f ca="1">IF(TRIM(D284)="-",1,IF(AND(E284="",F284=""),0,IF(N(E284)&gt;N(F284),1,2)))</f>
        <v>1</v>
      </c>
    </row>
    <row r="285" spans="1:11" ht="19.5">
      <c r="A285" s="55" t="s">
        <v>115</v>
      </c>
      <c r="B285" s="43" t="str">
        <f ca="1">Sk.AU!$B$9</f>
        <v xml:space="preserve"> - </v>
      </c>
      <c r="C285" s="44" t="s">
        <v>117</v>
      </c>
      <c r="D285" s="43" t="str">
        <f ca="1">Sk.AU!$E$9</f>
        <v xml:space="preserve"> - </v>
      </c>
      <c r="E285" s="161"/>
      <c r="F285" s="161"/>
      <c r="G285" s="364">
        <f ca="1">INDIRECT(ADDRESS(5,A283,1,1,"Hřiště"))</f>
        <v>0</v>
      </c>
      <c r="H285" s="16"/>
      <c r="K285" s="79">
        <f ca="1">IF(TRIM(D285)="-",1,IF(AND(E285="",F285=""),0,IF(N(E285)&gt;N(F285),1,2)))</f>
        <v>1</v>
      </c>
    </row>
    <row r="286" spans="1:11" ht="19.5">
      <c r="A286" s="55" t="s">
        <v>46</v>
      </c>
      <c r="B286" s="43" t="str">
        <f ca="1">Sk.AU!$B$10</f>
        <v xml:space="preserve"> - </v>
      </c>
      <c r="C286" s="44" t="s">
        <v>117</v>
      </c>
      <c r="D286" s="43" t="str">
        <f>Sk.AU!$E$10</f>
        <v xml:space="preserve"> </v>
      </c>
      <c r="E286" s="161"/>
      <c r="F286" s="161"/>
      <c r="G286" s="364">
        <f ca="1">INDIRECT(ADDRESS(4,A283,1,1,"Hřiště"))</f>
        <v>0</v>
      </c>
      <c r="H286" s="16"/>
      <c r="K286" s="79">
        <f>IF(TRIM(D286)="-",1,IF(AND(E286="",F286=""),0,IF(N(E286)&gt;N(F286),1,2)))</f>
        <v>0</v>
      </c>
    </row>
    <row r="287" spans="1:11" ht="19.5">
      <c r="A287" s="55" t="s">
        <v>47</v>
      </c>
      <c r="B287" s="43" t="str">
        <f ca="1">Sk.AU!$B$11</f>
        <v xml:space="preserve"> - </v>
      </c>
      <c r="C287" s="44" t="s">
        <v>117</v>
      </c>
      <c r="D287" s="43" t="str">
        <f ca="1">Sk.AU!$E$11</f>
        <v xml:space="preserve"> </v>
      </c>
      <c r="E287" s="161"/>
      <c r="F287" s="161"/>
      <c r="G287" s="364">
        <f ca="1">INDIRECT(ADDRESS(5,A283,1,1,"Hřiště"))</f>
        <v>0</v>
      </c>
      <c r="H287" s="16"/>
      <c r="K287" s="79">
        <f ca="1">IF(TRIM(D287)="-",1,IF(AND(E287="",F287=""),0,IF(N(E287)&gt;N(F287),1,2)))</f>
        <v>0</v>
      </c>
    </row>
    <row r="288" spans="1:11" ht="20.25" thickBot="1">
      <c r="A288" s="56" t="s">
        <v>48</v>
      </c>
      <c r="B288" s="45" t="str">
        <f>Sk.AU!$B$12</f>
        <v xml:space="preserve"> </v>
      </c>
      <c r="C288" s="44" t="s">
        <v>117</v>
      </c>
      <c r="D288" s="45" t="str">
        <f ca="1">Sk.AU!$E$12</f>
        <v xml:space="preserve"> </v>
      </c>
      <c r="E288" s="162"/>
      <c r="F288" s="162"/>
      <c r="G288" s="365">
        <f ca="1">INDIRECT(ADDRESS(4,A283,1,1,"Hřiště"))</f>
        <v>0</v>
      </c>
      <c r="K288" s="79">
        <f ca="1">IF(TRIM(D288)="-",1,IF(AND(E288="",F288=""),0,IF(N(E288)&gt;N(F288),1,2)))</f>
        <v>0</v>
      </c>
    </row>
    <row r="289" spans="1:11" ht="23.25" thickBot="1">
      <c r="A289" s="52">
        <v>48</v>
      </c>
      <c r="B289" s="52"/>
      <c r="C289" s="57" t="s">
        <v>1126</v>
      </c>
      <c r="D289" s="52"/>
      <c r="E289" s="248"/>
      <c r="F289" s="248"/>
      <c r="G289" s="53"/>
      <c r="H289" s="16"/>
    </row>
    <row r="290" spans="1:11" ht="19.5">
      <c r="A290" s="54" t="s">
        <v>114</v>
      </c>
      <c r="B290" s="41" t="str">
        <f ca="1">Sk.AV!$B$8</f>
        <v xml:space="preserve"> - </v>
      </c>
      <c r="C290" s="42" t="s">
        <v>117</v>
      </c>
      <c r="D290" s="41" t="str">
        <f ca="1">Sk.AV!$E$8</f>
        <v xml:space="preserve"> - </v>
      </c>
      <c r="E290" s="160"/>
      <c r="F290" s="160"/>
      <c r="G290" s="376">
        <f ca="1">INDIRECT(ADDRESS(4,A289,1,1,"Hřiště"))</f>
        <v>0</v>
      </c>
      <c r="H290" s="16"/>
      <c r="I290">
        <v>48</v>
      </c>
      <c r="J290">
        <f>ROW()</f>
        <v>290</v>
      </c>
      <c r="K290" s="79">
        <f ca="1">IF(TRIM(D290)="-",1,IF(AND(E290="",F290=""),0,IF(N(E290)&gt;N(F290),1,2)))</f>
        <v>1</v>
      </c>
    </row>
    <row r="291" spans="1:11" ht="19.5">
      <c r="A291" s="55" t="s">
        <v>115</v>
      </c>
      <c r="B291" s="43" t="str">
        <f ca="1">Sk.AV!$B$9</f>
        <v xml:space="preserve"> - </v>
      </c>
      <c r="C291" s="44" t="s">
        <v>117</v>
      </c>
      <c r="D291" s="43" t="str">
        <f ca="1">Sk.AV!$E$9</f>
        <v xml:space="preserve"> - </v>
      </c>
      <c r="E291" s="161"/>
      <c r="F291" s="161"/>
      <c r="G291" s="364">
        <f ca="1">INDIRECT(ADDRESS(5,A289,1,1,"Hřiště"))</f>
        <v>0</v>
      </c>
      <c r="H291" s="16"/>
      <c r="K291" s="79">
        <f ca="1">IF(TRIM(D291)="-",1,IF(AND(E291="",F291=""),0,IF(N(E291)&gt;N(F291),1,2)))</f>
        <v>1</v>
      </c>
    </row>
    <row r="292" spans="1:11" ht="19.5">
      <c r="A292" s="55" t="s">
        <v>46</v>
      </c>
      <c r="B292" s="43" t="str">
        <f ca="1">Sk.AV!$B$10</f>
        <v xml:space="preserve"> - </v>
      </c>
      <c r="C292" s="44" t="s">
        <v>117</v>
      </c>
      <c r="D292" s="43" t="str">
        <f>Sk.AV!$E$10</f>
        <v xml:space="preserve"> </v>
      </c>
      <c r="E292" s="161"/>
      <c r="F292" s="161"/>
      <c r="G292" s="364">
        <f ca="1">INDIRECT(ADDRESS(4,A289,1,1,"Hřiště"))</f>
        <v>0</v>
      </c>
      <c r="H292" s="16"/>
      <c r="K292" s="79">
        <f>IF(TRIM(D292)="-",1,IF(AND(E292="",F292=""),0,IF(N(E292)&gt;N(F292),1,2)))</f>
        <v>0</v>
      </c>
    </row>
    <row r="293" spans="1:11" ht="19.5">
      <c r="A293" s="55" t="s">
        <v>47</v>
      </c>
      <c r="B293" s="43" t="str">
        <f ca="1">Sk.AV!$B$11</f>
        <v xml:space="preserve"> - </v>
      </c>
      <c r="C293" s="44" t="s">
        <v>117</v>
      </c>
      <c r="D293" s="43" t="str">
        <f ca="1">Sk.AV!$E$11</f>
        <v xml:space="preserve"> </v>
      </c>
      <c r="E293" s="161"/>
      <c r="F293" s="161"/>
      <c r="G293" s="364">
        <f ca="1">INDIRECT(ADDRESS(5,A289,1,1,"Hřiště"))</f>
        <v>0</v>
      </c>
      <c r="H293" s="16"/>
      <c r="K293" s="79">
        <f ca="1">IF(TRIM(D293)="-",1,IF(AND(E293="",F293=""),0,IF(N(E293)&gt;N(F293),1,2)))</f>
        <v>0</v>
      </c>
    </row>
    <row r="294" spans="1:11" ht="20.25" thickBot="1">
      <c r="A294" s="56" t="s">
        <v>48</v>
      </c>
      <c r="B294" s="45" t="str">
        <f>Sk.AV!$B$12</f>
        <v xml:space="preserve"> </v>
      </c>
      <c r="C294" s="44" t="s">
        <v>117</v>
      </c>
      <c r="D294" s="45" t="str">
        <f ca="1">Sk.AV!$E$12</f>
        <v xml:space="preserve"> </v>
      </c>
      <c r="E294" s="162"/>
      <c r="F294" s="162"/>
      <c r="G294" s="365">
        <f ca="1">INDIRECT(ADDRESS(4,A289,1,1,"Hřiště"))</f>
        <v>0</v>
      </c>
      <c r="K294" s="79">
        <f ca="1">IF(TRIM(D294)="-",1,IF(AND(E294="",F294=""),0,IF(N(E294)&gt;N(F294),1,2)))</f>
        <v>0</v>
      </c>
    </row>
    <row r="295" spans="1:11" ht="23.25" thickBot="1">
      <c r="A295" s="52">
        <v>49</v>
      </c>
      <c r="B295" s="52"/>
      <c r="C295" s="57" t="s">
        <v>1127</v>
      </c>
      <c r="D295" s="52"/>
      <c r="E295" s="248"/>
      <c r="F295" s="248"/>
      <c r="G295" s="53"/>
      <c r="H295" s="16"/>
    </row>
    <row r="296" spans="1:11" ht="19.5">
      <c r="A296" s="54" t="s">
        <v>114</v>
      </c>
      <c r="B296" s="41" t="str">
        <f ca="1">Sk.AW!$B$8</f>
        <v xml:space="preserve"> - </v>
      </c>
      <c r="C296" s="42" t="s">
        <v>117</v>
      </c>
      <c r="D296" s="41" t="str">
        <f ca="1">Sk.AW!$E$8</f>
        <v xml:space="preserve"> - </v>
      </c>
      <c r="E296" s="160"/>
      <c r="F296" s="160"/>
      <c r="G296" s="376">
        <f ca="1">INDIRECT(ADDRESS(4,A295,1,1,"Hřiště"))</f>
        <v>0</v>
      </c>
      <c r="H296" s="16"/>
      <c r="I296">
        <v>49</v>
      </c>
      <c r="J296">
        <f>ROW()</f>
        <v>296</v>
      </c>
      <c r="K296" s="79">
        <f ca="1">IF(TRIM(D296)="-",1,IF(AND(E296="",F296=""),0,IF(N(E296)&gt;N(F296),1,2)))</f>
        <v>1</v>
      </c>
    </row>
    <row r="297" spans="1:11" ht="19.5">
      <c r="A297" s="55" t="s">
        <v>115</v>
      </c>
      <c r="B297" s="43" t="str">
        <f ca="1">Sk.AW!$B$9</f>
        <v xml:space="preserve"> - </v>
      </c>
      <c r="C297" s="44" t="s">
        <v>117</v>
      </c>
      <c r="D297" s="43" t="str">
        <f ca="1">Sk.AW!$E$9</f>
        <v xml:space="preserve"> - </v>
      </c>
      <c r="E297" s="161"/>
      <c r="F297" s="161"/>
      <c r="G297" s="364">
        <f ca="1">INDIRECT(ADDRESS(5,A295,1,1,"Hřiště"))</f>
        <v>0</v>
      </c>
      <c r="H297" s="16"/>
      <c r="K297" s="79">
        <f ca="1">IF(TRIM(D297)="-",1,IF(AND(E297="",F297=""),0,IF(N(E297)&gt;N(F297),1,2)))</f>
        <v>1</v>
      </c>
    </row>
    <row r="298" spans="1:11" ht="19.5">
      <c r="A298" s="55" t="s">
        <v>46</v>
      </c>
      <c r="B298" s="43" t="str">
        <f ca="1">Sk.AW!$B$10</f>
        <v xml:space="preserve"> - </v>
      </c>
      <c r="C298" s="44" t="s">
        <v>117</v>
      </c>
      <c r="D298" s="43" t="str">
        <f>Sk.AW!$E$10</f>
        <v xml:space="preserve"> </v>
      </c>
      <c r="E298" s="161"/>
      <c r="F298" s="161"/>
      <c r="G298" s="364">
        <f ca="1">INDIRECT(ADDRESS(4,A295,1,1,"Hřiště"))</f>
        <v>0</v>
      </c>
      <c r="H298" s="16"/>
      <c r="K298" s="79">
        <f>IF(TRIM(D298)="-",1,IF(AND(E298="",F298=""),0,IF(N(E298)&gt;N(F298),1,2)))</f>
        <v>0</v>
      </c>
    </row>
    <row r="299" spans="1:11" ht="19.5">
      <c r="A299" s="55" t="s">
        <v>47</v>
      </c>
      <c r="B299" s="43" t="str">
        <f ca="1">Sk.AW!$B$11</f>
        <v xml:space="preserve"> - </v>
      </c>
      <c r="C299" s="44" t="s">
        <v>117</v>
      </c>
      <c r="D299" s="43" t="str">
        <f ca="1">Sk.AW!$E$11</f>
        <v xml:space="preserve"> </v>
      </c>
      <c r="E299" s="161"/>
      <c r="F299" s="161"/>
      <c r="G299" s="364">
        <f ca="1">INDIRECT(ADDRESS(5,A295,1,1,"Hřiště"))</f>
        <v>0</v>
      </c>
      <c r="H299" s="16"/>
      <c r="K299" s="79">
        <f ca="1">IF(TRIM(D299)="-",1,IF(AND(E299="",F299=""),0,IF(N(E299)&gt;N(F299),1,2)))</f>
        <v>0</v>
      </c>
    </row>
    <row r="300" spans="1:11" ht="20.25" thickBot="1">
      <c r="A300" s="56" t="s">
        <v>48</v>
      </c>
      <c r="B300" s="45" t="str">
        <f>Sk.AW!$B$12</f>
        <v xml:space="preserve"> </v>
      </c>
      <c r="C300" s="44" t="s">
        <v>117</v>
      </c>
      <c r="D300" s="45" t="str">
        <f ca="1">Sk.AW!$E$12</f>
        <v xml:space="preserve"> </v>
      </c>
      <c r="E300" s="162"/>
      <c r="F300" s="162"/>
      <c r="G300" s="365">
        <f ca="1">INDIRECT(ADDRESS(4,A295,1,1,"Hřiště"))</f>
        <v>0</v>
      </c>
      <c r="K300" s="79">
        <f ca="1">IF(TRIM(D300)="-",1,IF(AND(E300="",F300=""),0,IF(N(E300)&gt;N(F300),1,2)))</f>
        <v>0</v>
      </c>
    </row>
    <row r="301" spans="1:11" ht="23.25" thickBot="1">
      <c r="A301" s="52">
        <v>50</v>
      </c>
      <c r="B301" s="52"/>
      <c r="C301" s="57" t="s">
        <v>1128</v>
      </c>
      <c r="D301" s="52"/>
      <c r="E301" s="248"/>
      <c r="F301" s="248"/>
      <c r="G301" s="53"/>
      <c r="H301" s="16"/>
    </row>
    <row r="302" spans="1:11" ht="19.5">
      <c r="A302" s="54" t="s">
        <v>114</v>
      </c>
      <c r="B302" s="41" t="str">
        <f ca="1">Sk.AX!$B$8</f>
        <v xml:space="preserve"> - </v>
      </c>
      <c r="C302" s="42" t="s">
        <v>117</v>
      </c>
      <c r="D302" s="41" t="str">
        <f ca="1">Sk.AX!$E$8</f>
        <v xml:space="preserve"> - </v>
      </c>
      <c r="E302" s="160"/>
      <c r="F302" s="160"/>
      <c r="G302" s="376">
        <f ca="1">INDIRECT(ADDRESS(4,A301,1,1,"Hřiště"))</f>
        <v>0</v>
      </c>
      <c r="H302" s="16"/>
      <c r="I302">
        <v>50</v>
      </c>
      <c r="J302">
        <f>ROW()</f>
        <v>302</v>
      </c>
      <c r="K302" s="79">
        <f ca="1">IF(TRIM(D302)="-",1,IF(AND(E302="",F302=""),0,IF(N(E302)&gt;N(F302),1,2)))</f>
        <v>1</v>
      </c>
    </row>
    <row r="303" spans="1:11" ht="19.5">
      <c r="A303" s="55" t="s">
        <v>115</v>
      </c>
      <c r="B303" s="43" t="str">
        <f ca="1">Sk.AX!$B$9</f>
        <v xml:space="preserve"> - </v>
      </c>
      <c r="C303" s="44" t="s">
        <v>117</v>
      </c>
      <c r="D303" s="43" t="str">
        <f ca="1">Sk.AX!$E$9</f>
        <v xml:space="preserve"> - </v>
      </c>
      <c r="E303" s="161"/>
      <c r="F303" s="161"/>
      <c r="G303" s="364">
        <f ca="1">INDIRECT(ADDRESS(5,A301,1,1,"Hřiště"))</f>
        <v>0</v>
      </c>
      <c r="H303" s="16"/>
      <c r="K303" s="79">
        <f ca="1">IF(TRIM(D303)="-",1,IF(AND(E303="",F303=""),0,IF(N(E303)&gt;N(F303),1,2)))</f>
        <v>1</v>
      </c>
    </row>
    <row r="304" spans="1:11" ht="19.5">
      <c r="A304" s="55" t="s">
        <v>46</v>
      </c>
      <c r="B304" s="43" t="str">
        <f ca="1">Sk.AX!$B$10</f>
        <v xml:space="preserve"> - </v>
      </c>
      <c r="C304" s="44" t="s">
        <v>117</v>
      </c>
      <c r="D304" s="43" t="str">
        <f>Sk.AX!$E$10</f>
        <v xml:space="preserve"> </v>
      </c>
      <c r="E304" s="161"/>
      <c r="F304" s="161"/>
      <c r="G304" s="364">
        <f ca="1">INDIRECT(ADDRESS(4,A301,1,1,"Hřiště"))</f>
        <v>0</v>
      </c>
      <c r="H304" s="16"/>
      <c r="K304" s="79">
        <f>IF(TRIM(D304)="-",1,IF(AND(E304="",F304=""),0,IF(N(E304)&gt;N(F304),1,2)))</f>
        <v>0</v>
      </c>
    </row>
    <row r="305" spans="1:11" ht="19.5">
      <c r="A305" s="55" t="s">
        <v>47</v>
      </c>
      <c r="B305" s="43" t="str">
        <f ca="1">Sk.AX!$B$11</f>
        <v xml:space="preserve"> - </v>
      </c>
      <c r="C305" s="44" t="s">
        <v>117</v>
      </c>
      <c r="D305" s="43" t="str">
        <f ca="1">Sk.AX!$E$11</f>
        <v xml:space="preserve"> </v>
      </c>
      <c r="E305" s="161"/>
      <c r="F305" s="161"/>
      <c r="G305" s="364">
        <f ca="1">INDIRECT(ADDRESS(5,A301,1,1,"Hřiště"))</f>
        <v>0</v>
      </c>
      <c r="H305" s="16"/>
      <c r="K305" s="79">
        <f ca="1">IF(TRIM(D305)="-",1,IF(AND(E305="",F305=""),0,IF(N(E305)&gt;N(F305),1,2)))</f>
        <v>0</v>
      </c>
    </row>
    <row r="306" spans="1:11" ht="20.25" thickBot="1">
      <c r="A306" s="56" t="s">
        <v>48</v>
      </c>
      <c r="B306" s="45" t="str">
        <f>Sk.AX!$B$12</f>
        <v xml:space="preserve"> </v>
      </c>
      <c r="C306" s="44" t="s">
        <v>117</v>
      </c>
      <c r="D306" s="45" t="str">
        <f ca="1">Sk.AX!$E$12</f>
        <v xml:space="preserve"> </v>
      </c>
      <c r="E306" s="162"/>
      <c r="F306" s="162"/>
      <c r="G306" s="365">
        <f ca="1">INDIRECT(ADDRESS(4,A301,1,1,"Hřiště"))</f>
        <v>0</v>
      </c>
      <c r="K306" s="79">
        <f ca="1">IF(TRIM(D306)="-",1,IF(AND(E306="",F306=""),0,IF(N(E306)&gt;N(F306),1,2)))</f>
        <v>0</v>
      </c>
    </row>
    <row r="307" spans="1:11" ht="23.25" thickBot="1">
      <c r="A307" s="52">
        <v>51</v>
      </c>
      <c r="B307" s="52"/>
      <c r="C307" s="57" t="s">
        <v>1129</v>
      </c>
      <c r="D307" s="52"/>
      <c r="E307" s="248"/>
      <c r="F307" s="248"/>
      <c r="G307" s="53"/>
      <c r="H307" s="16"/>
    </row>
    <row r="308" spans="1:11" ht="19.5">
      <c r="A308" s="54" t="s">
        <v>114</v>
      </c>
      <c r="B308" s="41" t="str">
        <f ca="1">Sk.AY!$B$8</f>
        <v xml:space="preserve"> - </v>
      </c>
      <c r="C308" s="42" t="s">
        <v>117</v>
      </c>
      <c r="D308" s="41" t="str">
        <f ca="1">Sk.AY!$E$8</f>
        <v xml:space="preserve"> - </v>
      </c>
      <c r="E308" s="160"/>
      <c r="F308" s="160"/>
      <c r="G308" s="376">
        <f ca="1">INDIRECT(ADDRESS(4,A307,1,1,"Hřiště"))</f>
        <v>0</v>
      </c>
      <c r="H308" s="16"/>
      <c r="I308">
        <v>51</v>
      </c>
      <c r="J308">
        <f>ROW()</f>
        <v>308</v>
      </c>
      <c r="K308" s="79">
        <f ca="1">IF(TRIM(D308)="-",1,IF(AND(E308="",F308=""),0,IF(N(E308)&gt;N(F308),1,2)))</f>
        <v>1</v>
      </c>
    </row>
    <row r="309" spans="1:11" ht="19.5">
      <c r="A309" s="55" t="s">
        <v>115</v>
      </c>
      <c r="B309" s="43" t="str">
        <f ca="1">Sk.AY!$B$9</f>
        <v xml:space="preserve"> - </v>
      </c>
      <c r="C309" s="44" t="s">
        <v>117</v>
      </c>
      <c r="D309" s="43" t="str">
        <f ca="1">Sk.AY!$E$9</f>
        <v xml:space="preserve"> - </v>
      </c>
      <c r="E309" s="161"/>
      <c r="F309" s="161"/>
      <c r="G309" s="364">
        <f ca="1">INDIRECT(ADDRESS(5,A307,1,1,"Hřiště"))</f>
        <v>0</v>
      </c>
      <c r="H309" s="16"/>
      <c r="K309" s="79">
        <f ca="1">IF(TRIM(D309)="-",1,IF(AND(E309="",F309=""),0,IF(N(E309)&gt;N(F309),1,2)))</f>
        <v>1</v>
      </c>
    </row>
    <row r="310" spans="1:11" ht="19.5">
      <c r="A310" s="55" t="s">
        <v>46</v>
      </c>
      <c r="B310" s="43" t="str">
        <f ca="1">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9.5">
      <c r="A311" s="55" t="s">
        <v>47</v>
      </c>
      <c r="B311" s="43" t="str">
        <f ca="1">Sk.AY!$B$11</f>
        <v xml:space="preserve"> - </v>
      </c>
      <c r="C311" s="44" t="s">
        <v>117</v>
      </c>
      <c r="D311" s="43" t="str">
        <f ca="1">Sk.AY!$E$11</f>
        <v xml:space="preserve"> </v>
      </c>
      <c r="E311" s="161"/>
      <c r="F311" s="161"/>
      <c r="G311" s="364">
        <f ca="1">INDIRECT(ADDRESS(5,A307,1,1,"Hřiště"))</f>
        <v>0</v>
      </c>
      <c r="H311" s="16"/>
      <c r="K311" s="79">
        <f ca="1">IF(TRIM(D311)="-",1,IF(AND(E311="",F311=""),0,IF(N(E311)&gt;N(F311),1,2)))</f>
        <v>0</v>
      </c>
    </row>
    <row r="312" spans="1:11" ht="20.25" thickBot="1">
      <c r="A312" s="56" t="s">
        <v>48</v>
      </c>
      <c r="B312" s="45" t="str">
        <f>Sk.AY!$B$12</f>
        <v xml:space="preserve"> </v>
      </c>
      <c r="C312" s="44" t="s">
        <v>117</v>
      </c>
      <c r="D312" s="45" t="str">
        <f ca="1">Sk.AY!$E$12</f>
        <v xml:space="preserve"> </v>
      </c>
      <c r="E312" s="162"/>
      <c r="F312" s="162"/>
      <c r="G312" s="365">
        <f ca="1">INDIRECT(ADDRESS(4,A307,1,1,"Hřiště"))</f>
        <v>0</v>
      </c>
      <c r="K312" s="79">
        <f ca="1">IF(TRIM(D312)="-",1,IF(AND(E312="",F312=""),0,IF(N(E312)&gt;N(F312),1,2)))</f>
        <v>0</v>
      </c>
    </row>
    <row r="313" spans="1:11" ht="23.25" thickBot="1">
      <c r="A313" s="52">
        <v>52</v>
      </c>
      <c r="B313" s="52"/>
      <c r="C313" s="57" t="s">
        <v>1130</v>
      </c>
      <c r="D313" s="52"/>
      <c r="E313" s="248"/>
      <c r="F313" s="248"/>
      <c r="G313" s="53"/>
      <c r="H313" s="16"/>
    </row>
    <row r="314" spans="1:11" ht="19.5">
      <c r="A314" s="54" t="s">
        <v>114</v>
      </c>
      <c r="B314" s="41" t="str">
        <f ca="1">Sk.AZ!$B$8</f>
        <v xml:space="preserve"> - </v>
      </c>
      <c r="C314" s="42" t="s">
        <v>117</v>
      </c>
      <c r="D314" s="41" t="str">
        <f ca="1">Sk.AZ!$E$8</f>
        <v xml:space="preserve"> - </v>
      </c>
      <c r="E314" s="160"/>
      <c r="F314" s="160"/>
      <c r="G314" s="376">
        <f ca="1">INDIRECT(ADDRESS(4,A313,1,1,"Hřiště"))</f>
        <v>0</v>
      </c>
      <c r="H314" s="16"/>
      <c r="I314">
        <v>52</v>
      </c>
      <c r="J314">
        <f>ROW()</f>
        <v>314</v>
      </c>
      <c r="K314" s="79">
        <f ca="1">IF(TRIM(D314)="-",1,IF(AND(E314="",F314=""),0,IF(N(E314)&gt;N(F314),1,2)))</f>
        <v>1</v>
      </c>
    </row>
    <row r="315" spans="1:11" ht="19.5">
      <c r="A315" s="55" t="s">
        <v>115</v>
      </c>
      <c r="B315" s="43" t="str">
        <f ca="1">Sk.AZ!$B$9</f>
        <v xml:space="preserve"> - </v>
      </c>
      <c r="C315" s="44" t="s">
        <v>117</v>
      </c>
      <c r="D315" s="43" t="str">
        <f ca="1">Sk.AZ!$E$9</f>
        <v xml:space="preserve"> - </v>
      </c>
      <c r="E315" s="161"/>
      <c r="F315" s="161"/>
      <c r="G315" s="364">
        <f ca="1">INDIRECT(ADDRESS(5,A313,1,1,"Hřiště"))</f>
        <v>0</v>
      </c>
      <c r="H315" s="16"/>
      <c r="K315" s="79">
        <f ca="1">IF(TRIM(D315)="-",1,IF(AND(E315="",F315=""),0,IF(N(E315)&gt;N(F315),1,2)))</f>
        <v>1</v>
      </c>
    </row>
    <row r="316" spans="1:11" ht="19.5">
      <c r="A316" s="55" t="s">
        <v>46</v>
      </c>
      <c r="B316" s="43" t="str">
        <f ca="1">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9.5">
      <c r="A317" s="55" t="s">
        <v>47</v>
      </c>
      <c r="B317" s="43" t="str">
        <f ca="1">Sk.AZ!$B$11</f>
        <v xml:space="preserve"> - </v>
      </c>
      <c r="C317" s="44" t="s">
        <v>117</v>
      </c>
      <c r="D317" s="43" t="str">
        <f ca="1">Sk.AZ!$E$11</f>
        <v xml:space="preserve"> </v>
      </c>
      <c r="E317" s="161"/>
      <c r="F317" s="161"/>
      <c r="G317" s="364">
        <f ca="1">INDIRECT(ADDRESS(5,A313,1,1,"Hřiště"))</f>
        <v>0</v>
      </c>
      <c r="H317" s="16"/>
      <c r="K317" s="79">
        <f ca="1">IF(TRIM(D317)="-",1,IF(AND(E317="",F317=""),0,IF(N(E317)&gt;N(F317),1,2)))</f>
        <v>0</v>
      </c>
    </row>
    <row r="318" spans="1:11" ht="20.25" thickBot="1">
      <c r="A318" s="56" t="s">
        <v>48</v>
      </c>
      <c r="B318" s="45" t="str">
        <f>Sk.AZ!$B$12</f>
        <v xml:space="preserve"> </v>
      </c>
      <c r="C318" s="44" t="s">
        <v>117</v>
      </c>
      <c r="D318" s="45" t="str">
        <f ca="1">Sk.AZ!$E$12</f>
        <v xml:space="preserve"> </v>
      </c>
      <c r="E318" s="162"/>
      <c r="F318" s="162"/>
      <c r="G318" s="365">
        <f ca="1">INDIRECT(ADDRESS(4,A313,1,1,"Hřiště"))</f>
        <v>0</v>
      </c>
      <c r="K318" s="79">
        <f ca="1">IF(TRIM(D318)="-",1,IF(AND(E318="",F318=""),0,IF(N(E318)&gt;N(F318),1,2)))</f>
        <v>0</v>
      </c>
    </row>
    <row r="319" spans="1:11" ht="23.25" thickBot="1">
      <c r="A319" s="52">
        <v>53</v>
      </c>
      <c r="B319" s="52"/>
      <c r="C319" s="57" t="s">
        <v>1131</v>
      </c>
      <c r="D319" s="52"/>
      <c r="E319" s="248"/>
      <c r="F319" s="248"/>
      <c r="G319" s="53"/>
      <c r="H319" s="16"/>
    </row>
    <row r="320" spans="1:11" ht="19.5">
      <c r="A320" s="54" t="s">
        <v>114</v>
      </c>
      <c r="B320" s="41" t="str">
        <f ca="1">Sk.BA!$B$8</f>
        <v xml:space="preserve"> - </v>
      </c>
      <c r="C320" s="42" t="s">
        <v>117</v>
      </c>
      <c r="D320" s="41" t="str">
        <f ca="1">Sk.BA!$E$8</f>
        <v xml:space="preserve"> - </v>
      </c>
      <c r="E320" s="160"/>
      <c r="F320" s="160"/>
      <c r="G320" s="376">
        <f ca="1">INDIRECT(ADDRESS(4,A319,1,1,"Hřiště"))</f>
        <v>0</v>
      </c>
      <c r="H320" s="16"/>
      <c r="I320">
        <v>53</v>
      </c>
      <c r="J320">
        <f>ROW()</f>
        <v>320</v>
      </c>
      <c r="K320" s="79">
        <f ca="1">IF(TRIM(D320)="-",1,IF(AND(E320="",F320=""),0,IF(N(E320)&gt;N(F320),1,2)))</f>
        <v>1</v>
      </c>
    </row>
    <row r="321" spans="1:11" ht="19.5">
      <c r="A321" s="55" t="s">
        <v>115</v>
      </c>
      <c r="B321" s="43" t="str">
        <f ca="1">Sk.BA!$B$9</f>
        <v xml:space="preserve"> - </v>
      </c>
      <c r="C321" s="44" t="s">
        <v>117</v>
      </c>
      <c r="D321" s="43" t="str">
        <f ca="1">Sk.BA!$E$9</f>
        <v xml:space="preserve"> - </v>
      </c>
      <c r="E321" s="161"/>
      <c r="F321" s="161"/>
      <c r="G321" s="364">
        <f ca="1">INDIRECT(ADDRESS(5,A319,1,1,"Hřiště"))</f>
        <v>0</v>
      </c>
      <c r="H321" s="16"/>
      <c r="K321" s="79">
        <f ca="1">IF(TRIM(D321)="-",1,IF(AND(E321="",F321=""),0,IF(N(E321)&gt;N(F321),1,2)))</f>
        <v>1</v>
      </c>
    </row>
    <row r="322" spans="1:11" ht="19.5">
      <c r="A322" s="55" t="s">
        <v>46</v>
      </c>
      <c r="B322" s="43" t="str">
        <f ca="1">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9.5">
      <c r="A323" s="55" t="s">
        <v>47</v>
      </c>
      <c r="B323" s="43" t="str">
        <f ca="1">Sk.BA!$B$11</f>
        <v xml:space="preserve"> - </v>
      </c>
      <c r="C323" s="44" t="s">
        <v>117</v>
      </c>
      <c r="D323" s="43" t="str">
        <f ca="1">Sk.BA!$E$11</f>
        <v xml:space="preserve"> </v>
      </c>
      <c r="E323" s="161"/>
      <c r="F323" s="161"/>
      <c r="G323" s="364">
        <f ca="1">INDIRECT(ADDRESS(5,A319,1,1,"Hřiště"))</f>
        <v>0</v>
      </c>
      <c r="H323" s="16"/>
      <c r="K323" s="79">
        <f ca="1">IF(TRIM(D323)="-",1,IF(AND(E323="",F323=""),0,IF(N(E323)&gt;N(F323),1,2)))</f>
        <v>0</v>
      </c>
    </row>
    <row r="324" spans="1:11" ht="20.25" thickBot="1">
      <c r="A324" s="56" t="s">
        <v>48</v>
      </c>
      <c r="B324" s="45" t="str">
        <f>Sk.BA!$B$12</f>
        <v xml:space="preserve"> </v>
      </c>
      <c r="C324" s="44" t="s">
        <v>117</v>
      </c>
      <c r="D324" s="45" t="str">
        <f ca="1">Sk.BA!$E$12</f>
        <v xml:space="preserve"> </v>
      </c>
      <c r="E324" s="162"/>
      <c r="F324" s="162"/>
      <c r="G324" s="365">
        <f ca="1">INDIRECT(ADDRESS(4,A319,1,1,"Hřiště"))</f>
        <v>0</v>
      </c>
      <c r="K324" s="79">
        <f ca="1">IF(TRIM(D324)="-",1,IF(AND(E324="",F324=""),0,IF(N(E324)&gt;N(F324),1,2)))</f>
        <v>0</v>
      </c>
    </row>
    <row r="325" spans="1:11" ht="23.25" thickBot="1">
      <c r="A325" s="52">
        <v>54</v>
      </c>
      <c r="B325" s="52"/>
      <c r="C325" s="57" t="s">
        <v>1132</v>
      </c>
      <c r="D325" s="52"/>
      <c r="E325" s="248"/>
      <c r="F325" s="248"/>
      <c r="G325" s="53"/>
      <c r="H325" s="16"/>
    </row>
    <row r="326" spans="1:11" ht="19.5">
      <c r="A326" s="54" t="s">
        <v>114</v>
      </c>
      <c r="B326" s="41" t="str">
        <f ca="1">Sk.BB!$B$8</f>
        <v xml:space="preserve"> - </v>
      </c>
      <c r="C326" s="42" t="s">
        <v>117</v>
      </c>
      <c r="D326" s="41" t="str">
        <f ca="1">Sk.BB!$E$8</f>
        <v xml:space="preserve"> - </v>
      </c>
      <c r="E326" s="160"/>
      <c r="F326" s="160"/>
      <c r="G326" s="376">
        <f ca="1">INDIRECT(ADDRESS(4,A325,1,1,"Hřiště"))</f>
        <v>0</v>
      </c>
      <c r="H326" s="16"/>
      <c r="I326">
        <v>54</v>
      </c>
      <c r="J326">
        <f>ROW()</f>
        <v>326</v>
      </c>
      <c r="K326" s="79">
        <f ca="1">IF(TRIM(D326)="-",1,IF(AND(E326="",F326=""),0,IF(N(E326)&gt;N(F326),1,2)))</f>
        <v>1</v>
      </c>
    </row>
    <row r="327" spans="1:11" ht="19.5">
      <c r="A327" s="55" t="s">
        <v>115</v>
      </c>
      <c r="B327" s="43" t="str">
        <f ca="1">Sk.BB!$B$9</f>
        <v xml:space="preserve"> - </v>
      </c>
      <c r="C327" s="44" t="s">
        <v>117</v>
      </c>
      <c r="D327" s="43" t="str">
        <f ca="1">Sk.BB!$E$9</f>
        <v xml:space="preserve"> - </v>
      </c>
      <c r="E327" s="161"/>
      <c r="F327" s="161"/>
      <c r="G327" s="364">
        <f ca="1">INDIRECT(ADDRESS(5,A325,1,1,"Hřiště"))</f>
        <v>0</v>
      </c>
      <c r="H327" s="16"/>
      <c r="K327" s="79">
        <f ca="1">IF(TRIM(D327)="-",1,IF(AND(E327="",F327=""),0,IF(N(E327)&gt;N(F327),1,2)))</f>
        <v>1</v>
      </c>
    </row>
    <row r="328" spans="1:11" ht="19.5">
      <c r="A328" s="55" t="s">
        <v>46</v>
      </c>
      <c r="B328" s="43" t="str">
        <f ca="1">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9.5">
      <c r="A329" s="55" t="s">
        <v>47</v>
      </c>
      <c r="B329" s="43" t="str">
        <f ca="1">Sk.BB!$B$11</f>
        <v xml:space="preserve"> - </v>
      </c>
      <c r="C329" s="44" t="s">
        <v>117</v>
      </c>
      <c r="D329" s="43" t="str">
        <f ca="1">Sk.BB!$E$11</f>
        <v xml:space="preserve"> </v>
      </c>
      <c r="E329" s="161"/>
      <c r="F329" s="161"/>
      <c r="G329" s="364">
        <f ca="1">INDIRECT(ADDRESS(5,A325,1,1,"Hřiště"))</f>
        <v>0</v>
      </c>
      <c r="H329" s="16"/>
      <c r="K329" s="79">
        <f ca="1">IF(TRIM(D329)="-",1,IF(AND(E329="",F329=""),0,IF(N(E329)&gt;N(F329),1,2)))</f>
        <v>0</v>
      </c>
    </row>
    <row r="330" spans="1:11" ht="20.25" thickBot="1">
      <c r="A330" s="56" t="s">
        <v>48</v>
      </c>
      <c r="B330" s="45" t="str">
        <f>Sk.BB!$B$12</f>
        <v xml:space="preserve"> </v>
      </c>
      <c r="C330" s="44" t="s">
        <v>117</v>
      </c>
      <c r="D330" s="45" t="str">
        <f ca="1">Sk.BB!$E$12</f>
        <v xml:space="preserve"> </v>
      </c>
      <c r="E330" s="162"/>
      <c r="F330" s="162"/>
      <c r="G330" s="365">
        <f ca="1">INDIRECT(ADDRESS(4,A325,1,1,"Hřiště"))</f>
        <v>0</v>
      </c>
      <c r="K330" s="79">
        <f ca="1">IF(TRIM(D330)="-",1,IF(AND(E330="",F330=""),0,IF(N(E330)&gt;N(F330),1,2)))</f>
        <v>0</v>
      </c>
    </row>
    <row r="331" spans="1:11" ht="23.25" thickBot="1">
      <c r="A331" s="52">
        <v>55</v>
      </c>
      <c r="B331" s="52"/>
      <c r="C331" s="57" t="s">
        <v>1133</v>
      </c>
      <c r="D331" s="52"/>
      <c r="E331" s="248"/>
      <c r="F331" s="248"/>
      <c r="G331" s="53"/>
      <c r="H331" s="16"/>
    </row>
    <row r="332" spans="1:11" ht="19.5">
      <c r="A332" s="54" t="s">
        <v>114</v>
      </c>
      <c r="B332" s="41" t="str">
        <f ca="1">Sk.BC!$B$8</f>
        <v xml:space="preserve"> - </v>
      </c>
      <c r="C332" s="42" t="s">
        <v>117</v>
      </c>
      <c r="D332" s="41" t="str">
        <f ca="1">Sk.BC!$E$8</f>
        <v xml:space="preserve"> - </v>
      </c>
      <c r="E332" s="160"/>
      <c r="F332" s="160"/>
      <c r="G332" s="376">
        <f ca="1">INDIRECT(ADDRESS(4,A331,1,1,"Hřiště"))</f>
        <v>0</v>
      </c>
      <c r="H332" s="16"/>
      <c r="I332">
        <v>55</v>
      </c>
      <c r="J332">
        <f>ROW()</f>
        <v>332</v>
      </c>
      <c r="K332" s="79">
        <f ca="1">IF(TRIM(D332)="-",1,IF(AND(E332="",F332=""),0,IF(N(E332)&gt;N(F332),1,2)))</f>
        <v>1</v>
      </c>
    </row>
    <row r="333" spans="1:11" ht="19.5">
      <c r="A333" s="55" t="s">
        <v>115</v>
      </c>
      <c r="B333" s="43" t="str">
        <f ca="1">Sk.BC!$B$9</f>
        <v xml:space="preserve"> - </v>
      </c>
      <c r="C333" s="44" t="s">
        <v>117</v>
      </c>
      <c r="D333" s="43" t="str">
        <f ca="1">Sk.BC!$E$9</f>
        <v xml:space="preserve"> - </v>
      </c>
      <c r="E333" s="161"/>
      <c r="F333" s="161"/>
      <c r="G333" s="364">
        <f ca="1">INDIRECT(ADDRESS(5,A331,1,1,"Hřiště"))</f>
        <v>0</v>
      </c>
      <c r="H333" s="16"/>
      <c r="K333" s="79">
        <f ca="1">IF(TRIM(D333)="-",1,IF(AND(E333="",F333=""),0,IF(N(E333)&gt;N(F333),1,2)))</f>
        <v>1</v>
      </c>
    </row>
    <row r="334" spans="1:11" ht="19.5">
      <c r="A334" s="55" t="s">
        <v>46</v>
      </c>
      <c r="B334" s="43" t="str">
        <f ca="1">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9.5">
      <c r="A335" s="55" t="s">
        <v>47</v>
      </c>
      <c r="B335" s="43" t="str">
        <f ca="1">Sk.BC!$B$11</f>
        <v xml:space="preserve"> - </v>
      </c>
      <c r="C335" s="44" t="s">
        <v>117</v>
      </c>
      <c r="D335" s="43" t="str">
        <f ca="1">Sk.BC!$E$11</f>
        <v xml:space="preserve"> </v>
      </c>
      <c r="E335" s="161"/>
      <c r="F335" s="161"/>
      <c r="G335" s="364">
        <f ca="1">INDIRECT(ADDRESS(5,A331,1,1,"Hřiště"))</f>
        <v>0</v>
      </c>
      <c r="H335" s="16"/>
      <c r="K335" s="79">
        <f ca="1">IF(TRIM(D335)="-",1,IF(AND(E335="",F335=""),0,IF(N(E335)&gt;N(F335),1,2)))</f>
        <v>0</v>
      </c>
    </row>
    <row r="336" spans="1:11" ht="20.25" thickBot="1">
      <c r="A336" s="56" t="s">
        <v>48</v>
      </c>
      <c r="B336" s="45" t="str">
        <f>Sk.BC!$B$12</f>
        <v xml:space="preserve"> </v>
      </c>
      <c r="C336" s="44" t="s">
        <v>117</v>
      </c>
      <c r="D336" s="45" t="str">
        <f ca="1">Sk.BC!$E$12</f>
        <v xml:space="preserve"> </v>
      </c>
      <c r="E336" s="162"/>
      <c r="F336" s="162"/>
      <c r="G336" s="365">
        <f ca="1">INDIRECT(ADDRESS(4,A331,1,1,"Hřiště"))</f>
        <v>0</v>
      </c>
      <c r="K336" s="79">
        <f ca="1">IF(TRIM(D336)="-",1,IF(AND(E336="",F336=""),0,IF(N(E336)&gt;N(F336),1,2)))</f>
        <v>0</v>
      </c>
    </row>
    <row r="337" spans="1:11" ht="23.25" thickBot="1">
      <c r="A337" s="52">
        <v>56</v>
      </c>
      <c r="B337" s="52"/>
      <c r="C337" s="57" t="s">
        <v>1134</v>
      </c>
      <c r="D337" s="52"/>
      <c r="E337" s="248"/>
      <c r="F337" s="248"/>
      <c r="G337" s="53"/>
      <c r="H337" s="16"/>
    </row>
    <row r="338" spans="1:11" ht="19.5">
      <c r="A338" s="54" t="s">
        <v>114</v>
      </c>
      <c r="B338" s="41" t="str">
        <f ca="1">Sk.BD!$B$8</f>
        <v xml:space="preserve"> - </v>
      </c>
      <c r="C338" s="42" t="s">
        <v>117</v>
      </c>
      <c r="D338" s="41" t="str">
        <f ca="1">Sk.BD!$E$8</f>
        <v xml:space="preserve"> - </v>
      </c>
      <c r="E338" s="160"/>
      <c r="F338" s="160"/>
      <c r="G338" s="376">
        <f ca="1">INDIRECT(ADDRESS(4,A337,1,1,"Hřiště"))</f>
        <v>0</v>
      </c>
      <c r="H338" s="16"/>
      <c r="I338">
        <v>56</v>
      </c>
      <c r="J338">
        <f>ROW()</f>
        <v>338</v>
      </c>
      <c r="K338" s="79">
        <f ca="1">IF(TRIM(D338)="-",1,IF(AND(E338="",F338=""),0,IF(N(E338)&gt;N(F338),1,2)))</f>
        <v>1</v>
      </c>
    </row>
    <row r="339" spans="1:11" ht="19.5">
      <c r="A339" s="55" t="s">
        <v>115</v>
      </c>
      <c r="B339" s="43" t="str">
        <f ca="1">Sk.BD!$B$9</f>
        <v xml:space="preserve"> - </v>
      </c>
      <c r="C339" s="44" t="s">
        <v>117</v>
      </c>
      <c r="D339" s="43" t="str">
        <f ca="1">Sk.BD!$E$9</f>
        <v xml:space="preserve"> - </v>
      </c>
      <c r="E339" s="161"/>
      <c r="F339" s="161"/>
      <c r="G339" s="364">
        <f ca="1">INDIRECT(ADDRESS(5,A337,1,1,"Hřiště"))</f>
        <v>0</v>
      </c>
      <c r="H339" s="16"/>
      <c r="K339" s="79">
        <f ca="1">IF(TRIM(D339)="-",1,IF(AND(E339="",F339=""),0,IF(N(E339)&gt;N(F339),1,2)))</f>
        <v>1</v>
      </c>
    </row>
    <row r="340" spans="1:11" ht="19.5">
      <c r="A340" s="55" t="s">
        <v>46</v>
      </c>
      <c r="B340" s="43" t="str">
        <f ca="1">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9.5">
      <c r="A341" s="55" t="s">
        <v>47</v>
      </c>
      <c r="B341" s="43" t="str">
        <f ca="1">Sk.BD!$B$11</f>
        <v xml:space="preserve"> - </v>
      </c>
      <c r="C341" s="44" t="s">
        <v>117</v>
      </c>
      <c r="D341" s="43" t="str">
        <f ca="1">Sk.BD!$E$11</f>
        <v xml:space="preserve"> </v>
      </c>
      <c r="E341" s="161"/>
      <c r="F341" s="161"/>
      <c r="G341" s="364">
        <f ca="1">INDIRECT(ADDRESS(5,A337,1,1,"Hřiště"))</f>
        <v>0</v>
      </c>
      <c r="H341" s="16"/>
      <c r="K341" s="79">
        <f ca="1">IF(TRIM(D341)="-",1,IF(AND(E341="",F341=""),0,IF(N(E341)&gt;N(F341),1,2)))</f>
        <v>0</v>
      </c>
    </row>
    <row r="342" spans="1:11" ht="20.25" thickBot="1">
      <c r="A342" s="56" t="s">
        <v>48</v>
      </c>
      <c r="B342" s="45" t="str">
        <f>Sk.BD!$B$12</f>
        <v xml:space="preserve"> </v>
      </c>
      <c r="C342" s="44" t="s">
        <v>117</v>
      </c>
      <c r="D342" s="45" t="str">
        <f ca="1">Sk.BD!$E$12</f>
        <v xml:space="preserve"> </v>
      </c>
      <c r="E342" s="162"/>
      <c r="F342" s="162"/>
      <c r="G342" s="365">
        <f ca="1">INDIRECT(ADDRESS(4,A337,1,1,"Hřiště"))</f>
        <v>0</v>
      </c>
      <c r="K342" s="79">
        <f ca="1">IF(TRIM(D342)="-",1,IF(AND(E342="",F342=""),0,IF(N(E342)&gt;N(F342),1,2)))</f>
        <v>0</v>
      </c>
    </row>
    <row r="343" spans="1:11" ht="23.25" thickBot="1">
      <c r="A343" s="52">
        <v>57</v>
      </c>
      <c r="B343" s="52"/>
      <c r="C343" s="57" t="s">
        <v>1135</v>
      </c>
      <c r="D343" s="52"/>
      <c r="E343" s="248"/>
      <c r="F343" s="248"/>
      <c r="G343" s="53"/>
      <c r="H343" s="16"/>
    </row>
    <row r="344" spans="1:11" ht="19.5">
      <c r="A344" s="54" t="s">
        <v>114</v>
      </c>
      <c r="B344" s="41" t="str">
        <f ca="1">Sk.BE!$B$8</f>
        <v xml:space="preserve"> - </v>
      </c>
      <c r="C344" s="42" t="s">
        <v>117</v>
      </c>
      <c r="D344" s="41" t="str">
        <f ca="1">Sk.BE!$E$8</f>
        <v xml:space="preserve"> - </v>
      </c>
      <c r="E344" s="160"/>
      <c r="F344" s="160"/>
      <c r="G344" s="376">
        <f ca="1">INDIRECT(ADDRESS(4,A343,1,1,"Hřiště"))</f>
        <v>0</v>
      </c>
      <c r="H344" s="16"/>
      <c r="I344">
        <v>57</v>
      </c>
      <c r="J344">
        <f>ROW()</f>
        <v>344</v>
      </c>
      <c r="K344" s="79">
        <f ca="1">IF(TRIM(D344)="-",1,IF(AND(E344="",F344=""),0,IF(N(E344)&gt;N(F344),1,2)))</f>
        <v>1</v>
      </c>
    </row>
    <row r="345" spans="1:11" ht="19.5">
      <c r="A345" s="55" t="s">
        <v>115</v>
      </c>
      <c r="B345" s="43" t="str">
        <f ca="1">Sk.BE!$B$9</f>
        <v xml:space="preserve"> - </v>
      </c>
      <c r="C345" s="44" t="s">
        <v>117</v>
      </c>
      <c r="D345" s="43" t="str">
        <f ca="1">Sk.BE!$E$9</f>
        <v xml:space="preserve"> - </v>
      </c>
      <c r="E345" s="161"/>
      <c r="F345" s="161"/>
      <c r="G345" s="364">
        <f ca="1">INDIRECT(ADDRESS(5,A343,1,1,"Hřiště"))</f>
        <v>0</v>
      </c>
      <c r="H345" s="16"/>
      <c r="K345" s="79">
        <f ca="1">IF(TRIM(D345)="-",1,IF(AND(E345="",F345=""),0,IF(N(E345)&gt;N(F345),1,2)))</f>
        <v>1</v>
      </c>
    </row>
    <row r="346" spans="1:11" ht="19.5">
      <c r="A346" s="55" t="s">
        <v>46</v>
      </c>
      <c r="B346" s="43" t="str">
        <f ca="1">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9.5">
      <c r="A347" s="55" t="s">
        <v>47</v>
      </c>
      <c r="B347" s="43" t="str">
        <f ca="1">Sk.BE!$B$11</f>
        <v xml:space="preserve"> - </v>
      </c>
      <c r="C347" s="44" t="s">
        <v>117</v>
      </c>
      <c r="D347" s="43" t="str">
        <f ca="1">Sk.BE!$E$11</f>
        <v xml:space="preserve"> </v>
      </c>
      <c r="E347" s="161"/>
      <c r="F347" s="161"/>
      <c r="G347" s="364">
        <f ca="1">INDIRECT(ADDRESS(5,A343,1,1,"Hřiště"))</f>
        <v>0</v>
      </c>
      <c r="H347" s="16"/>
      <c r="K347" s="79">
        <f ca="1">IF(TRIM(D347)="-",1,IF(AND(E347="",F347=""),0,IF(N(E347)&gt;N(F347),1,2)))</f>
        <v>0</v>
      </c>
    </row>
    <row r="348" spans="1:11" ht="20.25" thickBot="1">
      <c r="A348" s="56" t="s">
        <v>48</v>
      </c>
      <c r="B348" s="45" t="str">
        <f>Sk.BE!$B$12</f>
        <v xml:space="preserve"> </v>
      </c>
      <c r="C348" s="44" t="s">
        <v>117</v>
      </c>
      <c r="D348" s="45" t="str">
        <f ca="1">Sk.BE!$E$12</f>
        <v xml:space="preserve"> </v>
      </c>
      <c r="E348" s="162"/>
      <c r="F348" s="162"/>
      <c r="G348" s="365">
        <f ca="1">INDIRECT(ADDRESS(4,A343,1,1,"Hřiště"))</f>
        <v>0</v>
      </c>
      <c r="K348" s="79">
        <f ca="1">IF(TRIM(D348)="-",1,IF(AND(E348="",F348=""),0,IF(N(E348)&gt;N(F348),1,2)))</f>
        <v>0</v>
      </c>
    </row>
    <row r="349" spans="1:11" ht="23.25" thickBot="1">
      <c r="A349" s="52">
        <v>58</v>
      </c>
      <c r="B349" s="52"/>
      <c r="C349" s="57" t="s">
        <v>1136</v>
      </c>
      <c r="D349" s="52"/>
      <c r="E349" s="248"/>
      <c r="F349" s="248"/>
      <c r="G349" s="53"/>
      <c r="H349" s="16"/>
    </row>
    <row r="350" spans="1:11" ht="19.5">
      <c r="A350" s="54" t="s">
        <v>114</v>
      </c>
      <c r="B350" s="41" t="str">
        <f ca="1">Sk.BF!$B$8</f>
        <v xml:space="preserve"> - </v>
      </c>
      <c r="C350" s="42" t="s">
        <v>117</v>
      </c>
      <c r="D350" s="41" t="str">
        <f ca="1">Sk.BF!$E$8</f>
        <v xml:space="preserve"> - </v>
      </c>
      <c r="E350" s="160"/>
      <c r="F350" s="160"/>
      <c r="G350" s="376">
        <f ca="1">INDIRECT(ADDRESS(4,A349,1,1,"Hřiště"))</f>
        <v>0</v>
      </c>
      <c r="H350" s="16"/>
      <c r="I350">
        <v>58</v>
      </c>
      <c r="J350">
        <f>ROW()</f>
        <v>350</v>
      </c>
      <c r="K350" s="79">
        <f ca="1">IF(TRIM(D350)="-",1,IF(AND(E350="",F350=""),0,IF(N(E350)&gt;N(F350),1,2)))</f>
        <v>1</v>
      </c>
    </row>
    <row r="351" spans="1:11" ht="19.5">
      <c r="A351" s="55" t="s">
        <v>115</v>
      </c>
      <c r="B351" s="43" t="str">
        <f ca="1">Sk.BF!$B$9</f>
        <v xml:space="preserve"> - </v>
      </c>
      <c r="C351" s="44" t="s">
        <v>117</v>
      </c>
      <c r="D351" s="43" t="str">
        <f ca="1">Sk.BF!$E$9</f>
        <v xml:space="preserve"> - </v>
      </c>
      <c r="E351" s="161"/>
      <c r="F351" s="161"/>
      <c r="G351" s="364">
        <f ca="1">INDIRECT(ADDRESS(5,A349,1,1,"Hřiště"))</f>
        <v>0</v>
      </c>
      <c r="H351" s="16"/>
      <c r="K351" s="79">
        <f ca="1">IF(TRIM(D351)="-",1,IF(AND(E351="",F351=""),0,IF(N(E351)&gt;N(F351),1,2)))</f>
        <v>1</v>
      </c>
    </row>
    <row r="352" spans="1:11" ht="19.5">
      <c r="A352" s="55" t="s">
        <v>46</v>
      </c>
      <c r="B352" s="43" t="str">
        <f ca="1">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9.5">
      <c r="A353" s="55" t="s">
        <v>47</v>
      </c>
      <c r="B353" s="43" t="str">
        <f ca="1">Sk.BF!$B$11</f>
        <v xml:space="preserve"> - </v>
      </c>
      <c r="C353" s="44" t="s">
        <v>117</v>
      </c>
      <c r="D353" s="43" t="str">
        <f ca="1">Sk.BF!$E$11</f>
        <v xml:space="preserve"> </v>
      </c>
      <c r="E353" s="161"/>
      <c r="F353" s="161"/>
      <c r="G353" s="364">
        <f ca="1">INDIRECT(ADDRESS(5,A349,1,1,"Hřiště"))</f>
        <v>0</v>
      </c>
      <c r="H353" s="16"/>
      <c r="K353" s="79">
        <f ca="1">IF(TRIM(D353)="-",1,IF(AND(E353="",F353=""),0,IF(N(E353)&gt;N(F353),1,2)))</f>
        <v>0</v>
      </c>
    </row>
    <row r="354" spans="1:11" ht="20.25" thickBot="1">
      <c r="A354" s="56" t="s">
        <v>48</v>
      </c>
      <c r="B354" s="45" t="str">
        <f>Sk.BF!$B$12</f>
        <v xml:space="preserve"> </v>
      </c>
      <c r="C354" s="44" t="s">
        <v>117</v>
      </c>
      <c r="D354" s="45" t="str">
        <f ca="1">Sk.BF!$E$12</f>
        <v xml:space="preserve"> </v>
      </c>
      <c r="E354" s="162"/>
      <c r="F354" s="162"/>
      <c r="G354" s="365">
        <f ca="1">INDIRECT(ADDRESS(4,A349,1,1,"Hřiště"))</f>
        <v>0</v>
      </c>
      <c r="K354" s="79">
        <f ca="1">IF(TRIM(D354)="-",1,IF(AND(E354="",F354=""),0,IF(N(E354)&gt;N(F354),1,2)))</f>
        <v>0</v>
      </c>
    </row>
    <row r="355" spans="1:11" ht="23.25" thickBot="1">
      <c r="A355" s="52">
        <v>59</v>
      </c>
      <c r="B355" s="52"/>
      <c r="C355" s="57" t="s">
        <v>1137</v>
      </c>
      <c r="D355" s="52"/>
      <c r="E355" s="248"/>
      <c r="F355" s="248"/>
      <c r="G355" s="53"/>
      <c r="H355" s="16"/>
    </row>
    <row r="356" spans="1:11" ht="19.5">
      <c r="A356" s="54" t="s">
        <v>114</v>
      </c>
      <c r="B356" s="41" t="str">
        <f ca="1">Sk.BG!$B$8</f>
        <v xml:space="preserve"> - </v>
      </c>
      <c r="C356" s="42" t="s">
        <v>117</v>
      </c>
      <c r="D356" s="41" t="str">
        <f ca="1">Sk.BG!$E$8</f>
        <v xml:space="preserve"> - </v>
      </c>
      <c r="E356" s="160"/>
      <c r="F356" s="160"/>
      <c r="G356" s="376">
        <f ca="1">INDIRECT(ADDRESS(4,A355,1,1,"Hřiště"))</f>
        <v>0</v>
      </c>
      <c r="H356" s="16"/>
      <c r="I356">
        <v>59</v>
      </c>
      <c r="J356">
        <f>ROW()</f>
        <v>356</v>
      </c>
      <c r="K356" s="79">
        <f ca="1">IF(TRIM(D356)="-",1,IF(AND(E356="",F356=""),0,IF(N(E356)&gt;N(F356),1,2)))</f>
        <v>1</v>
      </c>
    </row>
    <row r="357" spans="1:11" ht="19.5">
      <c r="A357" s="55" t="s">
        <v>115</v>
      </c>
      <c r="B357" s="43" t="str">
        <f ca="1">Sk.BG!$B$9</f>
        <v xml:space="preserve"> - </v>
      </c>
      <c r="C357" s="44" t="s">
        <v>117</v>
      </c>
      <c r="D357" s="43" t="str">
        <f ca="1">Sk.BG!$E$9</f>
        <v xml:space="preserve"> - </v>
      </c>
      <c r="E357" s="161"/>
      <c r="F357" s="161"/>
      <c r="G357" s="364">
        <f ca="1">INDIRECT(ADDRESS(5,A355,1,1,"Hřiště"))</f>
        <v>0</v>
      </c>
      <c r="H357" s="16"/>
      <c r="K357" s="79">
        <f ca="1">IF(TRIM(D357)="-",1,IF(AND(E357="",F357=""),0,IF(N(E357)&gt;N(F357),1,2)))</f>
        <v>1</v>
      </c>
    </row>
    <row r="358" spans="1:11" ht="19.5">
      <c r="A358" s="55" t="s">
        <v>46</v>
      </c>
      <c r="B358" s="43" t="str">
        <f ca="1">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9.5">
      <c r="A359" s="55" t="s">
        <v>47</v>
      </c>
      <c r="B359" s="43" t="str">
        <f ca="1">Sk.BG!$B$11</f>
        <v xml:space="preserve"> - </v>
      </c>
      <c r="C359" s="44" t="s">
        <v>117</v>
      </c>
      <c r="D359" s="43" t="str">
        <f ca="1">Sk.BG!$E$11</f>
        <v xml:space="preserve"> </v>
      </c>
      <c r="E359" s="161"/>
      <c r="F359" s="161"/>
      <c r="G359" s="364">
        <f ca="1">INDIRECT(ADDRESS(5,A355,1,1,"Hřiště"))</f>
        <v>0</v>
      </c>
      <c r="H359" s="16"/>
      <c r="K359" s="79">
        <f ca="1">IF(TRIM(D359)="-",1,IF(AND(E359="",F359=""),0,IF(N(E359)&gt;N(F359),1,2)))</f>
        <v>0</v>
      </c>
    </row>
    <row r="360" spans="1:11" ht="20.25" thickBot="1">
      <c r="A360" s="56" t="s">
        <v>48</v>
      </c>
      <c r="B360" s="45" t="str">
        <f>Sk.BG!$B$12</f>
        <v xml:space="preserve"> </v>
      </c>
      <c r="C360" s="44" t="s">
        <v>117</v>
      </c>
      <c r="D360" s="45" t="str">
        <f ca="1">Sk.BG!$E$12</f>
        <v xml:space="preserve"> </v>
      </c>
      <c r="E360" s="162"/>
      <c r="F360" s="162"/>
      <c r="G360" s="365">
        <f ca="1">INDIRECT(ADDRESS(4,A355,1,1,"Hřiště"))</f>
        <v>0</v>
      </c>
      <c r="K360" s="79">
        <f ca="1">IF(TRIM(D360)="-",1,IF(AND(E360="",F360=""),0,IF(N(E360)&gt;N(F360),1,2)))</f>
        <v>0</v>
      </c>
    </row>
    <row r="361" spans="1:11" ht="23.25" thickBot="1">
      <c r="A361" s="52">
        <v>60</v>
      </c>
      <c r="B361" s="52"/>
      <c r="C361" s="57" t="s">
        <v>1138</v>
      </c>
      <c r="D361" s="52"/>
      <c r="E361" s="248"/>
      <c r="F361" s="248"/>
      <c r="G361" s="53"/>
      <c r="H361" s="16"/>
    </row>
    <row r="362" spans="1:11" ht="19.5">
      <c r="A362" s="54" t="s">
        <v>114</v>
      </c>
      <c r="B362" s="41" t="str">
        <f ca="1">Sk.BH!$B$8</f>
        <v xml:space="preserve"> - </v>
      </c>
      <c r="C362" s="42" t="s">
        <v>117</v>
      </c>
      <c r="D362" s="41" t="str">
        <f ca="1">Sk.BH!$E$8</f>
        <v xml:space="preserve"> - </v>
      </c>
      <c r="E362" s="160"/>
      <c r="F362" s="160"/>
      <c r="G362" s="376">
        <f ca="1">INDIRECT(ADDRESS(4,A361,1,1,"Hřiště"))</f>
        <v>0</v>
      </c>
      <c r="H362" s="16"/>
      <c r="I362">
        <v>60</v>
      </c>
      <c r="J362">
        <f>ROW()</f>
        <v>362</v>
      </c>
      <c r="K362" s="79">
        <f ca="1">IF(TRIM(D362)="-",1,IF(AND(E362="",F362=""),0,IF(N(E362)&gt;N(F362),1,2)))</f>
        <v>1</v>
      </c>
    </row>
    <row r="363" spans="1:11" ht="19.5">
      <c r="A363" s="55" t="s">
        <v>115</v>
      </c>
      <c r="B363" s="43" t="str">
        <f ca="1">Sk.BH!$B$9</f>
        <v xml:space="preserve"> - </v>
      </c>
      <c r="C363" s="44" t="s">
        <v>117</v>
      </c>
      <c r="D363" s="43" t="str">
        <f ca="1">Sk.BH!$E$9</f>
        <v xml:space="preserve"> - </v>
      </c>
      <c r="E363" s="161"/>
      <c r="F363" s="161"/>
      <c r="G363" s="364">
        <f ca="1">INDIRECT(ADDRESS(5,A361,1,1,"Hřiště"))</f>
        <v>0</v>
      </c>
      <c r="H363" s="16"/>
      <c r="K363" s="79">
        <f ca="1">IF(TRIM(D363)="-",1,IF(AND(E363="",F363=""),0,IF(N(E363)&gt;N(F363),1,2)))</f>
        <v>1</v>
      </c>
    </row>
    <row r="364" spans="1:11" ht="19.5">
      <c r="A364" s="55" t="s">
        <v>46</v>
      </c>
      <c r="B364" s="43" t="str">
        <f ca="1">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9.5">
      <c r="A365" s="55" t="s">
        <v>47</v>
      </c>
      <c r="B365" s="43" t="str">
        <f ca="1">Sk.BH!$B$11</f>
        <v xml:space="preserve"> - </v>
      </c>
      <c r="C365" s="44" t="s">
        <v>117</v>
      </c>
      <c r="D365" s="43" t="str">
        <f ca="1">Sk.BH!$E$11</f>
        <v xml:space="preserve"> </v>
      </c>
      <c r="E365" s="161"/>
      <c r="F365" s="161"/>
      <c r="G365" s="364">
        <f ca="1">INDIRECT(ADDRESS(5,A361,1,1,"Hřiště"))</f>
        <v>0</v>
      </c>
      <c r="H365" s="16"/>
      <c r="K365" s="79">
        <f ca="1">IF(TRIM(D365)="-",1,IF(AND(E365="",F365=""),0,IF(N(E365)&gt;N(F365),1,2)))</f>
        <v>0</v>
      </c>
    </row>
    <row r="366" spans="1:11" ht="20.25" thickBot="1">
      <c r="A366" s="56" t="s">
        <v>48</v>
      </c>
      <c r="B366" s="45" t="str">
        <f>Sk.BH!$B$12</f>
        <v xml:space="preserve"> </v>
      </c>
      <c r="C366" s="44" t="s">
        <v>117</v>
      </c>
      <c r="D366" s="45" t="str">
        <f ca="1">Sk.BH!$E$12</f>
        <v xml:space="preserve"> </v>
      </c>
      <c r="E366" s="162"/>
      <c r="F366" s="162"/>
      <c r="G366" s="365">
        <f ca="1">INDIRECT(ADDRESS(4,A361,1,1,"Hřiště"))</f>
        <v>0</v>
      </c>
      <c r="K366" s="79">
        <f ca="1">IF(TRIM(D366)="-",1,IF(AND(E366="",F366=""),0,IF(N(E366)&gt;N(F366),1,2)))</f>
        <v>0</v>
      </c>
    </row>
    <row r="367" spans="1:11" ht="23.25" thickBot="1">
      <c r="A367" s="52">
        <v>61</v>
      </c>
      <c r="B367" s="52"/>
      <c r="C367" s="57" t="s">
        <v>1139</v>
      </c>
      <c r="D367" s="52"/>
      <c r="E367" s="248"/>
      <c r="F367" s="248"/>
      <c r="G367" s="53"/>
      <c r="H367" s="16"/>
    </row>
    <row r="368" spans="1:11" ht="19.5">
      <c r="A368" s="54" t="s">
        <v>114</v>
      </c>
      <c r="B368" s="41" t="str">
        <f ca="1">Sk.BI!$B$8</f>
        <v xml:space="preserve"> - </v>
      </c>
      <c r="C368" s="42" t="s">
        <v>117</v>
      </c>
      <c r="D368" s="41" t="str">
        <f ca="1">Sk.BI!$E$8</f>
        <v xml:space="preserve"> - </v>
      </c>
      <c r="E368" s="160"/>
      <c r="F368" s="160"/>
      <c r="G368" s="376">
        <f ca="1">INDIRECT(ADDRESS(4,A367,1,1,"Hřiště"))</f>
        <v>0</v>
      </c>
      <c r="H368" s="16"/>
      <c r="I368">
        <v>61</v>
      </c>
      <c r="J368">
        <f>ROW()</f>
        <v>368</v>
      </c>
      <c r="K368" s="79">
        <f ca="1">IF(TRIM(D368)="-",1,IF(AND(E368="",F368=""),0,IF(N(E368)&gt;N(F368),1,2)))</f>
        <v>1</v>
      </c>
    </row>
    <row r="369" spans="1:11" ht="19.5">
      <c r="A369" s="55" t="s">
        <v>115</v>
      </c>
      <c r="B369" s="43" t="str">
        <f ca="1">Sk.BI!$B$9</f>
        <v xml:space="preserve"> - </v>
      </c>
      <c r="C369" s="44" t="s">
        <v>117</v>
      </c>
      <c r="D369" s="43" t="str">
        <f ca="1">Sk.BI!$E$9</f>
        <v xml:space="preserve"> - </v>
      </c>
      <c r="E369" s="161"/>
      <c r="F369" s="161"/>
      <c r="G369" s="364">
        <f ca="1">INDIRECT(ADDRESS(5,A367,1,1,"Hřiště"))</f>
        <v>0</v>
      </c>
      <c r="H369" s="16"/>
      <c r="K369" s="79">
        <f ca="1">IF(TRIM(D369)="-",1,IF(AND(E369="",F369=""),0,IF(N(E369)&gt;N(F369),1,2)))</f>
        <v>1</v>
      </c>
    </row>
    <row r="370" spans="1:11" ht="19.5">
      <c r="A370" s="55" t="s">
        <v>46</v>
      </c>
      <c r="B370" s="43" t="str">
        <f ca="1">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9.5">
      <c r="A371" s="55" t="s">
        <v>47</v>
      </c>
      <c r="B371" s="43" t="str">
        <f ca="1">Sk.BI!$B$11</f>
        <v xml:space="preserve"> - </v>
      </c>
      <c r="C371" s="44" t="s">
        <v>117</v>
      </c>
      <c r="D371" s="43" t="str">
        <f ca="1">Sk.BI!$E$11</f>
        <v xml:space="preserve"> </v>
      </c>
      <c r="E371" s="161"/>
      <c r="F371" s="161"/>
      <c r="G371" s="364">
        <f ca="1">INDIRECT(ADDRESS(5,A367,1,1,"Hřiště"))</f>
        <v>0</v>
      </c>
      <c r="H371" s="16"/>
      <c r="K371" s="79">
        <f ca="1">IF(TRIM(D371)="-",1,IF(AND(E371="",F371=""),0,IF(N(E371)&gt;N(F371),1,2)))</f>
        <v>0</v>
      </c>
    </row>
    <row r="372" spans="1:11" ht="20.25" thickBot="1">
      <c r="A372" s="56" t="s">
        <v>48</v>
      </c>
      <c r="B372" s="45" t="str">
        <f>Sk.BI!$B$12</f>
        <v xml:space="preserve"> </v>
      </c>
      <c r="C372" s="44" t="s">
        <v>117</v>
      </c>
      <c r="D372" s="45" t="str">
        <f ca="1">Sk.BI!$E$12</f>
        <v xml:space="preserve"> </v>
      </c>
      <c r="E372" s="162"/>
      <c r="F372" s="162"/>
      <c r="G372" s="365">
        <f ca="1">INDIRECT(ADDRESS(4,A367,1,1,"Hřiště"))</f>
        <v>0</v>
      </c>
      <c r="K372" s="79">
        <f ca="1">IF(TRIM(D372)="-",1,IF(AND(E372="",F372=""),0,IF(N(E372)&gt;N(F372),1,2)))</f>
        <v>0</v>
      </c>
    </row>
    <row r="373" spans="1:11" ht="23.25" thickBot="1">
      <c r="A373" s="52">
        <v>62</v>
      </c>
      <c r="B373" s="52"/>
      <c r="C373" s="57" t="s">
        <v>1140</v>
      </c>
      <c r="D373" s="52"/>
      <c r="E373" s="248"/>
      <c r="F373" s="248"/>
      <c r="G373" s="53"/>
      <c r="H373" s="16"/>
    </row>
    <row r="374" spans="1:11" ht="19.5">
      <c r="A374" s="54" t="s">
        <v>114</v>
      </c>
      <c r="B374" s="41" t="str">
        <f ca="1">Sk.BJ!$B$8</f>
        <v xml:space="preserve"> - </v>
      </c>
      <c r="C374" s="42" t="s">
        <v>117</v>
      </c>
      <c r="D374" s="41" t="str">
        <f ca="1">Sk.BJ!$E$8</f>
        <v xml:space="preserve"> - </v>
      </c>
      <c r="E374" s="160"/>
      <c r="F374" s="160"/>
      <c r="G374" s="376">
        <f ca="1">INDIRECT(ADDRESS(4,A373,1,1,"Hřiště"))</f>
        <v>0</v>
      </c>
      <c r="H374" s="16"/>
      <c r="I374">
        <v>62</v>
      </c>
      <c r="J374">
        <f>ROW()</f>
        <v>374</v>
      </c>
      <c r="K374" s="79">
        <f ca="1">IF(TRIM(D374)="-",1,IF(AND(E374="",F374=""),0,IF(N(E374)&gt;N(F374),1,2)))</f>
        <v>1</v>
      </c>
    </row>
    <row r="375" spans="1:11" ht="19.5">
      <c r="A375" s="55" t="s">
        <v>115</v>
      </c>
      <c r="B375" s="43" t="str">
        <f ca="1">Sk.BJ!$B$9</f>
        <v xml:space="preserve"> - </v>
      </c>
      <c r="C375" s="44" t="s">
        <v>117</v>
      </c>
      <c r="D375" s="43" t="str">
        <f ca="1">Sk.BJ!$E$9</f>
        <v xml:space="preserve"> - </v>
      </c>
      <c r="E375" s="161"/>
      <c r="F375" s="161"/>
      <c r="G375" s="364">
        <f ca="1">INDIRECT(ADDRESS(5,A373,1,1,"Hřiště"))</f>
        <v>0</v>
      </c>
      <c r="H375" s="16"/>
      <c r="K375" s="79">
        <f ca="1">IF(TRIM(D375)="-",1,IF(AND(E375="",F375=""),0,IF(N(E375)&gt;N(F375),1,2)))</f>
        <v>1</v>
      </c>
    </row>
    <row r="376" spans="1:11" ht="19.5">
      <c r="A376" s="55" t="s">
        <v>46</v>
      </c>
      <c r="B376" s="43" t="str">
        <f ca="1">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9.5">
      <c r="A377" s="55" t="s">
        <v>47</v>
      </c>
      <c r="B377" s="43" t="str">
        <f ca="1">Sk.BJ!$B$11</f>
        <v xml:space="preserve"> - </v>
      </c>
      <c r="C377" s="44" t="s">
        <v>117</v>
      </c>
      <c r="D377" s="43" t="str">
        <f ca="1">Sk.BJ!$E$11</f>
        <v xml:space="preserve"> </v>
      </c>
      <c r="E377" s="161"/>
      <c r="F377" s="161"/>
      <c r="G377" s="364">
        <f ca="1">INDIRECT(ADDRESS(5,A373,1,1,"Hřiště"))</f>
        <v>0</v>
      </c>
      <c r="H377" s="16"/>
      <c r="K377" s="79">
        <f ca="1">IF(TRIM(D377)="-",1,IF(AND(E377="",F377=""),0,IF(N(E377)&gt;N(F377),1,2)))</f>
        <v>0</v>
      </c>
    </row>
    <row r="378" spans="1:11" ht="20.25" thickBot="1">
      <c r="A378" s="56" t="s">
        <v>48</v>
      </c>
      <c r="B378" s="45" t="str">
        <f>Sk.BJ!$B$12</f>
        <v xml:space="preserve"> </v>
      </c>
      <c r="C378" s="44" t="s">
        <v>117</v>
      </c>
      <c r="D378" s="45" t="str">
        <f ca="1">Sk.BJ!$E$12</f>
        <v xml:space="preserve"> </v>
      </c>
      <c r="E378" s="162"/>
      <c r="F378" s="162"/>
      <c r="G378" s="365">
        <f ca="1">INDIRECT(ADDRESS(4,A373,1,1,"Hřiště"))</f>
        <v>0</v>
      </c>
      <c r="K378" s="79">
        <f ca="1">IF(TRIM(D378)="-",1,IF(AND(E378="",F378=""),0,IF(N(E378)&gt;N(F378),1,2)))</f>
        <v>0</v>
      </c>
    </row>
    <row r="379" spans="1:11" ht="23.25" thickBot="1">
      <c r="A379" s="52">
        <v>63</v>
      </c>
      <c r="B379" s="52"/>
      <c r="C379" s="57" t="s">
        <v>1141</v>
      </c>
      <c r="D379" s="52"/>
      <c r="E379" s="248"/>
      <c r="F379" s="248"/>
      <c r="G379" s="53"/>
      <c r="H379" s="16"/>
    </row>
    <row r="380" spans="1:11" ht="19.5">
      <c r="A380" s="54" t="s">
        <v>114</v>
      </c>
      <c r="B380" s="41" t="str">
        <f ca="1">Sk.BK!$B$8</f>
        <v xml:space="preserve"> - </v>
      </c>
      <c r="C380" s="42" t="s">
        <v>117</v>
      </c>
      <c r="D380" s="41" t="str">
        <f ca="1">Sk.BK!$E$8</f>
        <v xml:space="preserve"> - </v>
      </c>
      <c r="E380" s="160"/>
      <c r="F380" s="160"/>
      <c r="G380" s="376">
        <f ca="1">INDIRECT(ADDRESS(4,A379,1,1,"Hřiště"))</f>
        <v>0</v>
      </c>
      <c r="H380" s="16"/>
      <c r="I380">
        <v>63</v>
      </c>
      <c r="J380">
        <f>ROW()</f>
        <v>380</v>
      </c>
      <c r="K380" s="79">
        <f ca="1">IF(TRIM(D380)="-",1,IF(AND(E380="",F380=""),0,IF(N(E380)&gt;N(F380),1,2)))</f>
        <v>1</v>
      </c>
    </row>
    <row r="381" spans="1:11" ht="19.5">
      <c r="A381" s="55" t="s">
        <v>115</v>
      </c>
      <c r="B381" s="43" t="str">
        <f ca="1">Sk.BK!$B$9</f>
        <v xml:space="preserve"> - </v>
      </c>
      <c r="C381" s="44" t="s">
        <v>117</v>
      </c>
      <c r="D381" s="43" t="str">
        <f ca="1">Sk.BK!$E$9</f>
        <v xml:space="preserve"> - </v>
      </c>
      <c r="E381" s="161"/>
      <c r="F381" s="161"/>
      <c r="G381" s="364">
        <f ca="1">INDIRECT(ADDRESS(5,A379,1,1,"Hřiště"))</f>
        <v>0</v>
      </c>
      <c r="H381" s="16"/>
      <c r="K381" s="79">
        <f ca="1">IF(TRIM(D381)="-",1,IF(AND(E381="",F381=""),0,IF(N(E381)&gt;N(F381),1,2)))</f>
        <v>1</v>
      </c>
    </row>
    <row r="382" spans="1:11" ht="19.5">
      <c r="A382" s="55" t="s">
        <v>46</v>
      </c>
      <c r="B382" s="43" t="str">
        <f ca="1">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9.5">
      <c r="A383" s="55" t="s">
        <v>47</v>
      </c>
      <c r="B383" s="43" t="str">
        <f ca="1">Sk.BK!$B$11</f>
        <v xml:space="preserve"> - </v>
      </c>
      <c r="C383" s="44" t="s">
        <v>117</v>
      </c>
      <c r="D383" s="43" t="str">
        <f ca="1">Sk.BK!$E$11</f>
        <v xml:space="preserve"> </v>
      </c>
      <c r="E383" s="161"/>
      <c r="F383" s="161"/>
      <c r="G383" s="364">
        <f ca="1">INDIRECT(ADDRESS(5,A379,1,1,"Hřiště"))</f>
        <v>0</v>
      </c>
      <c r="H383" s="16"/>
      <c r="K383" s="79">
        <f ca="1">IF(TRIM(D383)="-",1,IF(AND(E383="",F383=""),0,IF(N(E383)&gt;N(F383),1,2)))</f>
        <v>0</v>
      </c>
    </row>
    <row r="384" spans="1:11" ht="20.25" thickBot="1">
      <c r="A384" s="56" t="s">
        <v>48</v>
      </c>
      <c r="B384" s="45" t="str">
        <f>Sk.BK!$B$12</f>
        <v xml:space="preserve"> </v>
      </c>
      <c r="C384" s="44" t="s">
        <v>117</v>
      </c>
      <c r="D384" s="45" t="str">
        <f ca="1">Sk.BK!$E$12</f>
        <v xml:space="preserve"> </v>
      </c>
      <c r="E384" s="162"/>
      <c r="F384" s="162"/>
      <c r="G384" s="365">
        <f ca="1">INDIRECT(ADDRESS(4,A379,1,1,"Hřiště"))</f>
        <v>0</v>
      </c>
      <c r="K384" s="79">
        <f ca="1">IF(TRIM(D384)="-",1,IF(AND(E384="",F384=""),0,IF(N(E384)&gt;N(F384),1,2)))</f>
        <v>0</v>
      </c>
    </row>
    <row r="385" spans="1:11" ht="23.25" thickBot="1">
      <c r="A385" s="52">
        <v>64</v>
      </c>
      <c r="B385" s="52"/>
      <c r="C385" s="57" t="s">
        <v>1142</v>
      </c>
      <c r="D385" s="52"/>
      <c r="E385" s="248"/>
      <c r="F385" s="248"/>
      <c r="G385" s="53"/>
      <c r="H385" s="16"/>
    </row>
    <row r="386" spans="1:11" ht="19.5">
      <c r="A386" s="54" t="s">
        <v>114</v>
      </c>
      <c r="B386" s="41" t="str">
        <f ca="1">Sk.BL!$B$8</f>
        <v xml:space="preserve"> - </v>
      </c>
      <c r="C386" s="42" t="s">
        <v>117</v>
      </c>
      <c r="D386" s="41" t="str">
        <f ca="1">Sk.BL!$E$8</f>
        <v xml:space="preserve"> - </v>
      </c>
      <c r="E386" s="160"/>
      <c r="F386" s="160"/>
      <c r="G386" s="376">
        <f ca="1">INDIRECT(ADDRESS(4,A385,1,1,"Hřiště"))</f>
        <v>0</v>
      </c>
      <c r="H386" s="16"/>
      <c r="I386">
        <v>64</v>
      </c>
      <c r="J386">
        <f>ROW()</f>
        <v>386</v>
      </c>
      <c r="K386" s="79">
        <f ca="1">IF(TRIM(D386)="-",1,IF(AND(E386="",F386=""),0,IF(N(E386)&gt;N(F386),1,2)))</f>
        <v>1</v>
      </c>
    </row>
    <row r="387" spans="1:11" ht="19.5">
      <c r="A387" s="55" t="s">
        <v>115</v>
      </c>
      <c r="B387" s="43" t="str">
        <f ca="1">Sk.BL!$B$9</f>
        <v xml:space="preserve"> - </v>
      </c>
      <c r="C387" s="44" t="s">
        <v>117</v>
      </c>
      <c r="D387" s="43" t="str">
        <f ca="1">Sk.BL!$E$9</f>
        <v xml:space="preserve"> - </v>
      </c>
      <c r="E387" s="161"/>
      <c r="F387" s="161"/>
      <c r="G387" s="364">
        <f ca="1">INDIRECT(ADDRESS(5,A385,1,1,"Hřiště"))</f>
        <v>0</v>
      </c>
      <c r="H387" s="16"/>
      <c r="K387" s="79">
        <f ca="1">IF(TRIM(D387)="-",1,IF(AND(E387="",F387=""),0,IF(N(E387)&gt;N(F387),1,2)))</f>
        <v>1</v>
      </c>
    </row>
    <row r="388" spans="1:11" ht="19.5">
      <c r="A388" s="55" t="s">
        <v>46</v>
      </c>
      <c r="B388" s="43" t="str">
        <f ca="1">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9.5">
      <c r="A389" s="55" t="s">
        <v>47</v>
      </c>
      <c r="B389" s="43" t="str">
        <f ca="1">Sk.BL!$B$11</f>
        <v xml:space="preserve"> - </v>
      </c>
      <c r="C389" s="44" t="s">
        <v>117</v>
      </c>
      <c r="D389" s="43" t="str">
        <f ca="1">Sk.BL!$E$11</f>
        <v xml:space="preserve"> </v>
      </c>
      <c r="E389" s="161"/>
      <c r="F389" s="161"/>
      <c r="G389" s="364">
        <f ca="1">INDIRECT(ADDRESS(5,A385,1,1,"Hřiště"))</f>
        <v>0</v>
      </c>
      <c r="H389" s="16"/>
      <c r="K389" s="79">
        <f ca="1">IF(TRIM(D389)="-",1,IF(AND(E389="",F389=""),0,IF(N(E389)&gt;N(F389),1,2)))</f>
        <v>0</v>
      </c>
    </row>
    <row r="390" spans="1:11" ht="20.25" thickBot="1">
      <c r="A390" s="56" t="s">
        <v>48</v>
      </c>
      <c r="B390" s="45" t="str">
        <f>Sk.BL!$B$12</f>
        <v xml:space="preserve"> </v>
      </c>
      <c r="C390" s="44" t="s">
        <v>117</v>
      </c>
      <c r="D390" s="45" t="str">
        <f ca="1">Sk.BL!$E$12</f>
        <v xml:space="preserve"> </v>
      </c>
      <c r="E390" s="162"/>
      <c r="F390" s="162"/>
      <c r="G390" s="365">
        <f ca="1">INDIRECT(ADDRESS(4,A385,1,1,"Hřiště"))</f>
        <v>0</v>
      </c>
      <c r="K390" s="79">
        <f ca="1">IF(TRIM(D390)="-",1,IF(AND(E390="",F390=""),0,IF(N(E390)&gt;N(F390),1,2)))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3" t="s">
        <v>293</v>
      </c>
      <c r="B1" s="63"/>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87 JAPKO - Stejskal Václav</v>
      </c>
      <c r="C4" t="str">
        <f>Sk.A!$C$15</f>
        <v>A2</v>
      </c>
      <c r="D4" t="str">
        <f ca="1">Sk.A!$B$15</f>
        <v>87 JAPKO - Stejskal Václav</v>
      </c>
    </row>
    <row r="5" spans="1:4">
      <c r="A5" t="str">
        <f t="shared" ca="1" si="0"/>
        <v>A3</v>
      </c>
      <c r="B5" t="str">
        <f t="shared" ca="1" si="1"/>
        <v>86 PC Sokol PP Hr. Králové - Melgr Jan</v>
      </c>
      <c r="C5" t="str">
        <f>Sk.A!$C$16</f>
        <v>A3</v>
      </c>
      <c r="D5" t="str">
        <f ca="1">Sk.A!$B$16</f>
        <v>86 PC Sokol PP Hr. Králové - Melgr Jan</v>
      </c>
    </row>
    <row r="6" spans="1:4">
      <c r="A6" t="str">
        <f t="shared" ca="1" si="0"/>
        <v/>
      </c>
      <c r="B6" t="str">
        <f t="shared" ca="1" si="1"/>
        <v/>
      </c>
      <c r="C6" t="str">
        <f>Sk.A!$C$17</f>
        <v>A4</v>
      </c>
      <c r="D6" t="str">
        <f ca="1">Sk.A!$B$17</f>
        <v xml:space="preserve"> - </v>
      </c>
    </row>
    <row r="7" spans="1:4">
      <c r="A7" t="str">
        <f t="shared" ca="1" si="0"/>
        <v>B1</v>
      </c>
      <c r="B7" t="str">
        <f t="shared" ca="1" si="1"/>
        <v>2 PC Sokol Lipník - Vavrovič Petr ml.</v>
      </c>
      <c r="C7" t="str">
        <f>Sk.B!$C$14</f>
        <v>B1</v>
      </c>
      <c r="D7" t="str">
        <f ca="1">Sk.B!$B$14</f>
        <v>2 PC Sokol Lipník - Vavrovič Petr ml.</v>
      </c>
    </row>
    <row r="8" spans="1:4">
      <c r="A8" t="str">
        <f t="shared" ca="1" si="0"/>
        <v>B2</v>
      </c>
      <c r="B8" t="str">
        <f t="shared" ca="1" si="1"/>
        <v>85 Petank Club Praha - Froněk Jiří ml.</v>
      </c>
      <c r="C8" t="str">
        <f>Sk.B!$C$15</f>
        <v>B2</v>
      </c>
      <c r="D8" t="str">
        <f ca="1">Sk.B!$B$15</f>
        <v>85 Petank Club Praha - Froněk Jiří ml.</v>
      </c>
    </row>
    <row r="9" spans="1:4">
      <c r="A9" t="str">
        <f t="shared" ca="1" si="0"/>
        <v>B3</v>
      </c>
      <c r="B9" t="str">
        <f t="shared" ca="1" si="1"/>
        <v>88 C.T.P. Club Ořech - Glaser Vladimír</v>
      </c>
      <c r="C9" t="str">
        <f>Sk.B!$C$16</f>
        <v>B3</v>
      </c>
      <c r="D9" t="str">
        <f ca="1">Sk.B!$B$16</f>
        <v>88 C.T.P. Club Ořech - Glaser Vladimír</v>
      </c>
    </row>
    <row r="10" spans="1:4">
      <c r="A10" t="str">
        <f t="shared" ca="1" si="0"/>
        <v/>
      </c>
      <c r="B10" t="str">
        <f t="shared" ca="1" si="1"/>
        <v/>
      </c>
      <c r="C10" t="str">
        <f>Sk.B!$C$17</f>
        <v>B4</v>
      </c>
      <c r="D10" t="str">
        <f ca="1">Sk.B!$B$17</f>
        <v xml:space="preserve"> - </v>
      </c>
    </row>
    <row r="11" spans="1:4">
      <c r="A11" t="str">
        <f t="shared" ca="1" si="0"/>
        <v>C1</v>
      </c>
      <c r="B11" t="str">
        <f t="shared" ca="1" si="1"/>
        <v>3 Carreau Brno - Michálek Tomáš</v>
      </c>
      <c r="C11" t="str">
        <f>Sk.C!$C$14</f>
        <v>C1</v>
      </c>
      <c r="D11" t="str">
        <f ca="1">Sk.C!$B$14</f>
        <v>3 Carreau Brno - Michálek Tomáš</v>
      </c>
    </row>
    <row r="12" spans="1:4">
      <c r="A12" t="str">
        <f t="shared" ca="1" si="0"/>
        <v>C2</v>
      </c>
      <c r="B12" t="str">
        <f t="shared" ca="1" si="1"/>
        <v>89 SK Sahara Vědomice - Piller Tomáš</v>
      </c>
      <c r="C12" t="str">
        <f>Sk.C!$C$15</f>
        <v>C2</v>
      </c>
      <c r="D12" t="str">
        <f ca="1">Sk.C!$B$15</f>
        <v>89 SK Sahara Vědomice - Piller Tomáš</v>
      </c>
    </row>
    <row r="13" spans="1:4">
      <c r="A13" t="str">
        <f t="shared" ca="1" si="0"/>
        <v>C3</v>
      </c>
      <c r="B13" t="str">
        <f t="shared" ca="1" si="1"/>
        <v>84 PC Sokol PP Hr. Králové - Melgr Pavel</v>
      </c>
      <c r="C13" t="str">
        <f>Sk.C!$C$16</f>
        <v>C3</v>
      </c>
      <c r="D13" t="str">
        <f ca="1">Sk.C!$B$16</f>
        <v>84 PC Sokol PP Hr. Králové - Melgr Pavel</v>
      </c>
    </row>
    <row r="14" spans="1:4">
      <c r="A14" t="str">
        <f t="shared" ca="1" si="0"/>
        <v/>
      </c>
      <c r="B14" t="str">
        <f t="shared" ca="1" si="1"/>
        <v/>
      </c>
      <c r="C14" t="str">
        <f>Sk.C!$C$17</f>
        <v>C4</v>
      </c>
      <c r="D14" t="str">
        <f ca="1">Sk.C!$B$17</f>
        <v xml:space="preserve"> - </v>
      </c>
    </row>
    <row r="15" spans="1:4">
      <c r="A15" t="str">
        <f t="shared" ca="1" si="0"/>
        <v>D1</v>
      </c>
      <c r="B15" t="str">
        <f t="shared" ca="1" si="1"/>
        <v>4 PC Kolová - Kauca Jindřich</v>
      </c>
      <c r="C15" t="str">
        <f>Sk.D!$C$14</f>
        <v>D1</v>
      </c>
      <c r="D15" t="str">
        <f ca="1">Sk.D!$B$14</f>
        <v>4 PC Kolová - Kauca Jindřich</v>
      </c>
    </row>
    <row r="16" spans="1:4">
      <c r="A16" t="str">
        <f t="shared" ca="1" si="0"/>
        <v>D2</v>
      </c>
      <c r="B16" t="str">
        <f t="shared" ca="1" si="1"/>
        <v>83 PKT Velký Šanc - Horálek Jiří</v>
      </c>
      <c r="C16" t="str">
        <f>Sk.D!$C$15</f>
        <v>D2</v>
      </c>
      <c r="D16" t="str">
        <f ca="1">Sk.D!$B$15</f>
        <v>83 PKT Velký Šanc - Horálek Jiří</v>
      </c>
    </row>
    <row r="17" spans="1:4">
      <c r="A17" t="str">
        <f t="shared" ca="1" si="0"/>
        <v>D3</v>
      </c>
      <c r="B17" t="str">
        <f t="shared" ca="1" si="1"/>
        <v>90 PK Osika Plzeň - Mráz Václav</v>
      </c>
      <c r="C17" t="str">
        <f>Sk.D!$C$16</f>
        <v>D3</v>
      </c>
      <c r="D17" t="str">
        <f ca="1">Sk.D!$B$16</f>
        <v>90 PK Osika Plzeň - Mráz Václav</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Carreau Brno - Slobodová Veronika</v>
      </c>
      <c r="C19" t="str">
        <f>Sk.E!$C$14</f>
        <v>E1</v>
      </c>
      <c r="D19" t="str">
        <f ca="1">Sk.E!$B$14</f>
        <v>5 Carreau Brno - Slobodová Veronika</v>
      </c>
    </row>
    <row r="20" spans="1:4">
      <c r="A20" t="str">
        <f t="shared" ca="1" si="0"/>
        <v>E2</v>
      </c>
      <c r="B20" t="str">
        <f t="shared" ref="B20:B87" ca="1" si="2">IF(TYPE(D20)&gt;4," - ",IF(OR(TRIM(D20)="",TRIM(D20)="-"),"",D20))</f>
        <v>82 Petank Club Praha - Kašparová Barbora</v>
      </c>
      <c r="C20" t="str">
        <f>Sk.E!$C$15</f>
        <v>E2</v>
      </c>
      <c r="D20" t="str">
        <f ca="1">Sk.E!$B$15</f>
        <v>82 Petank Club Praha - Kašparová Barbora</v>
      </c>
    </row>
    <row r="21" spans="1:4">
      <c r="A21" t="str">
        <f t="shared" ca="1" si="0"/>
        <v>E3</v>
      </c>
      <c r="B21" t="str">
        <f t="shared" ca="1" si="2"/>
        <v>91 Carreau Brno - Bytešník Roman</v>
      </c>
      <c r="C21" t="str">
        <f>Sk.E!$C$16</f>
        <v>E3</v>
      </c>
      <c r="D21" t="str">
        <f ca="1">Sk.E!$B$16</f>
        <v>91 Carreau Brno - Bytešník Roman</v>
      </c>
    </row>
    <row r="22" spans="1:4">
      <c r="A22" t="str">
        <f t="shared" ca="1" si="0"/>
        <v/>
      </c>
      <c r="B22" t="str">
        <f t="shared" ca="1" si="2"/>
        <v/>
      </c>
      <c r="C22" t="str">
        <f>Sk.E!$C$17</f>
        <v>E4</v>
      </c>
      <c r="D22" t="str">
        <f ca="1">Sk.E!$B$17</f>
        <v xml:space="preserve"> - </v>
      </c>
    </row>
    <row r="23" spans="1:4">
      <c r="A23" t="str">
        <f t="shared" ca="1" si="0"/>
        <v>F1</v>
      </c>
      <c r="B23" t="str">
        <f t="shared" ca="1" si="2"/>
        <v>6 PC Sokol Lipník - Froňková Kateřina</v>
      </c>
      <c r="C23" t="str">
        <f>Sk.F!$C$14</f>
        <v>F1</v>
      </c>
      <c r="D23" t="str">
        <f ca="1">Sk.F!$B$14</f>
        <v>6 PC Sokol Lipník - Froňková Kateřina</v>
      </c>
    </row>
    <row r="24" spans="1:4">
      <c r="A24" t="str">
        <f t="shared" ca="1" si="0"/>
        <v>F2</v>
      </c>
      <c r="B24" t="str">
        <f t="shared" ca="1" si="2"/>
        <v>92 PAK Albrechtice - Žiak Radomír</v>
      </c>
      <c r="C24" t="str">
        <f>Sk.F!$C$15</f>
        <v>F2</v>
      </c>
      <c r="D24" t="str">
        <f ca="1">Sk.F!$B$15</f>
        <v>92 PAK Albrechtice - Žiak Radomír</v>
      </c>
    </row>
    <row r="25" spans="1:4">
      <c r="A25" t="str">
        <f t="shared" ca="1" si="0"/>
        <v>F3</v>
      </c>
      <c r="B25" t="str">
        <f t="shared" ca="1" si="2"/>
        <v>81 PKT Velký Šanc - Semrád Oldřich</v>
      </c>
      <c r="C25" t="str">
        <f>Sk.F!$C$16</f>
        <v>F3</v>
      </c>
      <c r="D25" t="str">
        <f ca="1">Sk.F!$B$16</f>
        <v>81 PKT Velký Šanc - Semrád Oldřich</v>
      </c>
    </row>
    <row r="26" spans="1:4">
      <c r="A26" t="str">
        <f t="shared" ca="1" si="0"/>
        <v/>
      </c>
      <c r="B26" t="str">
        <f t="shared" ca="1" si="2"/>
        <v/>
      </c>
      <c r="C26" t="str">
        <f>Sk.F!$C$17</f>
        <v>F4</v>
      </c>
      <c r="D26" t="str">
        <f ca="1">Sk.F!$B$17</f>
        <v xml:space="preserve"> - </v>
      </c>
    </row>
    <row r="27" spans="1:4">
      <c r="A27" t="str">
        <f t="shared" ca="1" si="0"/>
        <v>G1</v>
      </c>
      <c r="B27" t="str">
        <f t="shared" ca="1" si="2"/>
        <v>7 PLUK Jablonec - Lukáš Vojtěch</v>
      </c>
      <c r="C27" t="str">
        <f>Sk.G!$C$14</f>
        <v>G1</v>
      </c>
      <c r="D27" t="str">
        <f ca="1">Sk.G!$B$14</f>
        <v>7 PLUK Jablonec - Lukáš Vojtěch</v>
      </c>
    </row>
    <row r="28" spans="1:4">
      <c r="A28" t="str">
        <f t="shared" ca="1" si="0"/>
        <v>G2</v>
      </c>
      <c r="B28" t="str">
        <f t="shared" ca="1" si="2"/>
        <v>93 1. KPK Vrchlabí - Bucek Zdeněk</v>
      </c>
      <c r="C28" t="str">
        <f>Sk.G!$C$15</f>
        <v>G2</v>
      </c>
      <c r="D28" t="str">
        <f ca="1">Sk.G!$B$15</f>
        <v>93 1. KPK Vrchlabí - Bucek Zdeněk</v>
      </c>
    </row>
    <row r="29" spans="1:4">
      <c r="A29" t="str">
        <f t="shared" ca="1" si="0"/>
        <v>G3</v>
      </c>
      <c r="B29" t="str">
        <f t="shared" ca="1" si="2"/>
        <v>80 PKT Velký Šanc - Sedláčková Marie</v>
      </c>
      <c r="C29" t="str">
        <f>Sk.G!$C$16</f>
        <v>G3</v>
      </c>
      <c r="D29" t="str">
        <f ca="1">Sk.G!$B$16</f>
        <v>80 PKT Velký Šanc - Sedláčková Marie</v>
      </c>
    </row>
    <row r="30" spans="1:4">
      <c r="A30" t="str">
        <f t="shared" ca="1" si="0"/>
        <v/>
      </c>
      <c r="B30" t="str">
        <f t="shared" ca="1" si="2"/>
        <v/>
      </c>
      <c r="C30" t="str">
        <f>Sk.G!$C$17</f>
        <v>G4</v>
      </c>
      <c r="D30" t="str">
        <f ca="1">Sk.G!$B$17</f>
        <v xml:space="preserve"> - </v>
      </c>
    </row>
    <row r="31" spans="1:4">
      <c r="A31" t="str">
        <f t="shared" ca="1" si="0"/>
        <v>H1</v>
      </c>
      <c r="B31" t="str">
        <f t="shared" ca="1" si="2"/>
        <v>8 1. KPK Vrchlabí - Bílek Vojtěch</v>
      </c>
      <c r="C31" t="str">
        <f>Sk.H!$C$14</f>
        <v>H1</v>
      </c>
      <c r="D31" t="str">
        <f ca="1">Sk.H!$B$14</f>
        <v>8 1. KPK Vrchlabí - Bílek Vojtěch</v>
      </c>
    </row>
    <row r="32" spans="1:4">
      <c r="A32" t="str">
        <f t="shared" ca="1" si="0"/>
        <v>H2</v>
      </c>
      <c r="B32" t="str">
        <f t="shared" ca="1" si="2"/>
        <v>79 PO Chotěboř - Pachla Pavel</v>
      </c>
      <c r="C32" t="str">
        <f>Sk.H!$C$15</f>
        <v>H2</v>
      </c>
      <c r="D32" t="str">
        <f ca="1">Sk.H!$B$15</f>
        <v>79 PO Chotěboř - Pachla Pavel</v>
      </c>
    </row>
    <row r="33" spans="1:4">
      <c r="A33" t="str">
        <f t="shared" ca="1" si="0"/>
        <v>H3</v>
      </c>
      <c r="B33" t="str">
        <f t="shared" ca="1" si="2"/>
        <v>94 HRODE KRUMSÍN - Drmola Michal</v>
      </c>
      <c r="C33" t="str">
        <f>Sk.H!$C$16</f>
        <v>H3</v>
      </c>
      <c r="D33" t="str">
        <f ca="1">Sk.H!$B$16</f>
        <v>94 HRODE KRUMSÍN - Drmola Michal</v>
      </c>
    </row>
    <row r="34" spans="1:4">
      <c r="A34" t="str">
        <f t="shared" ca="1" si="0"/>
        <v/>
      </c>
      <c r="B34" t="str">
        <f t="shared" ca="1" si="2"/>
        <v/>
      </c>
      <c r="C34" t="str">
        <f>Sk.H!$C$17</f>
        <v>H4</v>
      </c>
      <c r="D34" t="str">
        <f ca="1">Sk.H!$B$17</f>
        <v xml:space="preserve"> - </v>
      </c>
    </row>
    <row r="35" spans="1:4">
      <c r="A35" t="str">
        <f t="shared" ca="1" si="0"/>
        <v>I1</v>
      </c>
      <c r="B35" t="str">
        <f t="shared" ca="1" si="2"/>
        <v>9 VARAN - Valenz Lukáš</v>
      </c>
      <c r="C35" t="str">
        <f>Sk.I!$C$14</f>
        <v>I1</v>
      </c>
      <c r="D35" t="str">
        <f ca="1">Sk.I!$B$14</f>
        <v>9 VARAN - Valenz Lukáš</v>
      </c>
    </row>
    <row r="36" spans="1:4">
      <c r="A36" t="str">
        <f t="shared" ca="1" si="0"/>
        <v>I2</v>
      </c>
      <c r="B36" t="str">
        <f t="shared" ca="1" si="2"/>
        <v>95 PPA POZORKA - Michovský Jiří</v>
      </c>
      <c r="C36" t="str">
        <f>Sk.I!$C$15</f>
        <v>I2</v>
      </c>
      <c r="D36" t="str">
        <f ca="1">Sk.I!$B$15</f>
        <v>95 PPA POZORKA - Michovský Jiří</v>
      </c>
    </row>
    <row r="37" spans="1:4">
      <c r="A37" t="str">
        <f t="shared" ca="1" si="0"/>
        <v>I3</v>
      </c>
      <c r="B37" t="str">
        <f t="shared" ca="1" si="2"/>
        <v>78 HRODE KRUMSÍN - Karásková Františka</v>
      </c>
      <c r="C37" t="str">
        <f>Sk.I!$C$16</f>
        <v>I3</v>
      </c>
      <c r="D37" t="str">
        <f ca="1">Sk.I!$B$16</f>
        <v>78 HRODE KRUMSÍN - Karásková Františka</v>
      </c>
    </row>
    <row r="38" spans="1:4">
      <c r="A38" t="str">
        <f t="shared" ca="1" si="0"/>
        <v/>
      </c>
      <c r="B38" t="str">
        <f t="shared" ca="1" si="2"/>
        <v/>
      </c>
      <c r="C38" t="str">
        <f>Sk.I!$C$17</f>
        <v>I4</v>
      </c>
      <c r="D38" t="str">
        <f ca="1">Sk.I!$B$17</f>
        <v xml:space="preserve"> - </v>
      </c>
    </row>
    <row r="39" spans="1:4">
      <c r="A39" t="str">
        <f t="shared" ca="1" si="0"/>
        <v>J1</v>
      </c>
      <c r="B39" t="str">
        <f t="shared" ca="1" si="2"/>
        <v>10 TOP - ORLOVÁ - Bačo David</v>
      </c>
      <c r="C39" t="str">
        <f>Sk.J!$C$14</f>
        <v>J1</v>
      </c>
      <c r="D39" t="str">
        <f ca="1">Sk.J!$B$14</f>
        <v>10 TOP - ORLOVÁ - Bačo David</v>
      </c>
    </row>
    <row r="40" spans="1:4">
      <c r="A40" t="str">
        <f t="shared" ca="1" si="0"/>
        <v>J2</v>
      </c>
      <c r="B40" t="str">
        <f t="shared" ca="1" si="2"/>
        <v>96 1. KPK Vrchlabí - Kadavá Petra</v>
      </c>
      <c r="C40" t="str">
        <f>Sk.J!$C$15</f>
        <v>J2</v>
      </c>
      <c r="D40" t="str">
        <f ca="1">Sk.J!$B$15</f>
        <v>96 1. KPK Vrchlabí - Kadavá Petra</v>
      </c>
    </row>
    <row r="41" spans="1:4">
      <c r="A41" t="str">
        <f t="shared" ca="1" si="0"/>
        <v>J3</v>
      </c>
      <c r="B41" t="str">
        <f t="shared" ca="1" si="2"/>
        <v>77 CdP Loděnice - Gorroňo López Rubi</v>
      </c>
      <c r="C41" t="str">
        <f>Sk.J!$C$16</f>
        <v>J3</v>
      </c>
      <c r="D41" t="str">
        <f ca="1">Sk.J!$B$16</f>
        <v>77 CdP Loděnice - Gorroňo López Rubi</v>
      </c>
    </row>
    <row r="42" spans="1:4">
      <c r="A42" t="str">
        <f t="shared" ca="1" si="0"/>
        <v/>
      </c>
      <c r="B42" t="str">
        <f t="shared" ca="1" si="2"/>
        <v/>
      </c>
      <c r="C42" t="str">
        <f>Sk.J!$C$17</f>
        <v>J4</v>
      </c>
      <c r="D42" t="str">
        <f ca="1">Sk.J!$B$17</f>
        <v xml:space="preserve"> - </v>
      </c>
    </row>
    <row r="43" spans="1:4">
      <c r="A43" t="str">
        <f t="shared" ca="1" si="0"/>
        <v>K1</v>
      </c>
      <c r="B43" t="str">
        <f t="shared" ca="1" si="2"/>
        <v>76 PC Kolová - Horáček Jindřich</v>
      </c>
      <c r="C43" t="str">
        <f>Sk.K!$C$14</f>
        <v>K1</v>
      </c>
      <c r="D43" t="str">
        <f ca="1">Sk.K!$B$14</f>
        <v>76 PC Kolová - Horáček Jindřich</v>
      </c>
    </row>
    <row r="44" spans="1:4">
      <c r="A44" t="str">
        <f t="shared" ca="1" si="0"/>
        <v>K2</v>
      </c>
      <c r="B44" t="str">
        <f t="shared" ca="1" si="2"/>
        <v>97 PK Osika Plzeň - Špitálský Milan</v>
      </c>
      <c r="C44" t="str">
        <f>Sk.K!$C$15</f>
        <v>K2</v>
      </c>
      <c r="D44" t="str">
        <f ca="1">Sk.K!$B$15</f>
        <v>97 PK Osika Plzeň - Špitálský Milan</v>
      </c>
    </row>
    <row r="45" spans="1:4">
      <c r="A45" t="str">
        <f t="shared" ca="1" si="0"/>
        <v>K3</v>
      </c>
      <c r="B45" t="str">
        <f t="shared" ca="1" si="2"/>
        <v>11 PC Sokol Lipník - Morávek Petr</v>
      </c>
      <c r="C45" t="str">
        <f>Sk.K!$C$16</f>
        <v>K3</v>
      </c>
      <c r="D45" t="str">
        <f ca="1">Sk.K!$B$16</f>
        <v>11 PC Sokol Lipník - Morávek Petr</v>
      </c>
    </row>
    <row r="46" spans="1:4">
      <c r="A46" t="str">
        <f t="shared" ca="1" si="0"/>
        <v/>
      </c>
      <c r="B46" t="str">
        <f t="shared" ca="1" si="2"/>
        <v/>
      </c>
      <c r="C46" t="str">
        <f>Sk.K!$C$17</f>
        <v>K4</v>
      </c>
      <c r="D46" t="str">
        <f ca="1">Sk.K!$B$17</f>
        <v xml:space="preserve"> - </v>
      </c>
    </row>
    <row r="47" spans="1:4">
      <c r="A47" t="str">
        <f t="shared" ca="1" si="0"/>
        <v>L1</v>
      </c>
      <c r="B47" t="str">
        <f t="shared" ca="1" si="2"/>
        <v>12 FRAPECO - Řehoř Miroslav</v>
      </c>
      <c r="C47" t="str">
        <f>Sk.L!$C$14</f>
        <v>L1</v>
      </c>
      <c r="D47" t="str">
        <f ca="1">Sk.L!$B$14</f>
        <v>12 FRAPECO - Řehoř Miroslav</v>
      </c>
    </row>
    <row r="48" spans="1:4">
      <c r="A48" t="str">
        <f t="shared" ca="1" si="0"/>
        <v>L2</v>
      </c>
      <c r="B48" t="str">
        <f t="shared" ca="1" si="2"/>
        <v>98 C.T.P. Club Ořech - Glaserová Dana</v>
      </c>
      <c r="C48" t="str">
        <f>Sk.L!$C$15</f>
        <v>L2</v>
      </c>
      <c r="D48" t="str">
        <f ca="1">Sk.L!$B$15</f>
        <v>98 C.T.P. Club Ořech - Glaserová Dana</v>
      </c>
    </row>
    <row r="49" spans="1:4">
      <c r="A49" t="str">
        <f t="shared" ca="1" si="0"/>
        <v>L3</v>
      </c>
      <c r="B49" t="str">
        <f t="shared" ca="1" si="2"/>
        <v>75 Petank Club Praha - Maňák Jan</v>
      </c>
      <c r="C49" t="str">
        <f>Sk.L!$C$16</f>
        <v>L3</v>
      </c>
      <c r="D49" t="str">
        <f ca="1">Sk.L!$B$16</f>
        <v>75 Petank Club Praha - Maňák Jan</v>
      </c>
    </row>
    <row r="50" spans="1:4">
      <c r="A50" t="str">
        <f t="shared" ca="1" si="0"/>
        <v/>
      </c>
      <c r="B50" t="str">
        <f t="shared" ca="1" si="2"/>
        <v/>
      </c>
      <c r="C50" t="str">
        <f>Sk.L!$C$17</f>
        <v>L4</v>
      </c>
      <c r="D50" t="str">
        <f ca="1">Sk.L!$B$17</f>
        <v xml:space="preserve"> - </v>
      </c>
    </row>
    <row r="51" spans="1:4">
      <c r="A51" t="str">
        <f t="shared" ca="1" si="0"/>
        <v>M1</v>
      </c>
      <c r="B51" t="str">
        <f t="shared" ca="1" si="2"/>
        <v>99 SK Sahara Vědomice - Kocourek Pavel</v>
      </c>
      <c r="C51" t="str">
        <f>Sk.M!$C$14</f>
        <v>M1</v>
      </c>
      <c r="D51" t="str">
        <f ca="1">Sk.M!$B$14</f>
        <v>99 SK Sahara Vědomice - Kocourek Pavel</v>
      </c>
    </row>
    <row r="52" spans="1:4">
      <c r="A52" t="str">
        <f t="shared" ca="1" si="0"/>
        <v>M2</v>
      </c>
      <c r="B52" t="str">
        <f t="shared" ca="1" si="2"/>
        <v>13 PC Sokol Lipník - Zdobinský Michal ml.</v>
      </c>
      <c r="C52" t="str">
        <f>Sk.M!$C$15</f>
        <v>M2</v>
      </c>
      <c r="D52" t="str">
        <f ca="1">Sk.M!$B$15</f>
        <v>13 PC Sokol Lipník - Zdobinský Michal ml.</v>
      </c>
    </row>
    <row r="53" spans="1:4">
      <c r="A53" t="str">
        <f t="shared" ca="1" si="0"/>
        <v>M3</v>
      </c>
      <c r="B53" t="str">
        <f t="shared" ca="1" si="2"/>
        <v>74 PK Osika Plzeň - Jirkovský Tomáš</v>
      </c>
      <c r="C53" t="str">
        <f>Sk.M!$C$16</f>
        <v>M3</v>
      </c>
      <c r="D53" t="str">
        <f ca="1">Sk.M!$B$16</f>
        <v>74 PK Osika Plzeň - Jirkovský Tomáš</v>
      </c>
    </row>
    <row r="54" spans="1:4">
      <c r="A54" t="str">
        <f t="shared" ca="1" si="0"/>
        <v/>
      </c>
      <c r="B54" t="str">
        <f t="shared" ca="1" si="2"/>
        <v/>
      </c>
      <c r="C54" t="str">
        <f>Sk.M!$C$17</f>
        <v>M4</v>
      </c>
      <c r="D54" t="str">
        <f ca="1">Sk.M!$B$17</f>
        <v xml:space="preserve"> - </v>
      </c>
    </row>
    <row r="55" spans="1:4">
      <c r="A55" t="str">
        <f t="shared" ca="1" si="0"/>
        <v>N1</v>
      </c>
      <c r="B55" t="str">
        <f t="shared" ca="1" si="2"/>
        <v>14 FRAPECO - Ondryáš Jiří</v>
      </c>
      <c r="C55" t="str">
        <f>Sk.N!$C$14</f>
        <v>N1</v>
      </c>
      <c r="D55" t="str">
        <f ca="1">Sk.N!$B$14</f>
        <v>14 FRAPECO - Ondryáš Jiří</v>
      </c>
    </row>
    <row r="56" spans="1:4">
      <c r="A56" t="str">
        <f t="shared" ca="1" si="0"/>
        <v>N2</v>
      </c>
      <c r="B56" t="str">
        <f t="shared" ca="1" si="2"/>
        <v>100 1. Starobrněnský PK - Blažejová Eva</v>
      </c>
      <c r="C56" t="str">
        <f>Sk.N!$C$15</f>
        <v>N2</v>
      </c>
      <c r="D56" t="str">
        <f ca="1">Sk.N!$B$15</f>
        <v>100 1. Starobrněnský PK - Blažejová Eva</v>
      </c>
    </row>
    <row r="57" spans="1:4">
      <c r="A57" t="str">
        <f t="shared" ca="1" si="0"/>
        <v>N3</v>
      </c>
      <c r="B57" t="str">
        <f t="shared" ca="1" si="2"/>
        <v>73 SKP Kulová osma - Sjögren Magda</v>
      </c>
      <c r="C57" t="str">
        <f>Sk.N!$C$16</f>
        <v>N3</v>
      </c>
      <c r="D57" t="str">
        <f ca="1">Sk.N!$B$16</f>
        <v>73 SKP Kulová osma - Sjögren Magda</v>
      </c>
    </row>
    <row r="58" spans="1:4">
      <c r="A58" t="str">
        <f t="shared" ca="1" si="0"/>
        <v/>
      </c>
      <c r="B58" t="str">
        <f t="shared" ca="1" si="2"/>
        <v/>
      </c>
      <c r="C58" t="str">
        <f>Sk.N!$C$17</f>
        <v>N4</v>
      </c>
      <c r="D58" t="str">
        <f ca="1">Sk.N!$B$17</f>
        <v xml:space="preserve"> - </v>
      </c>
    </row>
    <row r="59" spans="1:4">
      <c r="A59" t="str">
        <f t="shared" ca="1" si="0"/>
        <v>O1</v>
      </c>
      <c r="B59" t="str">
        <f t="shared" ca="1" si="2"/>
        <v>15 PLUK Jablonec - Palicová Markéta</v>
      </c>
      <c r="C59" t="str">
        <f>Sk.O!$C$14</f>
        <v>O1</v>
      </c>
      <c r="D59" t="str">
        <f ca="1">Sk.O!$B$14</f>
        <v>15 PLUK Jablonec - Palicová Markéta</v>
      </c>
    </row>
    <row r="60" spans="1:4">
      <c r="A60" t="str">
        <f t="shared" ca="1" si="0"/>
        <v>O2</v>
      </c>
      <c r="B60" t="str">
        <f t="shared" ca="1" si="2"/>
        <v>72 PAK Albrechtice - Valík Václav</v>
      </c>
      <c r="C60" t="str">
        <f>Sk.O!$C$15</f>
        <v>O2</v>
      </c>
      <c r="D60" t="str">
        <f ca="1">Sk.O!$B$15</f>
        <v>72 PAK Albrechtice - Valík Václav</v>
      </c>
    </row>
    <row r="61" spans="1:4">
      <c r="A61" t="str">
        <f t="shared" ca="1" si="0"/>
        <v>O3</v>
      </c>
      <c r="B61" t="str">
        <f t="shared" ca="1" si="2"/>
        <v>101 PK Polouvsí - Valošek Radim</v>
      </c>
      <c r="C61" t="str">
        <f>Sk.O!$C$16</f>
        <v>O3</v>
      </c>
      <c r="D61" t="str">
        <f ca="1">Sk.O!$B$16</f>
        <v>101 PK Polouvsí - Valošek Radim</v>
      </c>
    </row>
    <row r="62" spans="1:4">
      <c r="A62" t="str">
        <f t="shared" ca="1" si="0"/>
        <v/>
      </c>
      <c r="B62" t="str">
        <f t="shared" ca="1" si="2"/>
        <v/>
      </c>
      <c r="C62" t="str">
        <f>Sk.O!$C$17</f>
        <v>O4</v>
      </c>
      <c r="D62" t="str">
        <f ca="1">Sk.O!$B$17</f>
        <v xml:space="preserve"> - </v>
      </c>
    </row>
    <row r="63" spans="1:4">
      <c r="A63" t="str">
        <f t="shared" ca="1" si="0"/>
        <v>P1</v>
      </c>
      <c r="B63" t="str">
        <f t="shared" ca="1" si="2"/>
        <v>71 Bowle 09 Klatovy - Hulec Zdeněk</v>
      </c>
      <c r="C63" t="str">
        <f>Sk.P!$C$14</f>
        <v>P1</v>
      </c>
      <c r="D63" t="str">
        <f ca="1">Sk.P!$B$14</f>
        <v>71 Bowle 09 Klatovy - Hulec Zdeněk</v>
      </c>
    </row>
    <row r="64" spans="1:4">
      <c r="A64" t="str">
        <f t="shared" ca="1" si="0"/>
        <v>P2</v>
      </c>
      <c r="B64" t="str">
        <f t="shared" ca="1" si="2"/>
        <v>102 Sokol Kostomlaty - Vaníček Rudolf</v>
      </c>
      <c r="C64" t="str">
        <f>Sk.P!$C$15</f>
        <v>P2</v>
      </c>
      <c r="D64" t="str">
        <f ca="1">Sk.P!$B$15</f>
        <v>102 Sokol Kostomlaty - Vaníček Rudolf</v>
      </c>
    </row>
    <row r="65" spans="1:4">
      <c r="A65" t="str">
        <f t="shared" ca="1" si="0"/>
        <v>P3</v>
      </c>
      <c r="B65" t="str">
        <f t="shared" ca="1" si="2"/>
        <v>16 POP Praha - Konšel Jakub</v>
      </c>
      <c r="C65" t="str">
        <f>Sk.P!$C$16</f>
        <v>P3</v>
      </c>
      <c r="D65" t="str">
        <f ca="1">Sk.P!$B$16</f>
        <v>16 POP Praha - Konšel Jakub</v>
      </c>
    </row>
    <row r="66" spans="1:4">
      <c r="A66" t="str">
        <f t="shared" ca="1" si="0"/>
        <v/>
      </c>
      <c r="B66" t="str">
        <f t="shared" ca="1" si="2"/>
        <v/>
      </c>
      <c r="C66" t="str">
        <f>Sk.P!$C$17</f>
        <v>P4</v>
      </c>
      <c r="D66" t="str">
        <f ca="1">Sk.P!$B$17</f>
        <v xml:space="preserve"> - </v>
      </c>
    </row>
    <row r="67" spans="1:4">
      <c r="A67" t="str">
        <f t="shared" ref="A67:A77" ca="1" si="3">IF(TRIM(D67)="-","",C67)</f>
        <v>Q1</v>
      </c>
      <c r="B67" t="str">
        <f t="shared" ca="1" si="2"/>
        <v>70 Orel Řečkovice - Hanák Pavel</v>
      </c>
      <c r="C67" t="str">
        <f>Sk.Q!$C$14</f>
        <v>Q1</v>
      </c>
      <c r="D67" t="str">
        <f ca="1">Sk.Q!$B$14</f>
        <v>70 Orel Řečkovice - Hanák Pavel</v>
      </c>
    </row>
    <row r="68" spans="1:4">
      <c r="A68" t="str">
        <f t="shared" ca="1" si="3"/>
        <v>Q2</v>
      </c>
      <c r="B68" t="str">
        <f t="shared" ca="1" si="2"/>
        <v>17 SK Sahara Vědomice - Demčíková Jiřina</v>
      </c>
      <c r="C68" t="str">
        <f>Sk.Q!$C$15</f>
        <v>Q2</v>
      </c>
      <c r="D68" t="str">
        <f ca="1">Sk.Q!$B$15</f>
        <v>17 SK Sahara Vědomice - Demčíková Jiřina</v>
      </c>
    </row>
    <row r="69" spans="1:4">
      <c r="A69" t="str">
        <f t="shared" ca="1" si="3"/>
        <v>Q3</v>
      </c>
      <c r="B69" t="str">
        <f t="shared" ca="1" si="2"/>
        <v>103 PK Polouvsí - Rusek Luboš</v>
      </c>
      <c r="C69" t="str">
        <f>Sk.Q!$C$16</f>
        <v>Q3</v>
      </c>
      <c r="D69" t="str">
        <f ca="1">Sk.Q!$B$16</f>
        <v>103 PK Polouvsí - Rusek Luboš</v>
      </c>
    </row>
    <row r="70" spans="1:4">
      <c r="A70" t="str">
        <f t="shared" ca="1" si="3"/>
        <v/>
      </c>
      <c r="B70" t="str">
        <f t="shared" ca="1" si="2"/>
        <v/>
      </c>
      <c r="C70" t="str">
        <f>Sk.Q!$C$17</f>
        <v>Q4</v>
      </c>
      <c r="D70" t="str">
        <f ca="1">Sk.Q!$B$17</f>
        <v xml:space="preserve"> - </v>
      </c>
    </row>
    <row r="71" spans="1:4">
      <c r="A71" t="str">
        <f t="shared" ca="1" si="3"/>
        <v>R1</v>
      </c>
      <c r="B71" t="str">
        <f t="shared" ca="1" si="2"/>
        <v>104 PK Polouvsí - Ondryhal Josef</v>
      </c>
      <c r="C71" t="str">
        <f>Sk.R!$C$14</f>
        <v>R1</v>
      </c>
      <c r="D71" t="str">
        <f ca="1">Sk.R!$B$14</f>
        <v>104 PK Polouvsí - Ondryhal Josef</v>
      </c>
    </row>
    <row r="72" spans="1:4">
      <c r="A72" t="str">
        <f t="shared" ca="1" si="3"/>
        <v>R2</v>
      </c>
      <c r="B72" t="str">
        <f t="shared" ca="1" si="2"/>
        <v>18 1. KPK Vrchlabí - Michalička Lukáš</v>
      </c>
      <c r="C72" t="str">
        <f>Sk.R!$C$15</f>
        <v>R2</v>
      </c>
      <c r="D72" t="str">
        <f ca="1">Sk.R!$B$15</f>
        <v>18 1. KPK Vrchlabí - Michalička Lukáš</v>
      </c>
    </row>
    <row r="73" spans="1:4">
      <c r="A73" t="str">
        <f t="shared" ca="1" si="3"/>
        <v>R3</v>
      </c>
      <c r="B73" t="str">
        <f t="shared" ca="1" si="2"/>
        <v>69 PC Mimo Done - Radechovský Milan</v>
      </c>
      <c r="C73" t="str">
        <f>Sk.R!$C$16</f>
        <v>R3</v>
      </c>
      <c r="D73" t="str">
        <f ca="1">Sk.R!$B$16</f>
        <v>69 PC Mimo Done - Radechovský Milan</v>
      </c>
    </row>
    <row r="74" spans="1:4">
      <c r="A74" t="str">
        <f t="shared" ca="1" si="3"/>
        <v/>
      </c>
      <c r="B74" t="str">
        <f t="shared" ca="1" si="2"/>
        <v/>
      </c>
      <c r="C74" t="str">
        <f>Sk.R!$C$17</f>
        <v>R4</v>
      </c>
      <c r="D74" t="str">
        <f ca="1">Sk.R!$B$17</f>
        <v xml:space="preserve"> - </v>
      </c>
    </row>
    <row r="75" spans="1:4">
      <c r="A75" t="str">
        <f t="shared" ca="1" si="3"/>
        <v>S1</v>
      </c>
      <c r="B75" t="str">
        <f t="shared" ca="1" si="2"/>
        <v>19 1. KPK Vrchlabí - Srnský Lubomír</v>
      </c>
      <c r="C75" t="str">
        <f>Sk.S!$C$14</f>
        <v>S1</v>
      </c>
      <c r="D75" t="str">
        <f ca="1">Sk.S!$B$14</f>
        <v>19 1. KPK Vrchlabí - Srnský Lubomír</v>
      </c>
    </row>
    <row r="76" spans="1:4">
      <c r="A76" t="str">
        <f t="shared" ca="1" si="3"/>
        <v>S2</v>
      </c>
      <c r="B76" t="str">
        <f t="shared" ca="1" si="2"/>
        <v>105 PC Mimo Done - Zikmunda Matěj</v>
      </c>
      <c r="C76" t="str">
        <f>Sk.S!$C$15</f>
        <v>S2</v>
      </c>
      <c r="D76" t="str">
        <f ca="1">Sk.S!$B$15</f>
        <v>105 PC Mimo Done - Zikmunda Matěj</v>
      </c>
    </row>
    <row r="77" spans="1:4">
      <c r="A77" t="str">
        <f t="shared" ca="1" si="3"/>
        <v>S3</v>
      </c>
      <c r="B77" t="str">
        <f t="shared" ca="1" si="2"/>
        <v>68 HAPEK - Burešová Jana</v>
      </c>
      <c r="C77" t="str">
        <f>Sk.S!$C$16</f>
        <v>S3</v>
      </c>
      <c r="D77" t="str">
        <f ca="1">Sk.S!$B$16</f>
        <v>68 HAPEK - Burešová Jana</v>
      </c>
    </row>
    <row r="78" spans="1:4">
      <c r="A78" t="str">
        <f t="shared" ref="A78:A83" ca="1" si="4">IF(TRIM(D78)="-","",C78)</f>
        <v/>
      </c>
      <c r="B78" t="str">
        <f t="shared" ca="1" si="2"/>
        <v/>
      </c>
      <c r="C78" t="str">
        <f>Sk.S!$C$17</f>
        <v>S4</v>
      </c>
      <c r="D78" t="str">
        <f ca="1">Sk.S!$B$17</f>
        <v xml:space="preserve"> - </v>
      </c>
    </row>
    <row r="79" spans="1:4">
      <c r="A79" t="str">
        <f t="shared" ca="1" si="4"/>
        <v>T1</v>
      </c>
      <c r="B79" t="str">
        <f t="shared" ca="1" si="2"/>
        <v>20 SKP Hranice VI-Valšovice - Jakeš Zbyněk</v>
      </c>
      <c r="C79" t="str">
        <f>Sk.T!$C$14</f>
        <v>T1</v>
      </c>
      <c r="D79" t="str">
        <f ca="1">Sk.T!$B$14</f>
        <v>20 SKP Hranice VI-Valšovice - Jakeš Zbyněk</v>
      </c>
    </row>
    <row r="80" spans="1:4">
      <c r="A80" t="str">
        <f t="shared" ca="1" si="4"/>
        <v>T2</v>
      </c>
      <c r="B80" t="str">
        <f t="shared" ca="1" si="2"/>
        <v>67 POP Praha - Žárský Kamil</v>
      </c>
      <c r="C80" t="str">
        <f>Sk.T!$C$15</f>
        <v>T2</v>
      </c>
      <c r="D80" t="str">
        <f ca="1">Sk.T!$B$15</f>
        <v>67 POP Praha - Žárský Kamil</v>
      </c>
    </row>
    <row r="81" spans="1:4">
      <c r="A81" t="str">
        <f t="shared" ca="1" si="4"/>
        <v>T3</v>
      </c>
      <c r="B81" t="str">
        <f t="shared" ca="1" si="2"/>
        <v>106 SENIOR TÝM Praha 1 - Blieková Alena</v>
      </c>
      <c r="C81" t="str">
        <f>Sk.T!$C$16</f>
        <v>T3</v>
      </c>
      <c r="D81" t="str">
        <f ca="1">Sk.T!$B$16</f>
        <v>106 SENIOR TÝM Praha 1 - Blieková Alena</v>
      </c>
    </row>
    <row r="82" spans="1:4">
      <c r="A82" t="str">
        <f t="shared" ca="1" si="4"/>
        <v/>
      </c>
      <c r="B82" t="str">
        <f t="shared" ca="1" si="2"/>
        <v/>
      </c>
      <c r="C82" t="str">
        <f>Sk.T!$C$17</f>
        <v>T4</v>
      </c>
      <c r="D82" t="str">
        <f ca="1">Sk.T!$B$17</f>
        <v xml:space="preserve"> - </v>
      </c>
    </row>
    <row r="83" spans="1:4">
      <c r="A83" t="str">
        <f t="shared" ca="1" si="4"/>
        <v>U1</v>
      </c>
      <c r="B83" t="str">
        <f t="shared" ca="1" si="2"/>
        <v>66 PK 1293 Vojnův Městec - Fereš Pavel</v>
      </c>
      <c r="C83" t="str">
        <f>Sk.U!$C$14</f>
        <v>U1</v>
      </c>
      <c r="D83" t="str">
        <f ca="1">Sk.U!$B$14</f>
        <v>66 PK 1293 Vojnův Městec - Fereš Pavel</v>
      </c>
    </row>
    <row r="84" spans="1:4">
      <c r="A84" t="str">
        <f t="shared" ref="A84:A147" ca="1" si="5">IF(TRIM(D84)="-","",C84)</f>
        <v>U2</v>
      </c>
      <c r="B84" t="str">
        <f t="shared" ca="1" si="2"/>
        <v>21 PLUK Jablonec - Lukášová Jana</v>
      </c>
      <c r="C84" t="str">
        <f>Sk.U!$C$15</f>
        <v>U2</v>
      </c>
      <c r="D84" t="str">
        <f ca="1">Sk.U!$B$15</f>
        <v>21 PLUK Jablonec - Lukášová Jana</v>
      </c>
    </row>
    <row r="85" spans="1:4">
      <c r="A85" t="str">
        <f t="shared" ca="1" si="5"/>
        <v>U3</v>
      </c>
      <c r="B85" t="str">
        <f t="shared" ca="1" si="2"/>
        <v>107 1. KPK Vrchlabí - Srnský Jakub</v>
      </c>
      <c r="C85" t="str">
        <f>Sk.U!$C$16</f>
        <v>U3</v>
      </c>
      <c r="D85" t="str">
        <f ca="1">Sk.U!$B$16</f>
        <v>107 1. KPK Vrchlabí - Srnský Jakub</v>
      </c>
    </row>
    <row r="86" spans="1:4">
      <c r="A86" t="str">
        <f t="shared" ca="1" si="5"/>
        <v/>
      </c>
      <c r="B86" t="str">
        <f t="shared" ca="1" si="2"/>
        <v/>
      </c>
      <c r="C86" t="str">
        <f>Sk.U!$C$17</f>
        <v>U4</v>
      </c>
      <c r="D86" t="str">
        <f ca="1">Sk.U!$B$17</f>
        <v xml:space="preserve"> - </v>
      </c>
    </row>
    <row r="87" spans="1:4">
      <c r="A87" t="str">
        <f t="shared" ca="1" si="5"/>
        <v>V1</v>
      </c>
      <c r="B87" t="str">
        <f t="shared" ca="1" si="2"/>
        <v>65 Sokol Kostomlaty - Vaníčková Alena</v>
      </c>
      <c r="C87" t="str">
        <f>Sk.V!$C$14</f>
        <v>V1</v>
      </c>
      <c r="D87" t="str">
        <f ca="1">Sk.V!$B$14</f>
        <v>65 Sokol Kostomlaty - Vaníčková Alena</v>
      </c>
    </row>
    <row r="88" spans="1:4">
      <c r="A88" t="str">
        <f t="shared" ca="1" si="5"/>
        <v>V2</v>
      </c>
      <c r="B88" t="str">
        <f t="shared" ref="B88:B130" ca="1" si="6">IF(TYPE(D88)&gt;4," - ",IF(OR(TRIM(D88)="",TRIM(D88)="-"),"",D88))</f>
        <v>22 UBU Únětice - Fuksa Petr</v>
      </c>
      <c r="C88" t="str">
        <f>Sk.V!$C$15</f>
        <v>V2</v>
      </c>
      <c r="D88" t="str">
        <f ca="1">Sk.V!$B$15</f>
        <v>22 UBU Únětice - Fuksa Petr</v>
      </c>
    </row>
    <row r="89" spans="1:4">
      <c r="A89" t="str">
        <f t="shared" ca="1" si="5"/>
        <v>V3</v>
      </c>
      <c r="B89" t="str">
        <f t="shared" ca="1" si="6"/>
        <v>108 Bowle 09 Klatovy - Hůrka Jindřich</v>
      </c>
      <c r="C89" t="str">
        <f>Sk.V!$C$16</f>
        <v>V3</v>
      </c>
      <c r="D89" t="str">
        <f ca="1">Sk.V!$B$16</f>
        <v>108 Bowle 09 Klatovy - Hůrka Jindřich</v>
      </c>
    </row>
    <row r="90" spans="1:4">
      <c r="A90" t="str">
        <f t="shared" ca="1" si="5"/>
        <v/>
      </c>
      <c r="B90" t="str">
        <f t="shared" ca="1" si="6"/>
        <v/>
      </c>
      <c r="C90" t="str">
        <f>Sk.V!$C$17</f>
        <v>V4</v>
      </c>
      <c r="D90" t="str">
        <f ca="1">Sk.V!$B$17</f>
        <v xml:space="preserve"> - </v>
      </c>
    </row>
    <row r="91" spans="1:4">
      <c r="A91" t="str">
        <f t="shared" ca="1" si="5"/>
        <v>W1</v>
      </c>
      <c r="B91" t="str">
        <f t="shared" ca="1" si="6"/>
        <v>23 Kulový blesk Olomouc - Konečná Jana</v>
      </c>
      <c r="C91" t="str">
        <f>Sk.W!$C$14</f>
        <v>W1</v>
      </c>
      <c r="D91" t="str">
        <f ca="1">Sk.W!$B$14</f>
        <v>23 Kulový blesk Olomouc - Konečná Jana</v>
      </c>
    </row>
    <row r="92" spans="1:4">
      <c r="A92" t="str">
        <f t="shared" ca="1" si="5"/>
        <v>W2</v>
      </c>
      <c r="B92" t="str">
        <f t="shared" ca="1" si="6"/>
        <v>109 JAPKO - Stejskal Petr</v>
      </c>
      <c r="C92" t="str">
        <f>Sk.W!$C$15</f>
        <v>W2</v>
      </c>
      <c r="D92" t="str">
        <f ca="1">Sk.W!$B$15</f>
        <v>109 JAPKO - Stejskal Petr</v>
      </c>
    </row>
    <row r="93" spans="1:4">
      <c r="A93" t="str">
        <f t="shared" ca="1" si="5"/>
        <v>W3</v>
      </c>
      <c r="B93" t="str">
        <f t="shared" ca="1" si="6"/>
        <v>64 SK Pétanque Řepy - Ptáček Miroslav</v>
      </c>
      <c r="C93" t="str">
        <f>Sk.W!$C$16</f>
        <v>W3</v>
      </c>
      <c r="D93" t="str">
        <f ca="1">Sk.W!$B$16</f>
        <v>64 SK Pétanque Řepy - Ptáček Miroslav</v>
      </c>
    </row>
    <row r="94" spans="1:4">
      <c r="A94" t="str">
        <f t="shared" ca="1" si="5"/>
        <v/>
      </c>
      <c r="B94" t="str">
        <f t="shared" ca="1" si="6"/>
        <v/>
      </c>
      <c r="C94" t="str">
        <f>Sk.W!$C$17</f>
        <v>W4</v>
      </c>
      <c r="D94" t="str">
        <f ca="1">Sk.W!$B$17</f>
        <v xml:space="preserve"> - </v>
      </c>
    </row>
    <row r="95" spans="1:4">
      <c r="A95" t="str">
        <f t="shared" ca="1" si="5"/>
        <v>X1</v>
      </c>
      <c r="B95" t="str">
        <f t="shared" ca="1" si="6"/>
        <v>110 PK Polouvsí - Valošková Sára</v>
      </c>
      <c r="C95" t="str">
        <f>Sk.X!$C$14</f>
        <v>X1</v>
      </c>
      <c r="D95" t="str">
        <f ca="1">Sk.X!$B$14</f>
        <v>110 PK Polouvsí - Valošková Sára</v>
      </c>
    </row>
    <row r="96" spans="1:4">
      <c r="A96" t="str">
        <f t="shared" ca="1" si="5"/>
        <v>X2</v>
      </c>
      <c r="B96" t="str">
        <f t="shared" ca="1" si="6"/>
        <v>24 TOP - ORLOVÁ - Ulmann Jiří</v>
      </c>
      <c r="C96" t="str">
        <f>Sk.X!$C$15</f>
        <v>X2</v>
      </c>
      <c r="D96" t="str">
        <f ca="1">Sk.X!$B$15</f>
        <v>24 TOP - ORLOVÁ - Ulmann Jiří</v>
      </c>
    </row>
    <row r="97" spans="1:4">
      <c r="A97" t="str">
        <f t="shared" ca="1" si="5"/>
        <v>X3</v>
      </c>
      <c r="B97" t="str">
        <f t="shared" ca="1" si="6"/>
        <v>63 HRODE KRUMSÍN - Karásek Jiří</v>
      </c>
      <c r="C97" t="str">
        <f>Sk.X!$C$16</f>
        <v>X3</v>
      </c>
      <c r="D97" t="str">
        <f ca="1">Sk.X!$B$16</f>
        <v>63 HRODE KRUMSÍN - Karásek Jiří</v>
      </c>
    </row>
    <row r="98" spans="1:4">
      <c r="A98" t="str">
        <f t="shared" ca="1" si="5"/>
        <v/>
      </c>
      <c r="B98" t="str">
        <f t="shared" ca="1" si="6"/>
        <v/>
      </c>
      <c r="C98" t="str">
        <f>Sk.X!$C$17</f>
        <v>X4</v>
      </c>
      <c r="D98" t="str">
        <f ca="1">Sk.X!$B$17</f>
        <v xml:space="preserve"> - </v>
      </c>
    </row>
    <row r="99" spans="1:4">
      <c r="A99" t="str">
        <f t="shared" ca="1" si="5"/>
        <v>Y1</v>
      </c>
      <c r="B99" t="str">
        <f t="shared" ca="1" si="6"/>
        <v>62 Carreau Brno - Grepl Jiří</v>
      </c>
      <c r="C99" t="str">
        <f>Sk.Y!$C$14</f>
        <v>Y1</v>
      </c>
      <c r="D99" t="str">
        <f ca="1">Sk.Y!$B$14</f>
        <v>62 Carreau Brno - Grepl Jiří</v>
      </c>
    </row>
    <row r="100" spans="1:4">
      <c r="A100" t="str">
        <f t="shared" ca="1" si="5"/>
        <v>Y2</v>
      </c>
      <c r="B100" t="str">
        <f t="shared" ca="1" si="6"/>
        <v>25 Club Rodamiento - Dlouhá Ivana</v>
      </c>
      <c r="C100" t="str">
        <f>Sk.Y!$C$15</f>
        <v>Y2</v>
      </c>
      <c r="D100" t="str">
        <f ca="1">Sk.Y!$B$15</f>
        <v>25 Club Rodamiento - Dlouhá Ivana</v>
      </c>
    </row>
    <row r="101" spans="1:4">
      <c r="A101" t="str">
        <f t="shared" ca="1" si="5"/>
        <v>Y3</v>
      </c>
      <c r="B101" t="str">
        <f t="shared" ca="1" si="6"/>
        <v>111 Bowle 09 Klatovy - Hůrková Lucie</v>
      </c>
      <c r="C101" t="str">
        <f>Sk.Y!$C$16</f>
        <v>Y3</v>
      </c>
      <c r="D101" t="str">
        <f ca="1">Sk.Y!$B$16</f>
        <v>111 Bowle 09 Klatovy - Hůrková Lucie</v>
      </c>
    </row>
    <row r="102" spans="1:4">
      <c r="A102" t="str">
        <f t="shared" ca="1" si="5"/>
        <v/>
      </c>
      <c r="B102" t="str">
        <f t="shared" ca="1" si="6"/>
        <v/>
      </c>
      <c r="C102" t="str">
        <f>Sk.Y!$C$17</f>
        <v>Y4</v>
      </c>
      <c r="D102" t="str">
        <f ca="1">Sk.Y!$B$17</f>
        <v xml:space="preserve"> - </v>
      </c>
    </row>
    <row r="103" spans="1:4">
      <c r="A103" t="str">
        <f t="shared" ca="1" si="5"/>
        <v>Z1</v>
      </c>
      <c r="B103" t="str">
        <f t="shared" ca="1" si="6"/>
        <v>112 SK Sahara Vědomice - Gröschl Zdeněk</v>
      </c>
      <c r="C103" t="str">
        <f>Sk.Z!$C$14</f>
        <v>Z1</v>
      </c>
      <c r="D103" t="str">
        <f ca="1">Sk.Z!$B$14</f>
        <v>112 SK Sahara Vědomice - Gröschl Zdeněk</v>
      </c>
    </row>
    <row r="104" spans="1:4">
      <c r="A104" t="str">
        <f t="shared" ca="1" si="5"/>
        <v>Z2</v>
      </c>
      <c r="B104" t="str">
        <f t="shared" ca="1" si="6"/>
        <v>26 SK Pétanque Řepy - Holoubek Pavel</v>
      </c>
      <c r="C104" t="str">
        <f>Sk.Z!$C$15</f>
        <v>Z2</v>
      </c>
      <c r="D104" t="str">
        <f ca="1">Sk.Z!$B$15</f>
        <v>26 SK Pétanque Řepy - Holoubek Pavel</v>
      </c>
    </row>
    <row r="105" spans="1:4">
      <c r="A105" t="str">
        <f t="shared" ca="1" si="5"/>
        <v>Z3</v>
      </c>
      <c r="B105" t="str">
        <f t="shared" ca="1" si="6"/>
        <v>61 PC Mimo Done - Kára Jan</v>
      </c>
      <c r="C105" t="str">
        <f>Sk.Z!$C$16</f>
        <v>Z3</v>
      </c>
      <c r="D105" t="str">
        <f ca="1">Sk.Z!$B$16</f>
        <v>61 PC Mimo Done - Kára Jan</v>
      </c>
    </row>
    <row r="106" spans="1:4">
      <c r="A106" t="str">
        <f t="shared" ca="1" si="5"/>
        <v/>
      </c>
      <c r="B106" t="str">
        <f t="shared" ca="1" si="6"/>
        <v/>
      </c>
      <c r="C106" t="str">
        <f>Sk.Z!$C$17</f>
        <v>Z4</v>
      </c>
      <c r="D106" t="str">
        <f ca="1">Sk.Z!$B$17</f>
        <v xml:space="preserve"> - </v>
      </c>
    </row>
    <row r="107" spans="1:4">
      <c r="A107" t="str">
        <f t="shared" ca="1" si="5"/>
        <v>AA1</v>
      </c>
      <c r="B107" t="str">
        <f t="shared" ca="1" si="6"/>
        <v>27 Sokol Kostomlaty - Vlach Jaromír</v>
      </c>
      <c r="C107" t="str">
        <f>Sk.AA!$C$14</f>
        <v>AA1</v>
      </c>
      <c r="D107" t="str">
        <f ca="1">Sk.AA!$B$14</f>
        <v>27 Sokol Kostomlaty - Vlach Jaromír</v>
      </c>
    </row>
    <row r="108" spans="1:4">
      <c r="A108" t="str">
        <f t="shared" ca="1" si="5"/>
        <v>AA2</v>
      </c>
      <c r="B108" t="str">
        <f t="shared" ca="1" si="6"/>
        <v>60 SKP Hranice VI-Valšovice - Svobodová Lenka</v>
      </c>
      <c r="C108" t="str">
        <f>Sk.AA!$C$15</f>
        <v>AA2</v>
      </c>
      <c r="D108" t="str">
        <f ca="1">Sk.AA!$B$15</f>
        <v>60 SKP Hranice VI-Valšovice - Svobodová Lenka</v>
      </c>
    </row>
    <row r="109" spans="1:4">
      <c r="A109" t="str">
        <f t="shared" ca="1" si="5"/>
        <v>AA3</v>
      </c>
      <c r="B109" t="str">
        <f t="shared" ca="1" si="6"/>
        <v>113 PK Polouvsí - Ondryhal Lukáš</v>
      </c>
      <c r="C109" t="str">
        <f>Sk.AA!$C$16</f>
        <v>AA3</v>
      </c>
      <c r="D109" t="str">
        <f ca="1">Sk.AA!$B$16</f>
        <v>113 PK Polouvsí - Ondryhal Lukáš</v>
      </c>
    </row>
    <row r="110" spans="1:4">
      <c r="A110" t="str">
        <f t="shared" ca="1" si="5"/>
        <v/>
      </c>
      <c r="B110" t="str">
        <f t="shared" ca="1" si="6"/>
        <v/>
      </c>
      <c r="C110" t="str">
        <f>Sk.AA!$C$17</f>
        <v>AA4</v>
      </c>
      <c r="D110" t="str">
        <f ca="1">Sk.AA!$B$17</f>
        <v xml:space="preserve"> - </v>
      </c>
    </row>
    <row r="111" spans="1:4">
      <c r="A111" t="str">
        <f t="shared" ca="1" si="5"/>
        <v>AB1</v>
      </c>
      <c r="B111" t="str">
        <f t="shared" ca="1" si="6"/>
        <v>28 SK Pétanque Řepy - Pastorek Jaroslav</v>
      </c>
      <c r="C111" t="str">
        <f>Sk.AB!$C$14</f>
        <v>AB1</v>
      </c>
      <c r="D111" t="str">
        <f ca="1">Sk.AB!$B$14</f>
        <v>28 SK Pétanque Řepy - Pastorek Jaroslav</v>
      </c>
    </row>
    <row r="112" spans="1:4">
      <c r="A112" t="str">
        <f t="shared" ca="1" si="5"/>
        <v>AB2</v>
      </c>
      <c r="B112" t="str">
        <f t="shared" ca="1" si="6"/>
        <v>114 PCP Lipník - Reinbergrová Václava</v>
      </c>
      <c r="C112" t="str">
        <f>Sk.AB!$C$15</f>
        <v>AB2</v>
      </c>
      <c r="D112" t="str">
        <f ca="1">Sk.AB!$B$15</f>
        <v>114 PCP Lipník - Reinbergrová Václava</v>
      </c>
    </row>
    <row r="113" spans="1:4">
      <c r="A113" t="str">
        <f t="shared" ca="1" si="5"/>
        <v>AB3</v>
      </c>
      <c r="B113" t="str">
        <f t="shared" ca="1" si="6"/>
        <v>59 SKP Kulová osma - Chmelař Ivo</v>
      </c>
      <c r="C113" t="str">
        <f>Sk.AB!$C$16</f>
        <v>AB3</v>
      </c>
      <c r="D113" t="str">
        <f ca="1">Sk.AB!$B$16</f>
        <v>59 SKP Kulová osma - Chmelař Ivo</v>
      </c>
    </row>
    <row r="114" spans="1:4">
      <c r="A114" t="str">
        <f t="shared" ca="1" si="5"/>
        <v/>
      </c>
      <c r="B114" t="str">
        <f t="shared" ca="1" si="6"/>
        <v/>
      </c>
      <c r="C114" t="str">
        <f>Sk.AB!$C$17</f>
        <v>AB4</v>
      </c>
      <c r="D114" t="str">
        <f ca="1">Sk.AB!$B$17</f>
        <v xml:space="preserve"> - </v>
      </c>
    </row>
    <row r="115" spans="1:4">
      <c r="A115" t="str">
        <f t="shared" ca="1" si="5"/>
        <v>AC1</v>
      </c>
      <c r="B115" t="str">
        <f t="shared" ca="1" si="6"/>
        <v>58 PC Sokol Lipník - Fafek Petr</v>
      </c>
      <c r="C115" t="str">
        <f>Sk.AC!$C$14</f>
        <v>AC1</v>
      </c>
      <c r="D115" t="str">
        <f ca="1">Sk.AC!$B$14</f>
        <v>58 PC Sokol Lipník - Fafek Petr</v>
      </c>
    </row>
    <row r="116" spans="1:4">
      <c r="A116" t="str">
        <f t="shared" ca="1" si="5"/>
        <v>AC2</v>
      </c>
      <c r="B116" t="str">
        <f t="shared" ca="1" si="6"/>
        <v>29 PC Sokol Lipník - Froňková Blanka</v>
      </c>
      <c r="C116" t="str">
        <f>Sk.AC!$C$15</f>
        <v>AC2</v>
      </c>
      <c r="D116" t="str">
        <f ca="1">Sk.AC!$B$15</f>
        <v>29 PC Sokol Lipník - Froňková Blanka</v>
      </c>
    </row>
    <row r="117" spans="1:4">
      <c r="A117" t="str">
        <f t="shared" ca="1" si="5"/>
        <v>AC3</v>
      </c>
      <c r="B117" t="str">
        <f t="shared" ca="1" si="6"/>
        <v>115 SK Pétanque Řepy - Křížek Evžen</v>
      </c>
      <c r="C117" t="str">
        <f>Sk.AC!$C$16</f>
        <v>AC3</v>
      </c>
      <c r="D117" t="str">
        <f ca="1">Sk.AC!$B$16</f>
        <v>115 SK Pétanque Řepy - Křížek Evžen</v>
      </c>
    </row>
    <row r="118" spans="1:4">
      <c r="A118" t="str">
        <f t="shared" ca="1" si="5"/>
        <v/>
      </c>
      <c r="B118" t="str">
        <f t="shared" ca="1" si="6"/>
        <v/>
      </c>
      <c r="C118" t="str">
        <f>Sk.AC!$C$17</f>
        <v>AC4</v>
      </c>
      <c r="D118" t="str">
        <f ca="1">Sk.AC!$B$17</f>
        <v xml:space="preserve"> - </v>
      </c>
    </row>
    <row r="119" spans="1:4">
      <c r="A119" t="str">
        <f t="shared" ca="1" si="5"/>
        <v>AD1</v>
      </c>
      <c r="B119" t="str">
        <f t="shared" ca="1" si="6"/>
        <v>30 POP Praha - Resl Jan</v>
      </c>
      <c r="C119" t="str">
        <f>Sk.AD!$C$14</f>
        <v>AD1</v>
      </c>
      <c r="D119" t="str">
        <f ca="1">Sk.AD!$B$14</f>
        <v>30 POP Praha - Resl Jan</v>
      </c>
    </row>
    <row r="120" spans="1:4">
      <c r="A120" t="str">
        <f t="shared" ca="1" si="5"/>
        <v>AD2</v>
      </c>
      <c r="B120" t="str">
        <f t="shared" ca="1" si="6"/>
        <v>57 SKP Hranice VI-Valšovice - Kutá Miloslava</v>
      </c>
      <c r="C120" t="str">
        <f>Sk.AD!$C$15</f>
        <v>AD2</v>
      </c>
      <c r="D120" t="str">
        <f ca="1">Sk.AD!$B$15</f>
        <v>57 SKP Hranice VI-Valšovice - Kutá Miloslava</v>
      </c>
    </row>
    <row r="121" spans="1:4">
      <c r="A121" t="str">
        <f t="shared" ca="1" si="5"/>
        <v>AD3</v>
      </c>
      <c r="B121" t="str">
        <f t="shared" ca="1" si="6"/>
        <v>143 PEK Stolín - Geisler Dan</v>
      </c>
      <c r="C121" t="str">
        <f>Sk.AD!$C$16</f>
        <v>AD3</v>
      </c>
      <c r="D121" t="str">
        <f ca="1">Sk.AD!$B$16</f>
        <v>143 PEK Stolín - Geisler Dan</v>
      </c>
    </row>
    <row r="122" spans="1:4">
      <c r="A122" t="str">
        <f t="shared" ca="1" si="5"/>
        <v>AD4</v>
      </c>
      <c r="B122" t="str">
        <f t="shared" ca="1" si="6"/>
        <v>116 SK Pétanque Řepy - Procházka Josef</v>
      </c>
      <c r="C122" t="str">
        <f>Sk.AD!$C$17</f>
        <v>AD4</v>
      </c>
      <c r="D122" t="str">
        <f ca="1">Sk.AD!$B$17</f>
        <v>116 SK Pétanque Řepy - Procházka Josef</v>
      </c>
    </row>
    <row r="123" spans="1:4">
      <c r="A123" t="str">
        <f t="shared" ca="1" si="5"/>
        <v>AE1</v>
      </c>
      <c r="B123" t="str">
        <f t="shared" ca="1" si="6"/>
        <v>31 PLUK Jablonec - Lukáš Petr</v>
      </c>
      <c r="C123" t="str">
        <f>Sk.AE!$C$14</f>
        <v>AE1</v>
      </c>
      <c r="D123" t="str">
        <f ca="1">Sk.AE!$B$14</f>
        <v>31 PLUK Jablonec - Lukáš Petr</v>
      </c>
    </row>
    <row r="124" spans="1:4">
      <c r="A124" t="str">
        <f t="shared" ca="1" si="5"/>
        <v>AE2</v>
      </c>
      <c r="B124" t="str">
        <f t="shared" ca="1" si="6"/>
        <v>56 SK Pétanque Řepy - Hladík Jaroslav</v>
      </c>
      <c r="C124" t="str">
        <f>Sk.AE!$C$15</f>
        <v>AE2</v>
      </c>
      <c r="D124" t="str">
        <f ca="1">Sk.AE!$B$15</f>
        <v>56 SK Pétanque Řepy - Hladík Jaroslav</v>
      </c>
    </row>
    <row r="125" spans="1:4">
      <c r="A125" t="str">
        <f t="shared" ca="1" si="5"/>
        <v>AE3</v>
      </c>
      <c r="B125" t="str">
        <f t="shared" ca="1" si="6"/>
        <v>117 PEK Stolín - Jablonský Lukáš</v>
      </c>
      <c r="C125" t="str">
        <f>Sk.AE!$C$16</f>
        <v>AE3</v>
      </c>
      <c r="D125" t="str">
        <f ca="1">Sk.AE!$B$16</f>
        <v>117 PEK Stolín - Jablonský Lukáš</v>
      </c>
    </row>
    <row r="126" spans="1:4">
      <c r="A126" t="str">
        <f t="shared" ca="1" si="5"/>
        <v>AE4</v>
      </c>
      <c r="B126" t="str">
        <f t="shared" ca="1" si="6"/>
        <v>142 PEK Stolín - Rousek Simon</v>
      </c>
      <c r="C126" t="str">
        <f>Sk.AE!$C$17</f>
        <v>AE4</v>
      </c>
      <c r="D126" t="str">
        <f ca="1">Sk.AE!$B$17</f>
        <v>142 PEK Stolín - Rousek Simon</v>
      </c>
    </row>
    <row r="127" spans="1:4">
      <c r="A127" t="str">
        <f t="shared" ca="1" si="5"/>
        <v>AF1</v>
      </c>
      <c r="B127" t="str">
        <f t="shared" ca="1" si="6"/>
        <v>32 Club Rodamiento - Kamaryt Josef</v>
      </c>
      <c r="C127" t="str">
        <f>Sk.AF!$C$14</f>
        <v>AF1</v>
      </c>
      <c r="D127" t="str">
        <f ca="1">Sk.AF!$B$14</f>
        <v>32 Club Rodamiento - Kamaryt Josef</v>
      </c>
    </row>
    <row r="128" spans="1:4">
      <c r="A128" t="str">
        <f t="shared" ca="1" si="5"/>
        <v>AF2</v>
      </c>
      <c r="B128" t="str">
        <f t="shared" ca="1" si="6"/>
        <v>118 PEK Stolín - Hájková Iveta</v>
      </c>
      <c r="C128" t="str">
        <f>Sk.AF!$C$15</f>
        <v>AF2</v>
      </c>
      <c r="D128" t="str">
        <f ca="1">Sk.AF!$B$15</f>
        <v>118 PEK Stolín - Hájková Iveta</v>
      </c>
    </row>
    <row r="129" spans="1:4">
      <c r="A129" t="str">
        <f t="shared" ca="1" si="5"/>
        <v>AF3</v>
      </c>
      <c r="B129" t="str">
        <f t="shared" ca="1" si="6"/>
        <v>55 1. KPK Vrchlabí - Sládková Hana</v>
      </c>
      <c r="C129" t="str">
        <f>Sk.AF!$C$16</f>
        <v>AF3</v>
      </c>
      <c r="D129" t="str">
        <f ca="1">Sk.AF!$B$16</f>
        <v>55 1. KPK Vrchlabí - Sládková Hana</v>
      </c>
    </row>
    <row r="130" spans="1:4">
      <c r="A130" t="str">
        <f t="shared" ca="1" si="5"/>
        <v>AF4</v>
      </c>
      <c r="B130" t="str">
        <f t="shared" ca="1" si="6"/>
        <v>141 PC Sokol PP Hr. Králové - Jarouš Vítek</v>
      </c>
      <c r="C130" t="str">
        <f>Sk.AF!$C$17</f>
        <v>AF4</v>
      </c>
      <c r="D130" t="str">
        <f ca="1">Sk.AF!$B$17</f>
        <v>141 PC Sokol PP Hr. Králové - Jarouš Vítek</v>
      </c>
    </row>
    <row r="131" spans="1:4">
      <c r="A131" t="str">
        <f t="shared" ca="1" si="5"/>
        <v>AG1</v>
      </c>
      <c r="B131" t="str">
        <f t="shared" ref="B131:B194" ca="1" si="7">IF(TYPE(D131)&gt;4," - ",IF(OR(TRIM(D131)="",TRIM(D131)="-"),"",D131))</f>
        <v>33 1. KPK Vrchlabí - Brázda Vladimír</v>
      </c>
      <c r="C131" t="str">
        <f>Sk.AG!$C$14</f>
        <v>AG1</v>
      </c>
      <c r="D131" t="str">
        <f ca="1">Sk.AG!$B$14</f>
        <v>33 1. KPK Vrchlabí - Brázda Vladimír</v>
      </c>
    </row>
    <row r="132" spans="1:4">
      <c r="A132" t="str">
        <f t="shared" ca="1" si="5"/>
        <v>AG2</v>
      </c>
      <c r="B132" t="str">
        <f t="shared" ca="1" si="7"/>
        <v>54 SK Sahara Vědomice - Horáčková Simona</v>
      </c>
      <c r="C132" t="str">
        <f>Sk.AG!$C$15</f>
        <v>AG2</v>
      </c>
      <c r="D132" t="str">
        <f ca="1">Sk.AG!$B$15</f>
        <v>54 SK Sahara Vědomice - Horáčková Simona</v>
      </c>
    </row>
    <row r="133" spans="1:4">
      <c r="A133" t="str">
        <f t="shared" ca="1" si="5"/>
        <v>AG3</v>
      </c>
      <c r="B133" t="str">
        <f t="shared" ca="1" si="7"/>
        <v>140 PKT Velký Šanc - Loprais Zdeněk</v>
      </c>
      <c r="C133" t="str">
        <f>Sk.AG!$C$16</f>
        <v>AG3</v>
      </c>
      <c r="D133" t="str">
        <f ca="1">Sk.AG!$B$16</f>
        <v>140 PKT Velký Šanc - Loprais Zdeněk</v>
      </c>
    </row>
    <row r="134" spans="1:4">
      <c r="A134" t="str">
        <f t="shared" ca="1" si="5"/>
        <v>AG4</v>
      </c>
      <c r="B134" t="str">
        <f t="shared" ca="1" si="7"/>
        <v>119 Petank Club Praha - Rendjambe Amos</v>
      </c>
      <c r="C134" t="str">
        <f>Sk.AG!$C$17</f>
        <v>AG4</v>
      </c>
      <c r="D134" t="str">
        <f ca="1">Sk.AG!$B$17</f>
        <v>119 Petank Club Praha - Rendjambe Amos</v>
      </c>
    </row>
    <row r="135" spans="1:4">
      <c r="A135" t="str">
        <f t="shared" ca="1" si="5"/>
        <v>AH1</v>
      </c>
      <c r="B135" t="str">
        <f t="shared" ca="1" si="7"/>
        <v>120 Petank Club Praha - Křešťáková Jana</v>
      </c>
      <c r="C135" t="str">
        <f>Sk.AH!$C$14</f>
        <v>AH1</v>
      </c>
      <c r="D135" t="str">
        <f ca="1">Sk.AH!$B$14</f>
        <v>120 Petank Club Praha - Křešťáková Jana</v>
      </c>
    </row>
    <row r="136" spans="1:4">
      <c r="A136" t="str">
        <f t="shared" ca="1" si="5"/>
        <v>AH2</v>
      </c>
      <c r="B136" t="str">
        <f t="shared" ca="1" si="7"/>
        <v>139 ČPK Poděbrady - Karbulka Jan</v>
      </c>
      <c r="C136" t="str">
        <f>Sk.AH!$C$15</f>
        <v>AH2</v>
      </c>
      <c r="D136" t="str">
        <f ca="1">Sk.AH!$B$15</f>
        <v>139 ČPK Poděbrady - Karbulka Jan</v>
      </c>
    </row>
    <row r="137" spans="1:4">
      <c r="A137" t="str">
        <f t="shared" ca="1" si="5"/>
        <v>AH3</v>
      </c>
      <c r="B137" t="str">
        <f t="shared" ca="1" si="7"/>
        <v>34 UBU Únětice - Tomášková Dana</v>
      </c>
      <c r="C137" t="str">
        <f>Sk.AH!$C$16</f>
        <v>AH3</v>
      </c>
      <c r="D137" t="str">
        <f ca="1">Sk.AH!$B$16</f>
        <v>34 UBU Únětice - Tomášková Dana</v>
      </c>
    </row>
    <row r="138" spans="1:4">
      <c r="A138" t="str">
        <f t="shared" ca="1" si="5"/>
        <v>AH4</v>
      </c>
      <c r="B138" t="str">
        <f t="shared" ca="1" si="7"/>
        <v>53 SKP Kulová osma - Krejčínová Lenka</v>
      </c>
      <c r="C138" t="str">
        <f>Sk.AH!$C$17</f>
        <v>AH4</v>
      </c>
      <c r="D138" t="str">
        <f ca="1">Sk.AH!$B$17</f>
        <v>53 SKP Kulová osma - Krejčínová Lenka</v>
      </c>
    </row>
    <row r="139" spans="1:4">
      <c r="A139" t="str">
        <f t="shared" ca="1" si="5"/>
        <v>AI1</v>
      </c>
      <c r="B139" t="str">
        <f t="shared" ca="1" si="7"/>
        <v>121 PCP Lipník - Kmoch Miroslav</v>
      </c>
      <c r="C139" t="str">
        <f>Sk.AI!$C$14</f>
        <v>AI1</v>
      </c>
      <c r="D139" t="str">
        <f ca="1">Sk.AI!$B$14</f>
        <v>121 PCP Lipník - Kmoch Miroslav</v>
      </c>
    </row>
    <row r="140" spans="1:4">
      <c r="A140" t="str">
        <f t="shared" ca="1" si="5"/>
        <v>AI2</v>
      </c>
      <c r="B140" t="str">
        <f t="shared" ca="1" si="7"/>
        <v>35 SK Sahara Vědomice - Demčík Milan St.</v>
      </c>
      <c r="C140" t="str">
        <f>Sk.AI!$C$15</f>
        <v>AI2</v>
      </c>
      <c r="D140" t="str">
        <f ca="1">Sk.AI!$B$15</f>
        <v>35 SK Sahara Vědomice - Demčík Milan St.</v>
      </c>
    </row>
    <row r="141" spans="1:4">
      <c r="A141" t="str">
        <f t="shared" ca="1" si="5"/>
        <v>AI3</v>
      </c>
      <c r="B141" t="str">
        <f t="shared" ca="1" si="7"/>
        <v>52 SKP Kulová osma - Chmelařová Yvetta</v>
      </c>
      <c r="C141" t="str">
        <f>Sk.AI!$C$16</f>
        <v>AI3</v>
      </c>
      <c r="D141" t="str">
        <f ca="1">Sk.AI!$B$16</f>
        <v>52 SKP Kulová osma - Chmelařová Yvetta</v>
      </c>
    </row>
    <row r="142" spans="1:4">
      <c r="A142" t="str">
        <f t="shared" ca="1" si="5"/>
        <v>AI4</v>
      </c>
      <c r="B142" t="str">
        <f t="shared" ca="1" si="7"/>
        <v>138 SK Pétanque Řepy - Mullerová Jiřina</v>
      </c>
      <c r="C142" t="str">
        <f>Sk.AI!$C$17</f>
        <v>AI4</v>
      </c>
      <c r="D142" t="str">
        <f ca="1">Sk.AI!$B$17</f>
        <v>138 SK Pétanque Řepy - Mullerová Jiřina</v>
      </c>
    </row>
    <row r="143" spans="1:4">
      <c r="A143" t="str">
        <f t="shared" ca="1" si="5"/>
        <v>AJ1</v>
      </c>
      <c r="B143" t="str">
        <f t="shared" ca="1" si="7"/>
        <v>51 Orel Řečkovice - Hanák David</v>
      </c>
      <c r="C143" t="str">
        <f>Sk.AJ!$C$14</f>
        <v>AJ1</v>
      </c>
      <c r="D143" t="str">
        <f ca="1">Sk.AJ!$B$14</f>
        <v>51 Orel Řečkovice - Hanák David</v>
      </c>
    </row>
    <row r="144" spans="1:4">
      <c r="A144" t="str">
        <f t="shared" ca="1" si="5"/>
        <v>AJ2</v>
      </c>
      <c r="B144" t="str">
        <f t="shared" ca="1" si="7"/>
        <v>36 HRODE KRUMSÍN - Pírek Martin</v>
      </c>
      <c r="C144" t="str">
        <f>Sk.AJ!$C$15</f>
        <v>AJ2</v>
      </c>
      <c r="D144" t="str">
        <f ca="1">Sk.AJ!$B$15</f>
        <v>36 HRODE KRUMSÍN - Pírek Martin</v>
      </c>
    </row>
    <row r="145" spans="1:4">
      <c r="A145" t="str">
        <f t="shared" ca="1" si="5"/>
        <v>AJ3</v>
      </c>
      <c r="B145" t="str">
        <f t="shared" ca="1" si="7"/>
        <v>137 SK Pétanque Řepy - Klazarová Vlasta</v>
      </c>
      <c r="C145" t="str">
        <f>Sk.AJ!$C$16</f>
        <v>AJ3</v>
      </c>
      <c r="D145" t="str">
        <f ca="1">Sk.AJ!$B$16</f>
        <v>137 SK Pétanque Řepy - Klazarová Vlasta</v>
      </c>
    </row>
    <row r="146" spans="1:4">
      <c r="A146" t="str">
        <f t="shared" ca="1" si="5"/>
        <v>AJ4</v>
      </c>
      <c r="B146" t="str">
        <f t="shared" ca="1" si="7"/>
        <v>122 SK Pétanque Řepy - Koňasová Hana</v>
      </c>
      <c r="C146" t="str">
        <f>Sk.AJ!$C$17</f>
        <v>AJ4</v>
      </c>
      <c r="D146" t="str">
        <f ca="1">Sk.AJ!$B$17</f>
        <v>122 SK Pétanque Řepy - Koňasová Hana</v>
      </c>
    </row>
    <row r="147" spans="1:4">
      <c r="A147" t="str">
        <f t="shared" ca="1" si="5"/>
        <v>AK1</v>
      </c>
      <c r="B147" t="str">
        <f t="shared" ca="1" si="7"/>
        <v>50 SKP Kulová osma - Krejčín Leoš</v>
      </c>
      <c r="C147" t="str">
        <f>Sk.AK!$C$14</f>
        <v>AK1</v>
      </c>
      <c r="D147" t="str">
        <f ca="1">Sk.AK!$B$14</f>
        <v>50 SKP Kulová osma - Krejčín Leoš</v>
      </c>
    </row>
    <row r="148" spans="1:4">
      <c r="A148" t="str">
        <f t="shared" ref="A148:A211" ca="1" si="8">IF(TRIM(D148)="-","",C148)</f>
        <v>AK2</v>
      </c>
      <c r="B148" t="str">
        <f t="shared" ca="1" si="7"/>
        <v>37 1. KPK Vrchlabí - Řezníček Jiří</v>
      </c>
      <c r="C148" t="str">
        <f>Sk.AK!$C$15</f>
        <v>AK2</v>
      </c>
      <c r="D148" t="str">
        <f ca="1">Sk.AK!$B$15</f>
        <v>37 1. KPK Vrchlabí - Řezníček Jiří</v>
      </c>
    </row>
    <row r="149" spans="1:4">
      <c r="A149" t="str">
        <f t="shared" ca="1" si="8"/>
        <v>AK3</v>
      </c>
      <c r="B149" t="str">
        <f t="shared" ca="1" si="7"/>
        <v>123 SK Pétanque Řepy - Josífková Eva</v>
      </c>
      <c r="C149" t="str">
        <f>Sk.AK!$C$16</f>
        <v>AK3</v>
      </c>
      <c r="D149" t="str">
        <f ca="1">Sk.AK!$B$16</f>
        <v>123 SK Pétanque Řepy - Josífková Eva</v>
      </c>
    </row>
    <row r="150" spans="1:4">
      <c r="A150" t="str">
        <f t="shared" ca="1" si="8"/>
        <v>AK4</v>
      </c>
      <c r="B150" t="str">
        <f t="shared" ca="1" si="7"/>
        <v>136 PC Sokol PP Hr. Králové - Vávrová Ivana</v>
      </c>
      <c r="C150" t="str">
        <f>Sk.AK!$C$17</f>
        <v>AK4</v>
      </c>
      <c r="D150" t="str">
        <f ca="1">Sk.AK!$B$17</f>
        <v>136 PC Sokol PP Hr. Králové - Vávrová Ivana</v>
      </c>
    </row>
    <row r="151" spans="1:4">
      <c r="A151" t="str">
        <f t="shared" ca="1" si="8"/>
        <v>AL1</v>
      </c>
      <c r="B151" t="str">
        <f t="shared" ca="1" si="7"/>
        <v>38 FENYX Adamov - Král Pavel</v>
      </c>
      <c r="C151" t="str">
        <f>Sk.AL!$C$14</f>
        <v>AL1</v>
      </c>
      <c r="D151" t="str">
        <f ca="1">Sk.AL!$B$14</f>
        <v>38 FENYX Adamov - Král Pavel</v>
      </c>
    </row>
    <row r="152" spans="1:4">
      <c r="A152" t="str">
        <f t="shared" ca="1" si="8"/>
        <v>AL2</v>
      </c>
      <c r="B152" t="str">
        <f t="shared" ca="1" si="7"/>
        <v>135 VARAN - Tintěrová Kateřina</v>
      </c>
      <c r="C152" t="str">
        <f>Sk.AL!$C$15</f>
        <v>AL2</v>
      </c>
      <c r="D152" t="str">
        <f ca="1">Sk.AL!$B$15</f>
        <v>135 VARAN - Tintěrová Kateřina</v>
      </c>
    </row>
    <row r="153" spans="1:4">
      <c r="A153" t="str">
        <f t="shared" ca="1" si="8"/>
        <v>AL3</v>
      </c>
      <c r="B153" t="str">
        <f t="shared" ca="1" si="7"/>
        <v>124 SK Sahara Vědomice - Suchomel Luděk</v>
      </c>
      <c r="C153" t="str">
        <f>Sk.AL!$C$16</f>
        <v>AL3</v>
      </c>
      <c r="D153" t="str">
        <f ca="1">Sk.AL!$B$16</f>
        <v>124 SK Sahara Vědomice - Suchomel Luděk</v>
      </c>
    </row>
    <row r="154" spans="1:4">
      <c r="A154" t="str">
        <f t="shared" ca="1" si="8"/>
        <v>AL4</v>
      </c>
      <c r="B154" t="str">
        <f t="shared" ca="1" si="7"/>
        <v>49 1. KPK Vrchlabí - Hančová Alice</v>
      </c>
      <c r="C154" t="str">
        <f>Sk.AL!$C$17</f>
        <v>AL4</v>
      </c>
      <c r="D154" t="str">
        <f ca="1">Sk.AL!$B$17</f>
        <v>49 1. KPK Vrchlabí - Hančová Alice</v>
      </c>
    </row>
    <row r="155" spans="1:4">
      <c r="A155" t="str">
        <f t="shared" ca="1" si="8"/>
        <v>AM1</v>
      </c>
      <c r="B155" t="str">
        <f t="shared" ca="1" si="7"/>
        <v>48 UBU Únětice - Palas Pavel</v>
      </c>
      <c r="C155" t="str">
        <f>Sk.AM!$C$14</f>
        <v>AM1</v>
      </c>
      <c r="D155" t="str">
        <f ca="1">Sk.AM!$B$14</f>
        <v>48 UBU Únětice - Palas Pavel</v>
      </c>
    </row>
    <row r="156" spans="1:4">
      <c r="A156" t="str">
        <f t="shared" ca="1" si="8"/>
        <v>AM2</v>
      </c>
      <c r="B156" t="str">
        <f t="shared" ca="1" si="7"/>
        <v>39 FRAPECO - Felčárek Jaroslav</v>
      </c>
      <c r="C156" t="str">
        <f>Sk.AM!$C$15</f>
        <v>AM2</v>
      </c>
      <c r="D156" t="str">
        <f ca="1">Sk.AM!$B$15</f>
        <v>39 FRAPECO - Felčárek Jaroslav</v>
      </c>
    </row>
    <row r="157" spans="1:4">
      <c r="A157" t="str">
        <f t="shared" ca="1" si="8"/>
        <v>AM3</v>
      </c>
      <c r="B157" t="str">
        <f t="shared" ca="1" si="7"/>
        <v>134 UBU Únětice - Kolaříková Josefína</v>
      </c>
      <c r="C157" t="str">
        <f>Sk.AM!$C$16</f>
        <v>AM3</v>
      </c>
      <c r="D157" t="str">
        <f ca="1">Sk.AM!$B$16</f>
        <v>134 UBU Únětice - Kolaříková Josefína</v>
      </c>
    </row>
    <row r="158" spans="1:4">
      <c r="A158" t="str">
        <f t="shared" ca="1" si="8"/>
        <v>AM4</v>
      </c>
      <c r="B158" t="str">
        <f t="shared" ca="1" si="7"/>
        <v>125 SK Pétanque Řepy - Váňová Věra</v>
      </c>
      <c r="C158" t="str">
        <f>Sk.AM!$C$17</f>
        <v>AM4</v>
      </c>
      <c r="D158" t="str">
        <f ca="1">Sk.AM!$B$17</f>
        <v>125 SK Pétanque Řepy - Váňová Věra</v>
      </c>
    </row>
    <row r="159" spans="1:4">
      <c r="A159" t="str">
        <f t="shared" ca="1" si="8"/>
        <v>AN1</v>
      </c>
      <c r="B159" t="str">
        <f t="shared" ca="1" si="7"/>
        <v>40 HAPEK - Bureš Pavel st.</v>
      </c>
      <c r="C159" t="str">
        <f>Sk.AN!$C$14</f>
        <v>AN1</v>
      </c>
      <c r="D159" t="str">
        <f ca="1">Sk.AN!$B$14</f>
        <v>40 HAPEK - Bureš Pavel st.</v>
      </c>
    </row>
    <row r="160" spans="1:4">
      <c r="A160" t="str">
        <f t="shared" ca="1" si="8"/>
        <v>AN2</v>
      </c>
      <c r="B160" t="str">
        <f t="shared" ca="1" si="7"/>
        <v>126 1. KPK Vrchlabí - Lukeš Jakub</v>
      </c>
      <c r="C160" t="str">
        <f>Sk.AN!$C$15</f>
        <v>AN2</v>
      </c>
      <c r="D160" t="str">
        <f ca="1">Sk.AN!$B$15</f>
        <v>126 1. KPK Vrchlabí - Lukeš Jakub</v>
      </c>
    </row>
    <row r="161" spans="1:4">
      <c r="A161" t="str">
        <f t="shared" ca="1" si="8"/>
        <v>AN3</v>
      </c>
      <c r="B161" t="str">
        <f t="shared" ca="1" si="7"/>
        <v>133 FRAPECO - Husáková Petra</v>
      </c>
      <c r="C161" t="str">
        <f>Sk.AN!$C$16</f>
        <v>AN3</v>
      </c>
      <c r="D161" t="str">
        <f ca="1">Sk.AN!$B$16</f>
        <v>133 FRAPECO - Husáková Petra</v>
      </c>
    </row>
    <row r="162" spans="1:4">
      <c r="A162" t="str">
        <f t="shared" ca="1" si="8"/>
        <v>AN4</v>
      </c>
      <c r="B162" t="str">
        <f t="shared" ca="1" si="7"/>
        <v>47 SK Sahara Vědomice - Kulhánek Milan</v>
      </c>
      <c r="C162" t="str">
        <f>Sk.AN!$C$17</f>
        <v>AN4</v>
      </c>
      <c r="D162" t="str">
        <f ca="1">Sk.AN!$B$17</f>
        <v>47 SK Sahara Vědomice - Kulhánek Milan</v>
      </c>
    </row>
    <row r="163" spans="1:4">
      <c r="A163" t="str">
        <f t="shared" ca="1" si="8"/>
        <v>AO1</v>
      </c>
      <c r="B163" t="str">
        <f t="shared" ca="1" si="7"/>
        <v>41 SKP Kulová osma - Pilát Petr</v>
      </c>
      <c r="C163" t="str">
        <f>Sk.AO!$C$14</f>
        <v>AO1</v>
      </c>
      <c r="D163" t="str">
        <f ca="1">Sk.AO!$B$14</f>
        <v>41 SKP Kulová osma - Pilát Petr</v>
      </c>
    </row>
    <row r="164" spans="1:4">
      <c r="A164" t="str">
        <f t="shared" ca="1" si="8"/>
        <v>AO2</v>
      </c>
      <c r="B164" t="str">
        <f t="shared" ca="1" si="7"/>
        <v>127 JAPKO - Fukal Milan</v>
      </c>
      <c r="C164" t="str">
        <f>Sk.AO!$C$15</f>
        <v>AO2</v>
      </c>
      <c r="D164" t="str">
        <f ca="1">Sk.AO!$B$15</f>
        <v>127 JAPKO - Fukal Milan</v>
      </c>
    </row>
    <row r="165" spans="1:4">
      <c r="A165" t="str">
        <f t="shared" ca="1" si="8"/>
        <v>AO3</v>
      </c>
      <c r="B165" t="str">
        <f t="shared" ca="1" si="7"/>
        <v>46 PK Osika Plzeň - Radoušová Jana</v>
      </c>
      <c r="C165" t="str">
        <f>Sk.AO!$C$16</f>
        <v>AO3</v>
      </c>
      <c r="D165" t="str">
        <f ca="1">Sk.AO!$B$16</f>
        <v>46 PK Osika Plzeň - Radoušová Jana</v>
      </c>
    </row>
    <row r="166" spans="1:4">
      <c r="A166" t="str">
        <f t="shared" ca="1" si="8"/>
        <v>AO4</v>
      </c>
      <c r="B166" t="str">
        <f t="shared" ca="1" si="7"/>
        <v>132 SK Pétanque Řepy - Čapková Věra</v>
      </c>
      <c r="C166" t="str">
        <f>Sk.AO!$C$17</f>
        <v>AO4</v>
      </c>
      <c r="D166" t="str">
        <f ca="1">Sk.AO!$B$17</f>
        <v>132 SK Pétanque Řepy - Čapková Věra</v>
      </c>
    </row>
    <row r="167" spans="1:4">
      <c r="A167" t="str">
        <f t="shared" ca="1" si="8"/>
        <v>AP1</v>
      </c>
      <c r="B167" t="str">
        <f t="shared" ca="1" si="7"/>
        <v>131 PKT Velký Šanc - Sedláčková Hedvika</v>
      </c>
      <c r="C167" t="str">
        <f>Sk.AP!$C$14</f>
        <v>AP1</v>
      </c>
      <c r="D167" t="str">
        <f ca="1">Sk.AP!$B$14</f>
        <v>131 PKT Velký Šanc - Sedláčková Hedvika</v>
      </c>
    </row>
    <row r="168" spans="1:4">
      <c r="A168" t="str">
        <f t="shared" ca="1" si="8"/>
        <v>AP2</v>
      </c>
      <c r="B168" t="str">
        <f t="shared" ca="1" si="7"/>
        <v>45 SKP Hranice VI-Valšovice - Tománek Petr</v>
      </c>
      <c r="C168" t="str">
        <f>Sk.AP!$C$15</f>
        <v>AP2</v>
      </c>
      <c r="D168" t="str">
        <f ca="1">Sk.AP!$B$15</f>
        <v>45 SKP Hranice VI-Valšovice - Tománek Petr</v>
      </c>
    </row>
    <row r="169" spans="1:4">
      <c r="A169" t="str">
        <f t="shared" ca="1" si="8"/>
        <v>AP3</v>
      </c>
      <c r="B169" t="str">
        <f t="shared" ca="1" si="7"/>
        <v>42 FRAPECO - Šedivý Zdeněk</v>
      </c>
      <c r="C169" t="str">
        <f>Sk.AP!$C$16</f>
        <v>AP3</v>
      </c>
      <c r="D169" t="str">
        <f ca="1">Sk.AP!$B$16</f>
        <v>42 FRAPECO - Šedivý Zdeněk</v>
      </c>
    </row>
    <row r="170" spans="1:4">
      <c r="A170" t="str">
        <f t="shared" ca="1" si="8"/>
        <v>AP4</v>
      </c>
      <c r="B170" t="str">
        <f t="shared" ca="1" si="7"/>
        <v>128 PC Mimo Done - Duška Miloš</v>
      </c>
      <c r="C170" t="str">
        <f>Sk.AP!$C$17</f>
        <v>AP4</v>
      </c>
      <c r="D170" t="str">
        <f ca="1">Sk.AP!$B$17</f>
        <v>128 PC Mimo Done - Duška Miloš</v>
      </c>
    </row>
    <row r="171" spans="1:4">
      <c r="A171" t="str">
        <f t="shared" ca="1" si="8"/>
        <v>AQ1</v>
      </c>
      <c r="B171" t="str">
        <f t="shared" ca="1" si="7"/>
        <v>43 SK Sahara Vědomice - Přibyl Miloš</v>
      </c>
      <c r="C171" t="str">
        <f>Sk.AQ!$C$14</f>
        <v>AQ1</v>
      </c>
      <c r="D171" t="str">
        <f ca="1">Sk.AQ!$B$14</f>
        <v>43 SK Sahara Vědomice - Přibyl Miloš</v>
      </c>
    </row>
    <row r="172" spans="1:4">
      <c r="A172" t="str">
        <f t="shared" ca="1" si="8"/>
        <v>AQ2</v>
      </c>
      <c r="B172" t="str">
        <f t="shared" ca="1" si="7"/>
        <v>44 Petank Club Praha - Vorel Jan</v>
      </c>
      <c r="C172" t="str">
        <f>Sk.AQ!$C$15</f>
        <v>AQ2</v>
      </c>
      <c r="D172" t="str">
        <f ca="1">Sk.AQ!$B$15</f>
        <v>44 Petank Club Praha - Vorel Jan</v>
      </c>
    </row>
    <row r="173" spans="1:4">
      <c r="A173" t="str">
        <f t="shared" ca="1" si="8"/>
        <v>AQ3</v>
      </c>
      <c r="B173" t="str">
        <f t="shared" ca="1" si="7"/>
        <v>129 SK Pétanque Řepy - Gazdíková Jiřina</v>
      </c>
      <c r="C173" t="str">
        <f>Sk.AQ!$C$16</f>
        <v>AQ3</v>
      </c>
      <c r="D173" t="str">
        <f ca="1">Sk.AQ!$B$16</f>
        <v>129 SK Pétanque Řepy - Gazdíková Jiřina</v>
      </c>
    </row>
    <row r="174" spans="1:4">
      <c r="A174" t="str">
        <f t="shared" ca="1" si="8"/>
        <v>AQ4</v>
      </c>
      <c r="B174" t="str">
        <f t="shared" ca="1" si="7"/>
        <v>130 PEK Stolín - Rousková Nina</v>
      </c>
      <c r="C174" t="str">
        <f>Sk.AQ!$C$17</f>
        <v>AQ4</v>
      </c>
      <c r="D174" t="str">
        <f ca="1">Sk.AQ!$B$17</f>
        <v>130 PEK Stolín - Rousková Nina</v>
      </c>
    </row>
    <row r="175" spans="1:4">
      <c r="A175" t="str">
        <f t="shared" si="8"/>
        <v>AR1</v>
      </c>
      <c r="B175" t="str">
        <f t="shared" si="7"/>
        <v/>
      </c>
      <c r="C175" t="str">
        <f>Sk.AR!$C$14</f>
        <v>AR1</v>
      </c>
      <c r="D175" t="str">
        <f>Sk.AR!$B$14</f>
        <v/>
      </c>
    </row>
    <row r="176" spans="1:4">
      <c r="A176" t="str">
        <f t="shared" si="8"/>
        <v>AR2</v>
      </c>
      <c r="B176" t="str">
        <f t="shared" si="7"/>
        <v/>
      </c>
      <c r="C176" t="str">
        <f>Sk.AR!$C$15</f>
        <v>AR2</v>
      </c>
      <c r="D176" t="str">
        <f>Sk.AR!$B$15</f>
        <v/>
      </c>
    </row>
    <row r="177" spans="1:4">
      <c r="A177" t="str">
        <f t="shared" si="8"/>
        <v>AR3</v>
      </c>
      <c r="B177" t="str">
        <f t="shared" si="7"/>
        <v/>
      </c>
      <c r="C177" t="str">
        <f>Sk.AR!$C$16</f>
        <v>AR3</v>
      </c>
      <c r="D177" t="str">
        <f>Sk.AR!$B$16</f>
        <v/>
      </c>
    </row>
    <row r="178" spans="1:4">
      <c r="A178" t="str">
        <f t="shared" si="8"/>
        <v>AR4</v>
      </c>
      <c r="B178" t="str">
        <f t="shared" si="7"/>
        <v/>
      </c>
      <c r="C178" t="str">
        <f>Sk.AR!$C$17</f>
        <v>AR4</v>
      </c>
      <c r="D178" t="str">
        <f>Sk.AR!$B$17</f>
        <v/>
      </c>
    </row>
    <row r="179" spans="1:4">
      <c r="A179" t="str">
        <f t="shared" si="8"/>
        <v>AS1</v>
      </c>
      <c r="B179" t="str">
        <f t="shared" si="7"/>
        <v/>
      </c>
      <c r="C179" t="str">
        <f>Sk.AS!$C$14</f>
        <v>AS1</v>
      </c>
      <c r="D179" t="str">
        <f>Sk.AS!$B$14</f>
        <v/>
      </c>
    </row>
    <row r="180" spans="1:4">
      <c r="A180" t="str">
        <f t="shared" si="8"/>
        <v>AS2</v>
      </c>
      <c r="B180" t="str">
        <f t="shared" si="7"/>
        <v/>
      </c>
      <c r="C180" t="str">
        <f>Sk.AS!$C$15</f>
        <v>AS2</v>
      </c>
      <c r="D180" t="str">
        <f>Sk.AS!$B$15</f>
        <v/>
      </c>
    </row>
    <row r="181" spans="1:4">
      <c r="A181" t="str">
        <f t="shared" si="8"/>
        <v>AS3</v>
      </c>
      <c r="B181" t="str">
        <f t="shared" si="7"/>
        <v/>
      </c>
      <c r="C181" t="str">
        <f>Sk.AS!$C$16</f>
        <v>AS3</v>
      </c>
      <c r="D181" t="str">
        <f>Sk.AS!$B$16</f>
        <v/>
      </c>
    </row>
    <row r="182" spans="1:4">
      <c r="A182" t="str">
        <f t="shared" si="8"/>
        <v>AS4</v>
      </c>
      <c r="B182" t="str">
        <f t="shared" si="7"/>
        <v/>
      </c>
      <c r="C182" t="str">
        <f>Sk.AS!$C$17</f>
        <v>AS4</v>
      </c>
      <c r="D182" t="str">
        <f>Sk.AS!$B$17</f>
        <v/>
      </c>
    </row>
    <row r="183" spans="1:4">
      <c r="A183" t="str">
        <f t="shared" si="8"/>
        <v>AT1</v>
      </c>
      <c r="B183" t="str">
        <f t="shared" si="7"/>
        <v/>
      </c>
      <c r="C183" t="str">
        <f>Sk.AT!$C$14</f>
        <v>AT1</v>
      </c>
      <c r="D183" t="str">
        <f>Sk.AT!$B$14</f>
        <v/>
      </c>
    </row>
    <row r="184" spans="1:4">
      <c r="A184" t="str">
        <f t="shared" si="8"/>
        <v>AT2</v>
      </c>
      <c r="B184" t="str">
        <f t="shared" si="7"/>
        <v/>
      </c>
      <c r="C184" t="str">
        <f>Sk.AT!$C$15</f>
        <v>AT2</v>
      </c>
      <c r="D184" t="str">
        <f>Sk.AT!$B$15</f>
        <v/>
      </c>
    </row>
    <row r="185" spans="1:4">
      <c r="A185" t="str">
        <f t="shared" si="8"/>
        <v>AT3</v>
      </c>
      <c r="B185" t="str">
        <f t="shared" si="7"/>
        <v/>
      </c>
      <c r="C185" t="str">
        <f>Sk.AT!$C$16</f>
        <v>AT3</v>
      </c>
      <c r="D185" t="str">
        <f>Sk.AT!$B$16</f>
        <v/>
      </c>
    </row>
    <row r="186" spans="1:4">
      <c r="A186" t="str">
        <f t="shared" si="8"/>
        <v>AT4</v>
      </c>
      <c r="B186" t="str">
        <f t="shared" si="7"/>
        <v/>
      </c>
      <c r="C186" t="str">
        <f>Sk.AT!$C$17</f>
        <v>AT4</v>
      </c>
      <c r="D186" t="str">
        <f>Sk.AT!$B$17</f>
        <v/>
      </c>
    </row>
    <row r="187" spans="1:4">
      <c r="A187" t="str">
        <f t="shared" si="8"/>
        <v>AU1</v>
      </c>
      <c r="B187" t="str">
        <f t="shared" si="7"/>
        <v/>
      </c>
      <c r="C187" t="str">
        <f>Sk.AU!$C$14</f>
        <v>AU1</v>
      </c>
      <c r="D187" t="str">
        <f>Sk.AU!$B$14</f>
        <v/>
      </c>
    </row>
    <row r="188" spans="1:4">
      <c r="A188" t="str">
        <f t="shared" si="8"/>
        <v>AU2</v>
      </c>
      <c r="B188" t="str">
        <f t="shared" si="7"/>
        <v/>
      </c>
      <c r="C188" t="str">
        <f>Sk.AU!$C$15</f>
        <v>AU2</v>
      </c>
      <c r="D188" t="str">
        <f>Sk.AU!$B$15</f>
        <v/>
      </c>
    </row>
    <row r="189" spans="1:4">
      <c r="A189" t="str">
        <f t="shared" si="8"/>
        <v>AU3</v>
      </c>
      <c r="B189" t="str">
        <f t="shared" si="7"/>
        <v/>
      </c>
      <c r="C189" t="str">
        <f>Sk.AU!$C$16</f>
        <v>AU3</v>
      </c>
      <c r="D189" t="str">
        <f>Sk.AU!$B$16</f>
        <v/>
      </c>
    </row>
    <row r="190" spans="1:4">
      <c r="A190" t="str">
        <f t="shared" si="8"/>
        <v>AU4</v>
      </c>
      <c r="B190" t="str">
        <f t="shared" si="7"/>
        <v/>
      </c>
      <c r="C190" t="str">
        <f>Sk.AU!$C$17</f>
        <v>AU4</v>
      </c>
      <c r="D190" t="str">
        <f>Sk.AU!$B$17</f>
        <v/>
      </c>
    </row>
    <row r="191" spans="1:4">
      <c r="A191" t="str">
        <f t="shared" si="8"/>
        <v>AV1</v>
      </c>
      <c r="B191" t="str">
        <f t="shared" si="7"/>
        <v/>
      </c>
      <c r="C191" t="str">
        <f>Sk.AV!$C$14</f>
        <v>AV1</v>
      </c>
      <c r="D191" t="str">
        <f>Sk.AV!$B$14</f>
        <v/>
      </c>
    </row>
    <row r="192" spans="1:4">
      <c r="A192" t="str">
        <f t="shared" si="8"/>
        <v>AV2</v>
      </c>
      <c r="B192" t="str">
        <f t="shared" si="7"/>
        <v/>
      </c>
      <c r="C192" t="str">
        <f>Sk.AV!$C$15</f>
        <v>AV2</v>
      </c>
      <c r="D192" t="str">
        <f>Sk.AV!$B$15</f>
        <v/>
      </c>
    </row>
    <row r="193" spans="1:4">
      <c r="A193" t="str">
        <f t="shared" si="8"/>
        <v>AV3</v>
      </c>
      <c r="B193" t="str">
        <f t="shared" si="7"/>
        <v/>
      </c>
      <c r="C193" t="str">
        <f>Sk.AV!$C$16</f>
        <v>AV3</v>
      </c>
      <c r="D193" t="str">
        <f>Sk.AV!$B$16</f>
        <v/>
      </c>
    </row>
    <row r="194" spans="1:4">
      <c r="A194" t="str">
        <f t="shared" si="8"/>
        <v>AV4</v>
      </c>
      <c r="B194" t="str">
        <f t="shared" si="7"/>
        <v/>
      </c>
      <c r="C194" t="str">
        <f>Sk.AV!$C$17</f>
        <v>AV4</v>
      </c>
      <c r="D194" t="str">
        <f>Sk.AV!$B$17</f>
        <v/>
      </c>
    </row>
    <row r="195" spans="1:4">
      <c r="A195" t="str">
        <f t="shared" si="8"/>
        <v>AW1</v>
      </c>
      <c r="B195" t="str">
        <f t="shared" ref="B195:B258" si="9">IF(TYPE(D195)&gt;4," - ",IF(OR(TRIM(D195)="",TRIM(D195)="-"),"",D195))</f>
        <v/>
      </c>
      <c r="C195" t="str">
        <f>Sk.AW!$C$14</f>
        <v>AW1</v>
      </c>
      <c r="D195" t="str">
        <f>Sk.AW!$B$14</f>
        <v/>
      </c>
    </row>
    <row r="196" spans="1:4">
      <c r="A196" t="str">
        <f t="shared" si="8"/>
        <v>AW2</v>
      </c>
      <c r="B196" t="str">
        <f t="shared" si="9"/>
        <v/>
      </c>
      <c r="C196" t="str">
        <f>Sk.AW!$C$15</f>
        <v>AW2</v>
      </c>
      <c r="D196" t="str">
        <f>Sk.AW!$B$15</f>
        <v/>
      </c>
    </row>
    <row r="197" spans="1:4">
      <c r="A197" t="str">
        <f t="shared" si="8"/>
        <v>AW3</v>
      </c>
      <c r="B197" t="str">
        <f t="shared" si="9"/>
        <v/>
      </c>
      <c r="C197" t="str">
        <f>Sk.AW!$C$16</f>
        <v>AW3</v>
      </c>
      <c r="D197" t="str">
        <f>Sk.AW!$B$16</f>
        <v/>
      </c>
    </row>
    <row r="198" spans="1:4">
      <c r="A198" t="str">
        <f t="shared" si="8"/>
        <v>AW4</v>
      </c>
      <c r="B198" t="str">
        <f t="shared" si="9"/>
        <v/>
      </c>
      <c r="C198" t="str">
        <f>Sk.AW!$C$17</f>
        <v>AW4</v>
      </c>
      <c r="D198" t="str">
        <f>Sk.AW!$B$17</f>
        <v/>
      </c>
    </row>
    <row r="199" spans="1:4">
      <c r="A199" t="str">
        <f t="shared" si="8"/>
        <v>AX1</v>
      </c>
      <c r="B199" t="str">
        <f t="shared" si="9"/>
        <v/>
      </c>
      <c r="C199" t="str">
        <f>Sk.AX!$C$14</f>
        <v>AX1</v>
      </c>
      <c r="D199" t="str">
        <f>Sk.AX!$B$14</f>
        <v/>
      </c>
    </row>
    <row r="200" spans="1:4">
      <c r="A200" t="str">
        <f t="shared" si="8"/>
        <v>AX2</v>
      </c>
      <c r="B200" t="str">
        <f t="shared" si="9"/>
        <v/>
      </c>
      <c r="C200" t="str">
        <f>Sk.AX!$C$15</f>
        <v>AX2</v>
      </c>
      <c r="D200" t="str">
        <f>Sk.AX!$B$15</f>
        <v/>
      </c>
    </row>
    <row r="201" spans="1:4">
      <c r="A201" t="str">
        <f t="shared" si="8"/>
        <v>AX3</v>
      </c>
      <c r="B201" t="str">
        <f t="shared" si="9"/>
        <v/>
      </c>
      <c r="C201" t="str">
        <f>Sk.AX!$C$16</f>
        <v>AX3</v>
      </c>
      <c r="D201" t="str">
        <f>Sk.AX!$B$16</f>
        <v/>
      </c>
    </row>
    <row r="202" spans="1:4">
      <c r="A202" t="str">
        <f t="shared" si="8"/>
        <v>AX4</v>
      </c>
      <c r="B202" t="str">
        <f t="shared" si="9"/>
        <v/>
      </c>
      <c r="C202" t="str">
        <f>Sk.AX!$C$17</f>
        <v>AX4</v>
      </c>
      <c r="D202" t="str">
        <f>Sk.AX!$B$17</f>
        <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5" t="str">
        <f>Sk.BI!$B$14</f>
        <v/>
      </c>
    </row>
    <row r="244" spans="1:4" ht="14.25">
      <c r="A244" t="str">
        <f t="shared" si="10"/>
        <v>BI2</v>
      </c>
      <c r="B244" t="str">
        <f t="shared" si="9"/>
        <v/>
      </c>
      <c r="C244" t="str">
        <f>Sk.BI!$C$15</f>
        <v>BI2</v>
      </c>
      <c r="D244" s="355" t="str">
        <f>Sk.BI!$B$15</f>
        <v/>
      </c>
    </row>
    <row r="245" spans="1:4" ht="14.25">
      <c r="A245" t="str">
        <f t="shared" si="10"/>
        <v>BI3</v>
      </c>
      <c r="B245" t="str">
        <f t="shared" si="9"/>
        <v/>
      </c>
      <c r="C245" t="str">
        <f>Sk.BI!$C$16</f>
        <v>BI3</v>
      </c>
      <c r="D245" s="355" t="str">
        <f>Sk.BI!$B$16</f>
        <v/>
      </c>
    </row>
    <row r="246" spans="1:4" ht="14.25">
      <c r="A246" t="str">
        <f t="shared" si="10"/>
        <v>BI4</v>
      </c>
      <c r="B246" t="str">
        <f t="shared" si="9"/>
        <v/>
      </c>
      <c r="C246" t="str">
        <f>Sk.BI!$C$17</f>
        <v>BI4</v>
      </c>
      <c r="D246" s="355" t="str">
        <f>Sk.BI!$B$17</f>
        <v/>
      </c>
    </row>
    <row r="247" spans="1:4" ht="14.25">
      <c r="A247" t="str">
        <f t="shared" si="10"/>
        <v>BJ1</v>
      </c>
      <c r="B247" t="str">
        <f t="shared" si="9"/>
        <v/>
      </c>
      <c r="C247" t="str">
        <f>Sk.BJ!$C$14</f>
        <v>BJ1</v>
      </c>
      <c r="D247" s="355" t="str">
        <f>Sk.BJ!$B$14</f>
        <v/>
      </c>
    </row>
    <row r="248" spans="1:4" ht="14.25">
      <c r="A248" t="str">
        <f t="shared" si="10"/>
        <v>BJ2</v>
      </c>
      <c r="B248" t="str">
        <f t="shared" si="9"/>
        <v/>
      </c>
      <c r="C248" t="str">
        <f>Sk.BJ!$C$15</f>
        <v>BJ2</v>
      </c>
      <c r="D248" s="355" t="str">
        <f>Sk.BJ!$B$15</f>
        <v/>
      </c>
    </row>
    <row r="249" spans="1:4" ht="14.25">
      <c r="A249" t="str">
        <f t="shared" si="10"/>
        <v>BJ3</v>
      </c>
      <c r="B249" t="str">
        <f t="shared" si="9"/>
        <v/>
      </c>
      <c r="C249" t="str">
        <f>Sk.BJ!$C$16</f>
        <v>BJ3</v>
      </c>
      <c r="D249" s="355" t="str">
        <f>Sk.BJ!$B$16</f>
        <v/>
      </c>
    </row>
    <row r="250" spans="1:4" ht="14.25">
      <c r="A250" t="str">
        <f t="shared" si="10"/>
        <v>BJ4</v>
      </c>
      <c r="B250" t="str">
        <f t="shared" si="9"/>
        <v/>
      </c>
      <c r="C250" t="str">
        <f>Sk.BJ!$C$17</f>
        <v>BJ4</v>
      </c>
      <c r="D250" s="355" t="str">
        <f>Sk.BJ!$B$17</f>
        <v/>
      </c>
    </row>
    <row r="251" spans="1:4" ht="14.25">
      <c r="A251" t="str">
        <f t="shared" si="10"/>
        <v>BK1</v>
      </c>
      <c r="B251" t="str">
        <f t="shared" si="9"/>
        <v/>
      </c>
      <c r="C251" t="str">
        <f>Sk.BK!$C$14</f>
        <v>BK1</v>
      </c>
      <c r="D251" s="355" t="str">
        <f>Sk.BK!$B$14</f>
        <v/>
      </c>
    </row>
    <row r="252" spans="1:4" ht="14.25">
      <c r="A252" t="str">
        <f t="shared" si="10"/>
        <v>BK2</v>
      </c>
      <c r="B252" t="str">
        <f t="shared" si="9"/>
        <v/>
      </c>
      <c r="C252" t="str">
        <f>Sk.BK!$C$15</f>
        <v>BK2</v>
      </c>
      <c r="D252" s="355" t="str">
        <f>Sk.BK!$B$15</f>
        <v/>
      </c>
    </row>
    <row r="253" spans="1:4" ht="14.25">
      <c r="A253" t="str">
        <f t="shared" si="10"/>
        <v>BK3</v>
      </c>
      <c r="B253" t="str">
        <f t="shared" si="9"/>
        <v/>
      </c>
      <c r="C253" t="str">
        <f>Sk.BK!$C$16</f>
        <v>BK3</v>
      </c>
      <c r="D253" s="355" t="str">
        <f>Sk.BK!$B$16</f>
        <v/>
      </c>
    </row>
    <row r="254" spans="1:4" ht="14.25">
      <c r="A254" t="str">
        <f t="shared" si="10"/>
        <v>BK4</v>
      </c>
      <c r="B254" t="str">
        <f t="shared" si="9"/>
        <v/>
      </c>
      <c r="C254" t="str">
        <f>Sk.BK!$C$17</f>
        <v>BK4</v>
      </c>
      <c r="D254" s="355" t="str">
        <f>Sk.BK!$B$17</f>
        <v/>
      </c>
    </row>
    <row r="255" spans="1:4" ht="14.25">
      <c r="A255" t="str">
        <f t="shared" si="10"/>
        <v>BL1</v>
      </c>
      <c r="B255" t="str">
        <f t="shared" si="9"/>
        <v/>
      </c>
      <c r="C255" t="str">
        <f>Sk.BL!$C$14</f>
        <v>BL1</v>
      </c>
      <c r="D255" s="355" t="str">
        <f>Sk.BL!$B$14</f>
        <v/>
      </c>
    </row>
    <row r="256" spans="1:4" ht="14.25">
      <c r="A256" t="str">
        <f t="shared" si="10"/>
        <v>BL2</v>
      </c>
      <c r="B256" t="str">
        <f t="shared" si="9"/>
        <v/>
      </c>
      <c r="C256" t="str">
        <f>Sk.BL!$C$15</f>
        <v>BL2</v>
      </c>
      <c r="D256" s="355" t="str">
        <f>Sk.BL!$B$15</f>
        <v/>
      </c>
    </row>
    <row r="257" spans="1:4" ht="14.25">
      <c r="A257" t="str">
        <f t="shared" si="10"/>
        <v>BL3</v>
      </c>
      <c r="B257" t="str">
        <f t="shared" si="9"/>
        <v/>
      </c>
      <c r="C257" t="str">
        <f>Sk.BL!$C$16</f>
        <v>BL3</v>
      </c>
      <c r="D257" s="355" t="str">
        <f>Sk.BL!$B$16</f>
        <v/>
      </c>
    </row>
    <row r="258" spans="1:4" ht="14.25">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5" customWidth="1"/>
    <col min="13" max="13" width="5.28515625" style="318" customWidth="1"/>
    <col min="14" max="14" width="28" style="325" customWidth="1"/>
    <col min="15" max="15" width="5.28515625" style="318" customWidth="1"/>
    <col min="16" max="16" width="28" style="325" customWidth="1"/>
    <col min="17" max="17" width="5.28515625" style="318" customWidth="1"/>
    <col min="18" max="18" width="2.7109375" customWidth="1"/>
    <col min="19" max="19" width="28" style="325" customWidth="1"/>
    <col min="20" max="20" width="5.28515625" style="318" customWidth="1"/>
    <col min="21" max="21" width="3.7109375" customWidth="1"/>
    <col min="22" max="22" width="2.7109375" customWidth="1"/>
    <col min="23" max="23" width="28" style="325" customWidth="1"/>
    <col min="24" max="24" width="5.28515625" style="318" customWidth="1"/>
    <col min="25" max="25" width="28" style="325" customWidth="1"/>
    <col min="26" max="26" width="5.28515625" style="318" customWidth="1"/>
    <col min="27" max="27" width="28" style="325" customWidth="1"/>
    <col min="28" max="28" width="5.28515625" style="318" customWidth="1"/>
    <col min="29" max="29" width="28" style="325" customWidth="1"/>
    <col min="30" max="30" width="2.7109375" customWidth="1"/>
    <col min="31" max="31" width="28" style="325" customWidth="1"/>
    <col min="32" max="32" width="5.28515625" style="318" customWidth="1"/>
    <col min="33" max="33" width="3.7109375" customWidth="1"/>
    <col min="34" max="34" width="2.7109375" customWidth="1"/>
    <col min="35" max="35" width="28" style="325" customWidth="1"/>
    <col min="36" max="36" width="5.28515625" style="318" customWidth="1"/>
    <col min="37" max="37" width="28" style="325" customWidth="1"/>
    <col min="38" max="38" width="5.28515625" style="318" customWidth="1"/>
    <col min="39" max="39" width="28" style="325" customWidth="1"/>
    <col min="40" max="40" width="5.28515625" style="318" customWidth="1"/>
    <col min="41" max="41" width="28" style="325" customWidth="1"/>
    <col min="42" max="42" width="5.28515625" style="318" customWidth="1"/>
    <col min="43" max="43" width="28" style="325" customWidth="1"/>
    <col min="44" max="44" width="5.28515625" style="318" customWidth="1"/>
    <col min="45" max="45" width="2.7109375" customWidth="1"/>
    <col min="46" max="46" width="28" style="325" customWidth="1"/>
    <col min="47" max="47" width="5.28515625" style="318" customWidth="1"/>
    <col min="48" max="48" width="28" style="325" customWidth="1"/>
    <col min="49" max="49" width="5.28515625" style="318" customWidth="1"/>
    <col min="50" max="50" width="28" style="325" customWidth="1"/>
    <col min="51" max="51" width="5.28515625" style="318" customWidth="1"/>
    <col min="52" max="52" width="28" style="325" customWidth="1"/>
    <col min="53" max="53" width="5.28515625" style="318" customWidth="1"/>
    <col min="54" max="54" width="28" style="325" customWidth="1"/>
    <col min="55" max="55" width="5.28515625" style="318" customWidth="1"/>
    <col min="56" max="56" width="28" style="325" customWidth="1"/>
    <col min="57" max="57" width="5.28515625" style="318" customWidth="1"/>
    <col min="58" max="58" width="2.7109375" customWidth="1"/>
    <col min="59" max="59" width="28" style="325" customWidth="1"/>
    <col min="60" max="60" width="5.28515625" style="318" customWidth="1"/>
    <col min="61" max="61" width="28" style="325" customWidth="1"/>
    <col min="62" max="62" width="5.28515625" style="318" customWidth="1"/>
    <col min="63" max="63" width="28" style="325" customWidth="1"/>
    <col min="64" max="64" width="5.28515625" style="318" customWidth="1"/>
    <col min="65" max="65" width="28" style="325" customWidth="1"/>
    <col min="66" max="66" width="5.28515625" style="318" customWidth="1"/>
    <col min="67" max="67" width="28" style="325" customWidth="1"/>
    <col min="68" max="68" width="5.28515625" style="318" customWidth="1"/>
    <col min="69" max="70" width="28" style="325" customWidth="1"/>
    <col min="71" max="71" width="2.7109375" customWidth="1"/>
    <col min="72" max="72" width="28" style="325" customWidth="1"/>
    <col min="73" max="73" width="5.28515625" style="318" customWidth="1"/>
    <col min="74" max="74" width="25.140625" style="318" customWidth="1"/>
    <col min="75" max="75" width="5.140625" style="318" customWidth="1"/>
    <col min="76" max="76" width="28" style="325" customWidth="1"/>
    <col min="77" max="77" width="5.28515625" style="318" customWidth="1"/>
    <col min="78" max="78" width="28" style="325" customWidth="1"/>
    <col min="79" max="79" width="5.28515625" style="318" customWidth="1"/>
    <col min="80" max="80" width="28" style="325" customWidth="1"/>
    <col min="81" max="81" width="5.28515625" style="318" customWidth="1"/>
    <col min="82" max="82" width="28" style="325" customWidth="1"/>
    <col min="83" max="83" width="5.28515625" style="318" customWidth="1"/>
    <col min="84" max="85" width="28" style="325" customWidth="1"/>
  </cols>
  <sheetData>
    <row r="1" spans="1:85" ht="22.15"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6" customHeight="1" thickBot="1">
      <c r="A2" s="10" t="s">
        <v>123</v>
      </c>
      <c r="B2" s="10" t="s">
        <v>336</v>
      </c>
      <c r="C2" s="10" t="s">
        <v>292</v>
      </c>
      <c r="D2" s="10" t="s">
        <v>337</v>
      </c>
      <c r="E2" s="15">
        <f ca="1">Start.listina!O7</f>
        <v>43</v>
      </c>
      <c r="F2" s="15">
        <f ca="1">IF(MOD($E$2,2)&gt;0,0,1)</f>
        <v>0</v>
      </c>
      <c r="G2" s="15">
        <f ca="1">E2*2</f>
        <v>86</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1175</v>
      </c>
      <c r="BT2" s="323">
        <v>64</v>
      </c>
      <c r="BU2" s="323"/>
      <c r="BV2" s="323">
        <v>32</v>
      </c>
      <c r="BW2" s="323"/>
      <c r="BX2" s="323">
        <v>16</v>
      </c>
      <c r="BY2" s="323"/>
      <c r="BZ2" s="323">
        <v>8</v>
      </c>
      <c r="CA2" s="323"/>
      <c r="CB2" s="323">
        <v>4</v>
      </c>
      <c r="CC2" s="323"/>
      <c r="CD2" s="323">
        <v>2</v>
      </c>
      <c r="CE2" s="323"/>
      <c r="CF2" s="323">
        <v>1</v>
      </c>
      <c r="CG2" s="323" t="s">
        <v>340</v>
      </c>
    </row>
    <row r="3" spans="1:85">
      <c r="A3" s="2">
        <f t="shared" ref="A3:A66" ca="1" si="0">E3+F3</f>
        <v>1</v>
      </c>
      <c r="B3" s="61" t="str">
        <f ca="1">IF(E3&gt;$G$2," - ",D3)</f>
        <v>1 Carreau Brno - Michálek Ivo</v>
      </c>
      <c r="C3" s="62" t="str">
        <f ca="1">IF(E3&gt;$G$2,"",Nasazení!B3)</f>
        <v>A1</v>
      </c>
      <c r="D3" s="61" t="str">
        <f ca="1">IF(TYPE(VLOOKUP(C3,Výsledky_skupin!$A$3:$B$258,2,0))&gt;4," -",VLOOKUP(C3,Výsledky_skupin!$A$3:$B$258,2,0))</f>
        <v>1 Carreau Brno - Michálek Ivo</v>
      </c>
      <c r="E3" s="2">
        <v>1</v>
      </c>
      <c r="F3">
        <f t="shared" ref="F3:F66" ca="1" si="1">IF(E3&gt;$E$2,IF($F$2&gt;0,IF(MOD(E3,2)=0,-1,1),0),0)</f>
        <v>0</v>
      </c>
      <c r="I3" s="325" t="str">
        <f ca="1">IF(OR(TRIM(N3)="-",TRIM(N3)="")," ",N3)</f>
        <v xml:space="preserve"> </v>
      </c>
      <c r="L3" s="325" t="str">
        <f ca="1">VLOOKUP($A3,'KO4'!$G$6:$H$7,2,0)</f>
        <v xml:space="preserve"> </v>
      </c>
      <c r="N3" s="325" t="str">
        <f ca="1">VLOOKUP($A3,'KO4'!$K$6:$L$7,2,0)</f>
        <v xml:space="preserve"> </v>
      </c>
      <c r="W3" s="325" t="str">
        <f ca="1">VLOOKUP($A3,'KO8'!$G$6:$H$15,2,0)</f>
        <v xml:space="preserve"> </v>
      </c>
      <c r="X3" s="318">
        <f ca="1">VLOOKUP($A3,'KO8'!$G$6:$I$15,3,0)</f>
        <v>0</v>
      </c>
      <c r="Y3" s="325" t="str">
        <f ca="1">VLOOKUP($A3,'KO8'!$K$10:$L$11,2,0)</f>
        <v xml:space="preserve"> </v>
      </c>
      <c r="Z3" s="318">
        <f ca="1">VLOOKUP($A3,'KO8'!$K$10:$M$11,3,0)</f>
        <v>0</v>
      </c>
      <c r="AA3" s="325" t="str">
        <f ca="1">VLOOKUP($A3,'KO8'!$O$10:$P$11,2,0)</f>
        <v xml:space="preserve"> </v>
      </c>
      <c r="AI3" s="325" t="str">
        <f ca="1">VLOOKUP($A3,'KO16'!$G$6:$H$31,2,0)</f>
        <v xml:space="preserve"> </v>
      </c>
      <c r="AJ3" s="318">
        <f ca="1">VLOOKUP($A3,'KO16'!$G$6:$I$31,3,0)</f>
        <v>0</v>
      </c>
      <c r="AK3" s="325" t="str">
        <f ca="1">VLOOKUP($A3,'KO16'!$K$10:$L$27,2,0)</f>
        <v xml:space="preserve"> </v>
      </c>
      <c r="AL3" s="318">
        <f ca="1">VLOOKUP($A3,'KO16'!$K$10:$M$27,3,0)</f>
        <v>0</v>
      </c>
      <c r="AM3" s="325" t="str">
        <f ca="1">VLOOKUP($A3,'KO16'!$O$18:$P$19,2,0)</f>
        <v xml:space="preserve"> </v>
      </c>
      <c r="AN3" s="318">
        <f ca="1">VLOOKUP($A3,'KO16'!$O$18:$Q$19,3,0)</f>
        <v>0</v>
      </c>
      <c r="AO3" s="325" t="str">
        <f ca="1">VLOOKUP($A3,'KO16'!$S$18:$T$19,2,0)</f>
        <v xml:space="preserve"> </v>
      </c>
      <c r="AT3" s="325" t="str">
        <f ca="1">VLOOKUP($A3,'KO32'!$G$6:$H$63,2,0)</f>
        <v xml:space="preserve"> </v>
      </c>
      <c r="AU3" s="318">
        <f ca="1">VLOOKUP($A3,'KO32'!$G$6:$I$63,3,0)</f>
        <v>0</v>
      </c>
      <c r="AV3" s="325" t="str">
        <f ca="1">VLOOKUP($A3,'KO32'!$K$10:$L$59,2,0)</f>
        <v xml:space="preserve"> </v>
      </c>
      <c r="AW3" s="318">
        <f ca="1">VLOOKUP($A3,'KO32'!$K$10:$M$59,3,0)</f>
        <v>0</v>
      </c>
      <c r="AX3" s="325" t="str">
        <f ca="1">VLOOKUP($A3,'KO32'!$O$18:$P$51,2,0)</f>
        <v xml:space="preserve"> </v>
      </c>
      <c r="AY3" s="318">
        <f ca="1">VLOOKUP($A3,'KO32'!$O$18:$Q$51,3,0)</f>
        <v>0</v>
      </c>
      <c r="AZ3" s="325" t="str">
        <f ca="1">VLOOKUP($A3,'KO32'!$S$34:$T$35,2,0)</f>
        <v xml:space="preserve"> </v>
      </c>
      <c r="BA3" s="318">
        <f ca="1">VLOOKUP($A3,'KO32'!$S$34:$U$35,3,0)</f>
        <v>0</v>
      </c>
      <c r="BB3" s="325" t="str">
        <f ca="1">VLOOKUP($A3,'KO32'!$W$34:$X$35,2,0)</f>
        <v xml:space="preserve"> </v>
      </c>
      <c r="BG3" s="325" t="str">
        <f ca="1">VLOOKUP($A3,'KO64'!$G$6:$H$129,2,0)</f>
        <v xml:space="preserve"> </v>
      </c>
      <c r="BH3" s="318">
        <f ca="1">VLOOKUP($A3,'KO64'!$G$6:$I$129,3,0)</f>
        <v>0</v>
      </c>
      <c r="BI3" s="325" t="str">
        <f ca="1">VLOOKUP($A3,'KO64'!$K$10:$L$123,2,0)</f>
        <v xml:space="preserve"> </v>
      </c>
      <c r="BJ3" s="318">
        <f ca="1">VLOOKUP($A3,'KO64'!$K$10:$M$123,3,0)</f>
        <v>0</v>
      </c>
      <c r="BK3" s="325" t="str">
        <f ca="1">VLOOKUP($A3,'KO64'!$O$18:$P$115,2,0)</f>
        <v xml:space="preserve"> </v>
      </c>
      <c r="BL3" s="318">
        <f ca="1">VLOOKUP($A3,'KO64'!$O$18:$Q$115,3,0)</f>
        <v>0</v>
      </c>
      <c r="BM3" s="325" t="str">
        <f ca="1">VLOOKUP($A3,'KO64'!$S$34:$T$99,2,0)</f>
        <v xml:space="preserve"> </v>
      </c>
      <c r="BN3" s="318">
        <f ca="1">VLOOKUP($A3,'KO64'!$S$34:$U$99,3,0)</f>
        <v>0</v>
      </c>
      <c r="BO3" s="325" t="str">
        <f ca="1">VLOOKUP($A3,'KO64'!$W$66:$X$67,2,0)</f>
        <v xml:space="preserve"> </v>
      </c>
      <c r="BP3" s="318">
        <f ca="1">VLOOKUP($A3,'KO64'!$W$66:$Y$67,3,0)</f>
        <v>0</v>
      </c>
      <c r="BQ3" s="325" t="str">
        <f ca="1">VLOOKUP($A3,'KO64'!$AA$66:$AB$67,2,0)</f>
        <v xml:space="preserve"> </v>
      </c>
      <c r="BT3" s="325" t="str">
        <f ca="1">VLOOKUP($A21,'KO128'!$G$6:$H$257,2,0)</f>
        <v>19 1. KPK Vrchlabí - Srnský Lubomír</v>
      </c>
      <c r="BU3" s="318">
        <f ca="1">VLOOKUP($A21,'KO128'!$G$6:$I$257,3,0)</f>
        <v>13</v>
      </c>
      <c r="BV3" s="325" t="str">
        <f ca="1">VLOOKUP($A3,'KO128'!$G$6:$H$129,2,0)</f>
        <v>1 Carreau Brno - Michálek Ivo</v>
      </c>
      <c r="BW3" s="318">
        <f ca="1">VLOOKUP($A3,'KO128'!$G$6:$I$129,3,0)</f>
        <v>13</v>
      </c>
      <c r="BX3" s="325" t="str">
        <f ca="1">VLOOKUP($A3,'KO128'!$K$10:$L$123,2,0)</f>
        <v>1 Carreau Brno - Michálek Ivo</v>
      </c>
      <c r="BY3" s="318">
        <f ca="1">VLOOKUP($A3,'KO128'!$K$10:$M$123,3,0)</f>
        <v>11</v>
      </c>
      <c r="BZ3" s="325" t="str">
        <f ca="1">VLOOKUP($A3,'KO128'!$O$18:$P$115,2,0)</f>
        <v>33 1. KPK Vrchlabí - Brázda Vladimír</v>
      </c>
      <c r="CA3" s="318">
        <f ca="1">VLOOKUP($A3,'KO128'!$O$18:$Q$115,3,0)</f>
        <v>13</v>
      </c>
      <c r="CB3" s="325" t="str">
        <f ca="1">VLOOKUP($A3,'KO128'!$S$34:$T$99,2,0)</f>
        <v>33 1. KPK Vrchlabí - Brázda Vladimír</v>
      </c>
      <c r="CC3" s="318">
        <f ca="1">VLOOKUP($A3,'KO128'!$S$34:$U$99,3,0)</f>
        <v>13</v>
      </c>
      <c r="CD3" s="325" t="str">
        <f ca="1">VLOOKUP($A3,'KO128'!$W$66:$X$67,2,0)</f>
        <v>33 1. KPK Vrchlabí - Brázda Vladimír</v>
      </c>
      <c r="CE3" s="318">
        <f ca="1">VLOOKUP($A3,'KO128'!$W$66:$Y$67,3,0)</f>
        <v>12</v>
      </c>
      <c r="CF3" s="325" t="str">
        <f ca="1">VLOOKUP($A3,'KO64'!$AA$66:$AB$67,2,0)</f>
        <v xml:space="preserve"> </v>
      </c>
    </row>
    <row r="4" spans="1:85">
      <c r="A4" s="2">
        <f t="shared" ca="1" si="0"/>
        <v>2</v>
      </c>
      <c r="B4" s="61" t="str">
        <f ca="1">IF(E4&gt;$G$2," - ",D4)</f>
        <v>2 PC Sokol Lipník - Vavrovič Petr ml.</v>
      </c>
      <c r="C4" s="62" t="str">
        <f ca="1">IF(E4&gt;$G$2,"",Nasazení!B4)</f>
        <v>B1</v>
      </c>
      <c r="D4" s="61" t="str">
        <f ca="1">IF(TYPE(VLOOKUP(C4,Výsledky_skupin!$A$3:$B$258,2,0))&gt;4," -",VLOOKUP(C4,Výsledky_skupin!$A$3:$B$258,2,0))</f>
        <v>2 PC Sokol Lipník - Vavrovič Petr ml.</v>
      </c>
      <c r="E4" s="2">
        <v>2</v>
      </c>
      <c r="F4">
        <f t="shared" ca="1" si="1"/>
        <v>0</v>
      </c>
      <c r="I4" s="325" t="str">
        <f ca="1">IF(OR(TRIM(N4)="-",TRIM(N4)="")," ",N4)</f>
        <v xml:space="preserve"> </v>
      </c>
      <c r="L4" s="325" t="str">
        <f ca="1">VLOOKUP($A4,'KO4'!$G$6:$H$7,2,0)</f>
        <v xml:space="preserve"> </v>
      </c>
      <c r="N4" s="325" t="str">
        <f ca="1">VLOOKUP($A4,'KO4'!$K$6:$L$7,2,0)</f>
        <v xml:space="preserve"> </v>
      </c>
      <c r="W4" s="325" t="str">
        <f ca="1">VLOOKUP($A4,'KO8'!$G$6:$H$15,2,0)</f>
        <v xml:space="preserve"> </v>
      </c>
      <c r="X4" s="318">
        <f ca="1">VLOOKUP($A4,'KO8'!$G$6:$I$15,3,0)</f>
        <v>0</v>
      </c>
      <c r="Y4" s="325" t="str">
        <f ca="1">VLOOKUP($A4,'KO8'!$K$10:$L$11,2,0)</f>
        <v xml:space="preserve"> </v>
      </c>
      <c r="Z4" s="318">
        <f ca="1">VLOOKUP($A4,'KO8'!$K$10:$M$11,3,0)</f>
        <v>0</v>
      </c>
      <c r="AA4" s="325" t="str">
        <f ca="1">VLOOKUP($A4,'KO8'!$O$10:$P$11,2,0)</f>
        <v xml:space="preserve"> </v>
      </c>
      <c r="AI4" s="325" t="str">
        <f ca="1">VLOOKUP($A4,'KO16'!$G$6:$H$31,2,0)</f>
        <v xml:space="preserve"> </v>
      </c>
      <c r="AJ4" s="318">
        <f ca="1">VLOOKUP($A4,'KO16'!$G$6:$I$31,3,0)</f>
        <v>0</v>
      </c>
      <c r="AK4" s="325" t="str">
        <f ca="1">VLOOKUP($A4,'KO16'!$K$10:$L$27,2,0)</f>
        <v xml:space="preserve"> </v>
      </c>
      <c r="AL4" s="318">
        <f ca="1">VLOOKUP($A4,'KO16'!$K$10:$M$27,3,0)</f>
        <v>0</v>
      </c>
      <c r="AM4" s="325" t="str">
        <f ca="1">VLOOKUP($A4,'KO16'!$O$18:$P$19,2,0)</f>
        <v xml:space="preserve"> </v>
      </c>
      <c r="AN4" s="318">
        <f ca="1">VLOOKUP($A4,'KO16'!$O$18:$Q$19,3,0)</f>
        <v>0</v>
      </c>
      <c r="AO4" s="325" t="str">
        <f ca="1">VLOOKUP($A4,'KO16'!$S$18:$T$19,2,0)</f>
        <v xml:space="preserve"> </v>
      </c>
      <c r="AT4" s="325" t="str">
        <f ca="1">VLOOKUP($A4,'KO32'!$G$6:$H$63,2,0)</f>
        <v xml:space="preserve"> </v>
      </c>
      <c r="AU4" s="318">
        <f ca="1">VLOOKUP($A4,'KO32'!$G$6:$I$63,3,0)</f>
        <v>0</v>
      </c>
      <c r="AV4" s="325" t="str">
        <f ca="1">VLOOKUP($A4,'KO32'!$K$10:$L$59,2,0)</f>
        <v xml:space="preserve"> </v>
      </c>
      <c r="AW4" s="318">
        <f ca="1">VLOOKUP($A4,'KO32'!$K$10:$M$59,3,0)</f>
        <v>0</v>
      </c>
      <c r="AX4" s="325" t="str">
        <f ca="1">VLOOKUP($A4,'KO32'!$O$18:$P$51,2,0)</f>
        <v xml:space="preserve"> </v>
      </c>
      <c r="AY4" s="318">
        <f ca="1">VLOOKUP($A4,'KO32'!$O$18:$Q$51,3,0)</f>
        <v>0</v>
      </c>
      <c r="AZ4" s="325" t="str">
        <f ca="1">VLOOKUP($A4,'KO32'!$S$34:$T$35,2,0)</f>
        <v xml:space="preserve"> </v>
      </c>
      <c r="BA4" s="318">
        <f ca="1">VLOOKUP($A4,'KO32'!$S$34:$U$35,3,0)</f>
        <v>0</v>
      </c>
      <c r="BB4" s="325" t="str">
        <f ca="1">VLOOKUP($A4,'KO32'!$W$34:$X$35,2,0)</f>
        <v xml:space="preserve"> </v>
      </c>
      <c r="BG4" s="325" t="str">
        <f ca="1">VLOOKUP($A4,'KO64'!$G$6:$H$129,2,0)</f>
        <v xml:space="preserve"> </v>
      </c>
      <c r="BH4" s="318">
        <f ca="1">VLOOKUP($A4,'KO64'!$G$6:$I$129,3,0)</f>
        <v>0</v>
      </c>
      <c r="BI4" s="325" t="str">
        <f ca="1">VLOOKUP($A4,'KO64'!$K$10:$L$123,2,0)</f>
        <v xml:space="preserve"> </v>
      </c>
      <c r="BJ4" s="318">
        <f ca="1">VLOOKUP($A4,'KO64'!$K$10:$M$123,3,0)</f>
        <v>0</v>
      </c>
      <c r="BK4" s="325" t="str">
        <f ca="1">VLOOKUP($A4,'KO64'!$O$18:$P$115,2,0)</f>
        <v xml:space="preserve"> </v>
      </c>
      <c r="BL4" s="318">
        <f ca="1">VLOOKUP($A4,'KO64'!$O$18:$Q$115,3,0)</f>
        <v>0</v>
      </c>
      <c r="BM4" s="325" t="str">
        <f ca="1">VLOOKUP($A4,'KO64'!$S$34:$T$99,2,0)</f>
        <v xml:space="preserve"> </v>
      </c>
      <c r="BN4" s="318">
        <f ca="1">VLOOKUP($A4,'KO64'!$S$34:$U$99,3,0)</f>
        <v>0</v>
      </c>
      <c r="BO4" s="325" t="str">
        <f ca="1">VLOOKUP($A4,'KO64'!$W$66:$X$67,2,0)</f>
        <v xml:space="preserve"> </v>
      </c>
      <c r="BP4" s="318">
        <f ca="1">VLOOKUP($A4,'KO64'!$W$66:$Y$67,3,0)</f>
        <v>0</v>
      </c>
      <c r="BQ4" s="325" t="str">
        <f ca="1">VLOOKUP($A4,'KO64'!$AA$66:$AB$67,2,0)</f>
        <v xml:space="preserve"> </v>
      </c>
      <c r="BT4" s="325" t="str">
        <f ca="1">VLOOKUP($A22,'KO128'!$G$6:$H$257,2,0)</f>
        <v>20 SKP Hranice VI-Valšovice - Jakeš Zbyněk</v>
      </c>
      <c r="BU4" s="318">
        <f ca="1">VLOOKUP($A22,'KO128'!$G$6:$I$257,3,0)</f>
        <v>11</v>
      </c>
      <c r="BV4" s="325" t="e">
        <f ca="1">VLOOKUP($A4,'KO128'!$G$6:$H$129,2,0)</f>
        <v>#N/A</v>
      </c>
      <c r="BW4" s="318" t="e">
        <f ca="1">VLOOKUP($A4,'KO128'!$G$6:$I$129,3,0)</f>
        <v>#N/A</v>
      </c>
      <c r="BX4" s="325" t="e">
        <f ca="1">VLOOKUP($A4,'KO128'!$K$10:$L$123,2,0)</f>
        <v>#N/A</v>
      </c>
      <c r="BY4" s="318" t="e">
        <f ca="1">VLOOKUP($A4,'KO128'!$K$10:$M$123,3,0)</f>
        <v>#N/A</v>
      </c>
      <c r="BZ4" s="325" t="e">
        <f ca="1">VLOOKUP($A4,'KO128'!$O$18:$P$115,2,0)</f>
        <v>#N/A</v>
      </c>
      <c r="CA4" s="318" t="e">
        <f ca="1">VLOOKUP($A4,'KO128'!$O$18:$Q$115,3,0)</f>
        <v>#N/A</v>
      </c>
      <c r="CB4" s="325" t="e">
        <f ca="1">VLOOKUP($A4,'KO128'!$S$34:$T$99,2,0)</f>
        <v>#N/A</v>
      </c>
      <c r="CC4" s="318" t="e">
        <f ca="1">VLOOKUP($A4,'KO128'!$S$34:$U$99,3,0)</f>
        <v>#N/A</v>
      </c>
      <c r="CD4" s="325" t="e">
        <f ca="1">VLOOKUP($A4,'KO128'!$W$66:$X$67,2,0)</f>
        <v>#N/A</v>
      </c>
      <c r="CE4" s="318" t="e">
        <f ca="1">VLOOKUP($A4,'KO128'!$W$66:$Y$67,3,0)</f>
        <v>#N/A</v>
      </c>
      <c r="CF4" s="325" t="str">
        <f ca="1">VLOOKUP($A4,'KO64'!$AA$66:$AB$67,2,0)</f>
        <v xml:space="preserve"> </v>
      </c>
    </row>
    <row r="5" spans="1:85">
      <c r="A5" s="2">
        <f t="shared" ca="1" si="0"/>
        <v>3</v>
      </c>
      <c r="B5" s="61" t="str">
        <f t="shared" ref="B5:B12" ca="1" si="2">IF(E5&gt;$G$2," - ",D5)</f>
        <v>3 Carreau Brno - Michálek Tomáš</v>
      </c>
      <c r="C5" s="62" t="str">
        <f ca="1">IF(E5&gt;$G$2,"",Nasazení!B5)</f>
        <v>C1</v>
      </c>
      <c r="D5" s="61" t="str">
        <f ca="1">IF(TYPE(VLOOKUP(C5,Výsledky_skupin!$A$3:$B$258,2,0))&gt;4," -",VLOOKUP(C5,Výsledky_skupin!$A$3:$B$258,2,0))</f>
        <v>3 Carreau Brno - Michálek Tomáš</v>
      </c>
      <c r="E5" s="2">
        <v>3</v>
      </c>
      <c r="F5">
        <f t="shared" ca="1" si="1"/>
        <v>0</v>
      </c>
      <c r="I5" s="325" t="str">
        <f ca="1">IF(OR(TRIM(P5)="-",TRIM(P5)="")," ",P5)</f>
        <v xml:space="preserve"> </v>
      </c>
      <c r="P5" s="325" t="str">
        <f ca="1">VLOOKUP($A5,'KO4'!$K$16:$L$17,2,0)</f>
        <v xml:space="preserve"> </v>
      </c>
      <c r="W5" s="325" t="str">
        <f ca="1">VLOOKUP($A5,'KO8'!$G$6:$H$15,2,0)</f>
        <v xml:space="preserve"> </v>
      </c>
      <c r="X5" s="318">
        <f ca="1">VLOOKUP($A5,'KO8'!$G$6:$I$15,3,0)</f>
        <v>0</v>
      </c>
      <c r="Y5" s="325" t="str">
        <f ca="1">VLOOKUP($A5,'KO8'!$K$10:$L$21,2,0)</f>
        <v xml:space="preserve"> </v>
      </c>
      <c r="Z5" s="318">
        <f ca="1">VLOOKUP($A5,'KO8'!$K$10:$M$21,3,0)</f>
        <v>0</v>
      </c>
      <c r="AA5" s="325" t="str">
        <f ca="1">VLOOKUP($A5,'KO8'!$O$10:$P$21,2,0)</f>
        <v xml:space="preserve"> </v>
      </c>
      <c r="AC5" s="325" t="str">
        <f ca="1">VLOOKUP($A5,'KO8'!$O$20:$P$21,2,0)</f>
        <v xml:space="preserve"> </v>
      </c>
      <c r="AI5" s="325" t="str">
        <f ca="1">VLOOKUP($A5,'KO16'!$G$6:$H$31,2,0)</f>
        <v xml:space="preserve"> </v>
      </c>
      <c r="AJ5" s="318">
        <f ca="1">VLOOKUP($A5,'KO16'!$G$6:$I$31,3,0)</f>
        <v>0</v>
      </c>
      <c r="AK5" s="325" t="str">
        <f ca="1">VLOOKUP($A5,'KO16'!$K$10:$L$27,2,0)</f>
        <v xml:space="preserve"> </v>
      </c>
      <c r="AL5" s="318">
        <f ca="1">VLOOKUP($A5,'KO16'!$K$10:$M$27,3,0)</f>
        <v>0</v>
      </c>
      <c r="AM5" s="325" t="str">
        <f ca="1">VLOOKUP($A5,'KO16'!$O$18:$P$33,2,0)</f>
        <v xml:space="preserve"> </v>
      </c>
      <c r="AN5" s="318">
        <f ca="1">VLOOKUP($A5,'KO16'!$O$18:$Q$33,3,0)</f>
        <v>0</v>
      </c>
      <c r="AQ5" s="325" t="str">
        <f ca="1">VLOOKUP($A5,'KO16'!$S$32:$T$33,2,0)</f>
        <v xml:space="preserve"> </v>
      </c>
      <c r="AT5" s="325" t="str">
        <f ca="1">VLOOKUP($A5,'KO32'!$G$6:$H$63,2,0)</f>
        <v xml:space="preserve"> </v>
      </c>
      <c r="AU5" s="318">
        <f ca="1">VLOOKUP($A5,'KO32'!$G$6:$I$63,3,0)</f>
        <v>0</v>
      </c>
      <c r="AV5" s="325" t="str">
        <f ca="1">VLOOKUP($A5,'KO32'!$K$10:$L$59,2,0)</f>
        <v xml:space="preserve"> </v>
      </c>
      <c r="AW5" s="318">
        <f ca="1">VLOOKUP($A5,'KO32'!$K$10:$M$59,3,0)</f>
        <v>0</v>
      </c>
      <c r="AX5" s="325" t="str">
        <f ca="1">VLOOKUP($A5,'KO32'!$O$18:$P$51,2,0)</f>
        <v xml:space="preserve"> </v>
      </c>
      <c r="AY5" s="318">
        <f ca="1">VLOOKUP($A5,'KO32'!$O$18:$Q$51,3,0)</f>
        <v>0</v>
      </c>
      <c r="AZ5" s="325" t="str">
        <f ca="1">VLOOKUP($A5,'KO32'!$S$34:$T$57,2,0)</f>
        <v xml:space="preserve"> </v>
      </c>
      <c r="BA5" s="318">
        <f ca="1">VLOOKUP($A5,'KO32'!$S$34:$U$57,3,0)</f>
        <v>0</v>
      </c>
      <c r="BD5" s="325" t="str">
        <f ca="1">VLOOKUP($A5,'KO32'!$W$56:$X$57,2,0)</f>
        <v xml:space="preserve"> </v>
      </c>
      <c r="BG5" s="325" t="str">
        <f ca="1">VLOOKUP($A5,'KO64'!$G$6:$H$129,2,0)</f>
        <v xml:space="preserve"> </v>
      </c>
      <c r="BH5" s="318">
        <f ca="1">VLOOKUP($A5,'KO64'!$G$6:$I$129,3,0)</f>
        <v>0</v>
      </c>
      <c r="BI5" s="325" t="str">
        <f ca="1">VLOOKUP($A5,'KO64'!$K$10:$L$123,2,0)</f>
        <v xml:space="preserve"> </v>
      </c>
      <c r="BJ5" s="318">
        <f ca="1">VLOOKUP($A5,'KO64'!$K$10:$M$123,3,0)</f>
        <v>0</v>
      </c>
      <c r="BK5" s="325" t="str">
        <f ca="1">VLOOKUP($A5,'KO64'!$O$18:$P$115,2,0)</f>
        <v xml:space="preserve"> </v>
      </c>
      <c r="BL5" s="318">
        <f ca="1">VLOOKUP($A5,'KO64'!$O$18:$Q$115,3,0)</f>
        <v>0</v>
      </c>
      <c r="BM5" s="325" t="str">
        <f ca="1">VLOOKUP($A5,'KO64'!$S$34:$T$99,2,0)</f>
        <v xml:space="preserve"> </v>
      </c>
      <c r="BN5" s="318">
        <f ca="1">VLOOKUP($A5,'KO64'!$S$34:$U$99,3,0)</f>
        <v>0</v>
      </c>
      <c r="BO5" s="325" t="str">
        <f ca="1">VLOOKUP($A5,'KO64'!$W$66:$X$107,2,0)</f>
        <v xml:space="preserve"> </v>
      </c>
      <c r="BP5" s="318">
        <f ca="1">VLOOKUP($A5,'KO64'!$W$66:$Y$107,3,0)</f>
        <v>0</v>
      </c>
      <c r="BR5" s="325" t="str">
        <f ca="1">VLOOKUP($A5,'KO64'!$AA$106:$AB$107,2,0)</f>
        <v xml:space="preserve"> </v>
      </c>
      <c r="BT5" s="325" t="str">
        <f ca="1">VLOOKUP($A23,'KO128'!$G$6:$H$257,2,0)</f>
        <v>66 PK 1293 Vojnův Městec - Fereš Pavel</v>
      </c>
      <c r="BU5" s="318">
        <f ca="1">VLOOKUP($A23,'KO128'!$G$6:$I$257,3,0)</f>
        <v>13</v>
      </c>
      <c r="BV5" s="325" t="e">
        <f ca="1">VLOOKUP($A5,'KO128'!$G$6:$H$129,2,0)</f>
        <v>#N/A</v>
      </c>
      <c r="BW5" s="318" t="e">
        <f ca="1">VLOOKUP($A5,'KO128'!$G$6:$I$129,3,0)</f>
        <v>#N/A</v>
      </c>
      <c r="BX5" s="325" t="e">
        <f ca="1">VLOOKUP($A5,'KO128'!$K$10:$L$123,2,0)</f>
        <v>#N/A</v>
      </c>
      <c r="BY5" s="318" t="e">
        <f ca="1">VLOOKUP($A5,'KO128'!$K$10:$M$123,3,0)</f>
        <v>#N/A</v>
      </c>
      <c r="BZ5" s="325" t="e">
        <f ca="1">VLOOKUP($A5,'KO128'!$O$18:$P$115,2,0)</f>
        <v>#N/A</v>
      </c>
      <c r="CA5" s="318" t="e">
        <f ca="1">VLOOKUP($A5,'KO128'!$O$18:$Q$115,3,0)</f>
        <v>#N/A</v>
      </c>
      <c r="CB5" s="325" t="e">
        <f ca="1">VLOOKUP($A5,'KO128'!$S$34:$T$99,2,0)</f>
        <v>#N/A</v>
      </c>
      <c r="CC5" s="318" t="e">
        <f ca="1">VLOOKUP($A5,'KO128'!$S$34:$U$99,3,0)</f>
        <v>#N/A</v>
      </c>
      <c r="CD5" s="325" t="e">
        <f ca="1">VLOOKUP($A5,'KO128'!$W$66:$X$67,2,0)</f>
        <v>#N/A</v>
      </c>
      <c r="CE5" s="318" t="e">
        <f ca="1">VLOOKUP($A5,'KO128'!$W$66:$Y$67,3,0)</f>
        <v>#N/A</v>
      </c>
      <c r="CG5" s="325" t="str">
        <f ca="1">VLOOKUP($A5,'KO64'!$AA$106:$AB$107,2,0)</f>
        <v xml:space="preserve"> </v>
      </c>
    </row>
    <row r="6" spans="1:85">
      <c r="A6" s="2">
        <f t="shared" ca="1" si="0"/>
        <v>4</v>
      </c>
      <c r="B6" s="61" t="str">
        <f t="shared" ca="1" si="2"/>
        <v>4 PC Kolová - Kauca Jindřich</v>
      </c>
      <c r="C6" s="62" t="str">
        <f ca="1">IF(E6&gt;$G$2,"",Nasazení!B6)</f>
        <v>D1</v>
      </c>
      <c r="D6" s="61" t="str">
        <f ca="1">IF(TYPE(VLOOKUP(C6,Výsledky_skupin!$A$3:$B$258,2,0))&gt;4," -",VLOOKUP(C6,Výsledky_skupin!$A$3:$B$258,2,0))</f>
        <v>4 PC Kolová - Kauca Jindřich</v>
      </c>
      <c r="E6" s="2">
        <v>4</v>
      </c>
      <c r="F6">
        <f t="shared" ca="1" si="1"/>
        <v>0</v>
      </c>
      <c r="I6" s="325" t="str">
        <f ca="1">IF(OR(TRIM(P6)="-",TRIM(P6)="")," ",P6)</f>
        <v xml:space="preserve"> </v>
      </c>
      <c r="P6" s="325" t="str">
        <f ca="1">VLOOKUP($A6,'KO4'!$K$16:$L$17,2,0)</f>
        <v xml:space="preserve"> </v>
      </c>
      <c r="W6" s="325" t="str">
        <f ca="1">VLOOKUP($A6,'KO8'!$G$6:$H$15,2,0)</f>
        <v xml:space="preserve"> </v>
      </c>
      <c r="X6" s="318">
        <f ca="1">VLOOKUP($A6,'KO8'!$G$6:$I$15,3,0)</f>
        <v>0</v>
      </c>
      <c r="Y6" s="325" t="str">
        <f ca="1">VLOOKUP($A6,'KO8'!$K$10:$L$21,2,0)</f>
        <v xml:space="preserve"> </v>
      </c>
      <c r="Z6" s="318">
        <f ca="1">VLOOKUP($A6,'KO8'!$K$10:$M$21,3,0)</f>
        <v>0</v>
      </c>
      <c r="AA6" s="325" t="str">
        <f ca="1">VLOOKUP($A6,'KO8'!$O$10:$P$21,2,0)</f>
        <v xml:space="preserve"> </v>
      </c>
      <c r="AC6" s="325" t="str">
        <f ca="1">VLOOKUP($A6,'KO8'!$O$20:$P$21,2,0)</f>
        <v xml:space="preserve"> </v>
      </c>
      <c r="AI6" s="325" t="str">
        <f ca="1">VLOOKUP($A6,'KO16'!$G$6:$H$31,2,0)</f>
        <v xml:space="preserve"> </v>
      </c>
      <c r="AJ6" s="318">
        <f ca="1">VLOOKUP($A6,'KO16'!$G$6:$I$31,3,0)</f>
        <v>0</v>
      </c>
      <c r="AK6" s="325" t="str">
        <f ca="1">VLOOKUP($A6,'KO16'!$K$10:$L$27,2,0)</f>
        <v xml:space="preserve"> </v>
      </c>
      <c r="AL6" s="318">
        <f ca="1">VLOOKUP($A6,'KO16'!$K$10:$M$27,3,0)</f>
        <v>0</v>
      </c>
      <c r="AM6" s="325" t="str">
        <f ca="1">VLOOKUP($A6,'KO16'!$O$18:$P$33,2,0)</f>
        <v xml:space="preserve"> </v>
      </c>
      <c r="AN6" s="318">
        <f ca="1">VLOOKUP($A6,'KO16'!$O$18:$Q$33,3,0)</f>
        <v>0</v>
      </c>
      <c r="AQ6" s="325" t="str">
        <f ca="1">VLOOKUP($A6,'KO16'!$S$32:$T$33,2,0)</f>
        <v xml:space="preserve"> </v>
      </c>
      <c r="AT6" s="325" t="str">
        <f ca="1">VLOOKUP($A6,'KO32'!$G$6:$H$63,2,0)</f>
        <v xml:space="preserve"> </v>
      </c>
      <c r="AU6" s="318">
        <f ca="1">VLOOKUP($A6,'KO32'!$G$6:$I$63,3,0)</f>
        <v>0</v>
      </c>
      <c r="AV6" s="325" t="str">
        <f ca="1">VLOOKUP($A6,'KO32'!$K$10:$L$59,2,0)</f>
        <v xml:space="preserve"> </v>
      </c>
      <c r="AW6" s="318">
        <f ca="1">VLOOKUP($A6,'KO32'!$K$10:$M$59,3,0)</f>
        <v>0</v>
      </c>
      <c r="AX6" s="325" t="str">
        <f ca="1">VLOOKUP($A6,'KO32'!$O$18:$P$51,2,0)</f>
        <v xml:space="preserve"> </v>
      </c>
      <c r="AY6" s="318">
        <f ca="1">VLOOKUP($A6,'KO32'!$O$18:$Q$51,3,0)</f>
        <v>0</v>
      </c>
      <c r="AZ6" s="325" t="str">
        <f ca="1">VLOOKUP($A6,'KO32'!$S$34:$T$57,2,0)</f>
        <v xml:space="preserve"> </v>
      </c>
      <c r="BA6" s="318">
        <f ca="1">VLOOKUP($A6,'KO32'!$S$34:$U$57,3,0)</f>
        <v>0</v>
      </c>
      <c r="BD6" s="325" t="str">
        <f ca="1">VLOOKUP($A6,'KO32'!$W$56:$X$57,2,0)</f>
        <v xml:space="preserve"> </v>
      </c>
      <c r="BG6" s="325" t="str">
        <f ca="1">VLOOKUP($A6,'KO64'!$G$6:$H$129,2,0)</f>
        <v xml:space="preserve"> </v>
      </c>
      <c r="BH6" s="318">
        <f ca="1">VLOOKUP($A6,'KO64'!$G$6:$I$129,3,0)</f>
        <v>0</v>
      </c>
      <c r="BI6" s="325" t="str">
        <f ca="1">VLOOKUP($A6,'KO64'!$K$10:$L$123,2,0)</f>
        <v xml:space="preserve"> </v>
      </c>
      <c r="BJ6" s="318">
        <f ca="1">VLOOKUP($A6,'KO64'!$K$10:$M$123,3,0)</f>
        <v>0</v>
      </c>
      <c r="BK6" s="325" t="str">
        <f ca="1">VLOOKUP($A6,'KO64'!$O$18:$P$115,2,0)</f>
        <v xml:space="preserve"> </v>
      </c>
      <c r="BL6" s="318">
        <f ca="1">VLOOKUP($A6,'KO64'!$O$18:$Q$115,3,0)</f>
        <v>0</v>
      </c>
      <c r="BM6" s="325" t="str">
        <f ca="1">VLOOKUP($A6,'KO64'!$S$34:$T$99,2,0)</f>
        <v xml:space="preserve"> </v>
      </c>
      <c r="BN6" s="318">
        <f ca="1">VLOOKUP($A6,'KO64'!$S$34:$U$99,3,0)</f>
        <v>0</v>
      </c>
      <c r="BO6" s="325" t="str">
        <f ca="1">VLOOKUP($A6,'KO64'!$W$66:$X$107,2,0)</f>
        <v xml:space="preserve"> </v>
      </c>
      <c r="BP6" s="318">
        <f ca="1">VLOOKUP($A6,'KO64'!$W$66:$Y$107,3,0)</f>
        <v>0</v>
      </c>
      <c r="BR6" s="325" t="str">
        <f ca="1">VLOOKUP($A6,'KO64'!$AA$106:$AB$107,2,0)</f>
        <v xml:space="preserve"> </v>
      </c>
      <c r="BT6" s="325" t="str">
        <f ca="1">VLOOKUP($A24,'KO128'!$G$6:$H$257,2,0)</f>
        <v>65 Sokol Kostomlaty - Vaníčková Alena</v>
      </c>
      <c r="BU6" s="318">
        <f ca="1">VLOOKUP($A24,'KO128'!$G$6:$I$257,3,0)</f>
        <v>13</v>
      </c>
      <c r="BV6" s="325" t="str">
        <f ca="1">VLOOKUP($A6,'KO128'!$G$6:$H$129,2,0)</f>
        <v>4 PC Kolová - Kauca Jindřich</v>
      </c>
      <c r="BW6" s="318">
        <f ca="1">VLOOKUP($A6,'KO128'!$G$6:$I$129,3,0)</f>
        <v>13</v>
      </c>
      <c r="BX6" s="325" t="str">
        <f ca="1">VLOOKUP($A6,'KO128'!$K$10:$L$123,2,0)</f>
        <v>4 PC Kolová - Kauca Jindřich</v>
      </c>
      <c r="BY6" s="318">
        <f ca="1">VLOOKUP($A6,'KO128'!$K$10:$M$123,3,0)</f>
        <v>13</v>
      </c>
      <c r="BZ6" s="325" t="str">
        <f ca="1">VLOOKUP($A6,'KO128'!$O$18:$P$115,2,0)</f>
        <v>4 PC Kolová - Kauca Jindřich</v>
      </c>
      <c r="CA6" s="318">
        <f ca="1">VLOOKUP($A6,'KO128'!$O$18:$Q$115,3,0)</f>
        <v>4</v>
      </c>
      <c r="CB6" s="325" t="str">
        <f ca="1">VLOOKUP($A6,'KO128'!$S$34:$T$99,2,0)</f>
        <v>45 SKP Hranice VI-Valšovice - Tománek Petr</v>
      </c>
      <c r="CC6" s="318">
        <f ca="1">VLOOKUP($A6,'KO128'!$S$34:$U$99,3,0)</f>
        <v>6</v>
      </c>
      <c r="CD6" s="325" t="str">
        <f ca="1">VLOOKUP($A6,'KO128'!$W$66:$X$67,2,0)</f>
        <v>66 PK 1293 Vojnův Městec - Fereš Pavel</v>
      </c>
      <c r="CE6" s="318">
        <f ca="1">VLOOKUP($A6,'KO128'!$W$66:$Y$67,3,0)</f>
        <v>13</v>
      </c>
      <c r="CG6" s="325" t="str">
        <f ca="1">VLOOKUP($A6,'KO64'!$AA$106:$AB$107,2,0)</f>
        <v xml:space="preserve"> </v>
      </c>
    </row>
    <row r="7" spans="1:85">
      <c r="A7" s="2">
        <f t="shared" ca="1" si="0"/>
        <v>5</v>
      </c>
      <c r="B7" s="61" t="str">
        <f t="shared" ca="1" si="2"/>
        <v>5 Carreau Brno - Slobodová Veronika</v>
      </c>
      <c r="C7" s="62" t="str">
        <f ca="1">IF(E7&gt;$G$2,"",Nasazení!B7)</f>
        <v>E1</v>
      </c>
      <c r="D7" s="61" t="str">
        <f ca="1">IF(TYPE(VLOOKUP(C7,Výsledky_skupin!$A$3:$B$258,2,0))&gt;4," -",VLOOKUP(C7,Výsledky_skupin!$A$3:$B$258,2,0))</f>
        <v>5 Carreau Brno - Slobodová Veronika</v>
      </c>
      <c r="E7" s="2">
        <v>5</v>
      </c>
      <c r="F7">
        <f t="shared" ca="1" si="1"/>
        <v>0</v>
      </c>
      <c r="I7" s="325" t="str">
        <f ca="1">IF(OR(TRIM(S7)="-",TRIM(S7)="")," ",S7)</f>
        <v xml:space="preserve"> </v>
      </c>
      <c r="S7" s="325" t="str">
        <f ca="1">VLOOKUP($A7,'Dohrávka_5-8'!$K$6:$L$13,2,0)</f>
        <v xml:space="preserve"> </v>
      </c>
      <c r="AI7" s="325" t="str">
        <f ca="1">VLOOKUP($A7,'KO16'!$G$6:$H$31,2,0)</f>
        <v xml:space="preserve"> </v>
      </c>
      <c r="AJ7" s="318">
        <f ca="1">VLOOKUP($A7,'KO16'!$G$6:$I$31,3,0)</f>
        <v>0</v>
      </c>
      <c r="AT7" s="325" t="str">
        <f ca="1">VLOOKUP($A7,'KO32'!$G$6:$H$63,2,0)</f>
        <v xml:space="preserve"> </v>
      </c>
      <c r="AU7" s="318">
        <f ca="1">VLOOKUP($A7,'KO32'!$G$6:$I$63,3,0)</f>
        <v>0</v>
      </c>
      <c r="AV7" s="325" t="str">
        <f ca="1">VLOOKUP($A7,'KO32'!$K$10:$L$59,2,0)</f>
        <v xml:space="preserve"> </v>
      </c>
      <c r="AW7" s="318">
        <f ca="1">VLOOKUP($A7,'KO32'!$K$10:$M$59,3,0)</f>
        <v>0</v>
      </c>
      <c r="BG7" s="325" t="str">
        <f ca="1">VLOOKUP($A7,'KO64'!$G$6:$H$129,2,0)</f>
        <v xml:space="preserve"> </v>
      </c>
      <c r="BH7" s="318">
        <f ca="1">VLOOKUP($A7,'KO64'!$G$6:$I$129,3,0)</f>
        <v>0</v>
      </c>
      <c r="BI7" s="325" t="str">
        <f ca="1">VLOOKUP($A7,'KO64'!$K$10:$L$123,2,0)</f>
        <v xml:space="preserve"> </v>
      </c>
      <c r="BJ7" s="318">
        <f ca="1">VLOOKUP($A7,'KO64'!$K$10:$M$123,3,0)</f>
        <v>0</v>
      </c>
      <c r="BK7" s="325" t="str">
        <f ca="1">VLOOKUP($A7,'KO64'!$O$18:$P$115,2,0)</f>
        <v xml:space="preserve"> </v>
      </c>
      <c r="BL7" s="318">
        <f ca="1">VLOOKUP($A7,'KO64'!$O$18:$Q$115,3,0)</f>
        <v>0</v>
      </c>
      <c r="BT7" s="325" t="str">
        <f ca="1">VLOOKUP($A25,'KO128'!$G$6:$H$257,2,0)</f>
        <v>23 Kulový blesk Olomouc - Konečná Jana</v>
      </c>
      <c r="BU7" s="318">
        <f ca="1">VLOOKUP($A25,'KO128'!$G$6:$I$257,3,0)</f>
        <v>10</v>
      </c>
      <c r="BV7" s="325" t="str">
        <f ca="1">VLOOKUP($A7,'KO128'!$G$6:$H$129,2,0)</f>
        <v>5 Carreau Brno - Slobodová Veronika</v>
      </c>
      <c r="BW7" s="318">
        <f ca="1">VLOOKUP($A7,'KO128'!$G$6:$I$129,3,0)</f>
        <v>13</v>
      </c>
      <c r="BX7" s="325" t="str">
        <f ca="1">VLOOKUP($A7,'KO128'!$K$10:$L$123,2,0)</f>
        <v>5 Carreau Brno - Slobodová Veronika</v>
      </c>
      <c r="BY7" s="318">
        <f ca="1">VLOOKUP($A7,'KO128'!$K$10:$M$123,3,0)</f>
        <v>13</v>
      </c>
      <c r="BZ7" s="325" t="str">
        <f ca="1">VLOOKUP($A7,'KO128'!$O$18:$P$115,2,0)</f>
        <v>5 Carreau Brno - Slobodová Veronika</v>
      </c>
      <c r="CA7" s="318">
        <f ca="1">VLOOKUP($A7,'KO128'!$O$18:$Q$115,3,0)</f>
        <v>3</v>
      </c>
    </row>
    <row r="8" spans="1:85">
      <c r="A8" s="2">
        <f t="shared" ca="1" si="0"/>
        <v>6</v>
      </c>
      <c r="B8" s="61" t="str">
        <f t="shared" ca="1" si="2"/>
        <v>6 PC Sokol Lipník - Froňková Kateřina</v>
      </c>
      <c r="C8" s="62" t="str">
        <f ca="1">IF(E8&gt;$G$2,"",Nasazení!B8)</f>
        <v>F1</v>
      </c>
      <c r="D8" s="61" t="str">
        <f ca="1">IF(TYPE(VLOOKUP(C8,Výsledky_skupin!$A$3:$B$258,2,0))&gt;4," -",VLOOKUP(C8,Výsledky_skupin!$A$3:$B$258,2,0))</f>
        <v>6 PC Sokol Lipník - Froňková Kateřina</v>
      </c>
      <c r="E8" s="2">
        <v>6</v>
      </c>
      <c r="F8">
        <f t="shared" ca="1" si="1"/>
        <v>0</v>
      </c>
      <c r="I8" s="325" t="str">
        <f ca="1">IF(OR(TRIM(S8)="-",TRIM(S8)="")," ",S8)</f>
        <v xml:space="preserve"> </v>
      </c>
      <c r="S8" s="325" t="str">
        <f ca="1">VLOOKUP($A8,'Dohrávka_5-8'!$K$6:$L$13,2,0)</f>
        <v xml:space="preserve"> </v>
      </c>
      <c r="AI8" s="325" t="str">
        <f ca="1">VLOOKUP($A8,'KO16'!$G$6:$H$31,2,0)</f>
        <v xml:space="preserve"> </v>
      </c>
      <c r="AJ8" s="318">
        <f ca="1">VLOOKUP($A8,'KO16'!$G$6:$I$31,3,0)</f>
        <v>0</v>
      </c>
      <c r="AT8" s="325" t="str">
        <f ca="1">VLOOKUP($A8,'KO32'!$G$6:$H$63,2,0)</f>
        <v xml:space="preserve"> </v>
      </c>
      <c r="AU8" s="318">
        <f ca="1">VLOOKUP($A8,'KO32'!$G$6:$I$63,3,0)</f>
        <v>0</v>
      </c>
      <c r="AV8" s="325" t="str">
        <f ca="1">VLOOKUP($A8,'KO32'!$K$10:$L$59,2,0)</f>
        <v xml:space="preserve"> </v>
      </c>
      <c r="AW8" s="318">
        <f ca="1">VLOOKUP($A8,'KO32'!$K$10:$M$59,3,0)</f>
        <v>0</v>
      </c>
      <c r="BG8" s="325" t="str">
        <f ca="1">VLOOKUP($A8,'KO64'!$G$6:$H$129,2,0)</f>
        <v xml:space="preserve"> </v>
      </c>
      <c r="BH8" s="318">
        <f ca="1">VLOOKUP($A8,'KO64'!$G$6:$I$129,3,0)</f>
        <v>0</v>
      </c>
      <c r="BI8" s="325" t="str">
        <f ca="1">VLOOKUP($A8,'KO64'!$K$10:$L$123,2,0)</f>
        <v xml:space="preserve"> </v>
      </c>
      <c r="BJ8" s="318">
        <f ca="1">VLOOKUP($A8,'KO64'!$K$10:$M$123,3,0)</f>
        <v>0</v>
      </c>
      <c r="BK8" s="325" t="str">
        <f ca="1">VLOOKUP($A8,'KO64'!$O$18:$P$115,2,0)</f>
        <v xml:space="preserve"> </v>
      </c>
      <c r="BL8" s="318">
        <f ca="1">VLOOKUP($A8,'KO64'!$O$18:$Q$115,3,0)</f>
        <v>0</v>
      </c>
      <c r="BT8" s="325" t="str">
        <f ca="1">VLOOKUP($A26,'KO128'!$G$6:$H$257,2,0)</f>
        <v>110 PK Polouvsí - Valošková Sára</v>
      </c>
      <c r="BU8" s="318">
        <f ca="1">VLOOKUP($A26,'KO128'!$G$6:$I$257,3,0)</f>
        <v>13</v>
      </c>
      <c r="BV8" s="325" t="e">
        <f ca="1">VLOOKUP($A8,'KO128'!$G$6:$H$129,2,0)</f>
        <v>#N/A</v>
      </c>
      <c r="BW8" s="318" t="e">
        <f ca="1">VLOOKUP($A8,'KO128'!$G$6:$I$129,3,0)</f>
        <v>#N/A</v>
      </c>
      <c r="BX8" s="325" t="e">
        <f ca="1">VLOOKUP($A8,'KO128'!$K$10:$L$123,2,0)</f>
        <v>#N/A</v>
      </c>
      <c r="BY8" s="318" t="e">
        <f ca="1">VLOOKUP($A8,'KO128'!$K$10:$M$123,3,0)</f>
        <v>#N/A</v>
      </c>
      <c r="BZ8" s="325" t="e">
        <f ca="1">VLOOKUP($A8,'KO128'!$O$18:$P$115,2,0)</f>
        <v>#N/A</v>
      </c>
      <c r="CA8" s="318" t="e">
        <f ca="1">VLOOKUP($A8,'KO128'!$O$18:$Q$115,3,0)</f>
        <v>#N/A</v>
      </c>
    </row>
    <row r="9" spans="1:85">
      <c r="A9" s="2">
        <f t="shared" ca="1" si="0"/>
        <v>7</v>
      </c>
      <c r="B9" s="61" t="str">
        <f t="shared" ca="1" si="2"/>
        <v>7 PLUK Jablonec - Lukáš Vojtěch</v>
      </c>
      <c r="C9" s="62" t="str">
        <f ca="1">IF(E9&gt;$G$2,"",Nasazení!B9)</f>
        <v>G1</v>
      </c>
      <c r="D9" s="61" t="str">
        <f ca="1">IF(TYPE(VLOOKUP(C9,Výsledky_skupin!$A$3:$B$258,2,0))&gt;4," -",VLOOKUP(C9,Výsledky_skupin!$A$3:$B$258,2,0))</f>
        <v>7 PLUK Jablonec - Lukáš Vojtěch</v>
      </c>
      <c r="E9" s="2">
        <v>7</v>
      </c>
      <c r="F9">
        <f t="shared" ca="1" si="1"/>
        <v>0</v>
      </c>
      <c r="I9" s="325" t="str">
        <f ca="1">IF(OR(TRIM(S9)="-",TRIM(S9)="")," ",S9)</f>
        <v xml:space="preserve"> </v>
      </c>
      <c r="S9" s="325" t="str">
        <f ca="1">VLOOKUP($A9,'Dohrávka_5-8'!$K$6:$L$13,2,0)</f>
        <v xml:space="preserve"> </v>
      </c>
      <c r="AI9" s="325" t="str">
        <f ca="1">VLOOKUP($A9,'KO16'!$G$6:$H$31,2,0)</f>
        <v xml:space="preserve"> </v>
      </c>
      <c r="AJ9" s="318">
        <f ca="1">VLOOKUP($A9,'KO16'!$G$6:$I$31,3,0)</f>
        <v>0</v>
      </c>
      <c r="AT9" s="325" t="str">
        <f ca="1">VLOOKUP($A9,'KO32'!$G$6:$H$63,2,0)</f>
        <v xml:space="preserve"> </v>
      </c>
      <c r="AU9" s="318">
        <f ca="1">VLOOKUP($A9,'KO32'!$G$6:$I$63,3,0)</f>
        <v>0</v>
      </c>
      <c r="AV9" s="325" t="str">
        <f ca="1">VLOOKUP($A9,'KO32'!$K$10:$L$59,2,0)</f>
        <v xml:space="preserve"> </v>
      </c>
      <c r="AW9" s="318">
        <f ca="1">VLOOKUP($A9,'KO32'!$K$10:$M$59,3,0)</f>
        <v>0</v>
      </c>
      <c r="BG9" s="325" t="str">
        <f ca="1">VLOOKUP($A9,'KO64'!$G$6:$H$129,2,0)</f>
        <v xml:space="preserve"> </v>
      </c>
      <c r="BH9" s="318">
        <f ca="1">VLOOKUP($A9,'KO64'!$G$6:$I$129,3,0)</f>
        <v>0</v>
      </c>
      <c r="BI9" s="325" t="str">
        <f ca="1">VLOOKUP($A9,'KO64'!$K$10:$L$123,2,0)</f>
        <v xml:space="preserve"> </v>
      </c>
      <c r="BJ9" s="318">
        <f ca="1">VLOOKUP($A9,'KO64'!$K$10:$M$123,3,0)</f>
        <v>0</v>
      </c>
      <c r="BK9" s="325" t="str">
        <f ca="1">VLOOKUP($A9,'KO64'!$O$18:$P$115,2,0)</f>
        <v xml:space="preserve"> </v>
      </c>
      <c r="BL9" s="318">
        <f ca="1">VLOOKUP($A9,'KO64'!$O$18:$Q$115,3,0)</f>
        <v>0</v>
      </c>
      <c r="BT9" s="325" t="str">
        <f ca="1">VLOOKUP($A27,'KO128'!$G$6:$H$257,2,0)</f>
        <v>62 Carreau Brno - Grepl Jiří</v>
      </c>
      <c r="BU9" s="318">
        <f ca="1">VLOOKUP($A27,'KO128'!$G$6:$I$257,3,0)</f>
        <v>13</v>
      </c>
      <c r="BV9" s="325" t="e">
        <f ca="1">VLOOKUP($A9,'KO128'!$G$6:$H$129,2,0)</f>
        <v>#N/A</v>
      </c>
      <c r="BW9" s="318" t="e">
        <f ca="1">VLOOKUP($A9,'KO128'!$G$6:$I$129,3,0)</f>
        <v>#N/A</v>
      </c>
      <c r="BX9" s="325" t="e">
        <f ca="1">VLOOKUP($A9,'KO128'!$K$10:$L$123,2,0)</f>
        <v>#N/A</v>
      </c>
      <c r="BY9" s="318" t="e">
        <f ca="1">VLOOKUP($A9,'KO128'!$K$10:$M$123,3,0)</f>
        <v>#N/A</v>
      </c>
      <c r="BZ9" s="325" t="e">
        <f ca="1">VLOOKUP($A9,'KO128'!$O$18:$P$115,2,0)</f>
        <v>#N/A</v>
      </c>
      <c r="CA9" s="318" t="e">
        <f ca="1">VLOOKUP($A9,'KO128'!$O$18:$Q$115,3,0)</f>
        <v>#N/A</v>
      </c>
    </row>
    <row r="10" spans="1:85">
      <c r="A10" s="2">
        <f t="shared" ca="1" si="0"/>
        <v>8</v>
      </c>
      <c r="B10" s="61" t="str">
        <f t="shared" ca="1" si="2"/>
        <v>8 1. KPK Vrchlabí - Bílek Vojtěch</v>
      </c>
      <c r="C10" s="62" t="str">
        <f ca="1">IF(E10&gt;$G$2,"",Nasazení!B10)</f>
        <v>H1</v>
      </c>
      <c r="D10" s="61" t="str">
        <f ca="1">IF(TYPE(VLOOKUP(C10,Výsledky_skupin!$A$3:$B$258,2,0))&gt;4," -",VLOOKUP(C10,Výsledky_skupin!$A$3:$B$258,2,0))</f>
        <v>8 1. KPK Vrchlabí - Bílek Vojtěch</v>
      </c>
      <c r="E10" s="2">
        <v>8</v>
      </c>
      <c r="F10">
        <f t="shared" ca="1" si="1"/>
        <v>0</v>
      </c>
      <c r="I10" s="325" t="str">
        <f ca="1">IF(OR(TRIM(S10)="-",TRIM(S10)="")," ",S10)</f>
        <v xml:space="preserve"> </v>
      </c>
      <c r="S10" s="325" t="str">
        <f ca="1">VLOOKUP($A10,'Dohrávka_5-8'!$K$6:$L$13,2,0)</f>
        <v xml:space="preserve"> </v>
      </c>
      <c r="AI10" s="325" t="str">
        <f ca="1">VLOOKUP($A10,'KO16'!$G$6:$H$31,2,0)</f>
        <v xml:space="preserve"> </v>
      </c>
      <c r="AJ10" s="318">
        <f ca="1">VLOOKUP($A10,'KO16'!$G$6:$I$31,3,0)</f>
        <v>0</v>
      </c>
      <c r="AT10" s="325" t="str">
        <f ca="1">VLOOKUP($A10,'KO32'!$G$6:$H$63,2,0)</f>
        <v xml:space="preserve"> </v>
      </c>
      <c r="AU10" s="318">
        <f ca="1">VLOOKUP($A10,'KO32'!$G$6:$I$63,3,0)</f>
        <v>0</v>
      </c>
      <c r="AV10" s="325" t="str">
        <f ca="1">VLOOKUP($A10,'KO32'!$K$10:$L$59,2,0)</f>
        <v xml:space="preserve"> </v>
      </c>
      <c r="AW10" s="318">
        <f ca="1">VLOOKUP($A10,'KO32'!$K$10:$M$59,3,0)</f>
        <v>0</v>
      </c>
      <c r="BG10" s="325" t="str">
        <f ca="1">VLOOKUP($A10,'KO64'!$G$6:$H$129,2,0)</f>
        <v xml:space="preserve"> </v>
      </c>
      <c r="BH10" s="318">
        <f ca="1">VLOOKUP($A10,'KO64'!$G$6:$I$129,3,0)</f>
        <v>0</v>
      </c>
      <c r="BI10" s="325" t="str">
        <f ca="1">VLOOKUP($A10,'KO64'!$K$10:$L$123,2,0)</f>
        <v xml:space="preserve"> </v>
      </c>
      <c r="BJ10" s="318">
        <f ca="1">VLOOKUP($A10,'KO64'!$K$10:$M$123,3,0)</f>
        <v>0</v>
      </c>
      <c r="BK10" s="325" t="str">
        <f ca="1">VLOOKUP($A10,'KO64'!$O$18:$P$115,2,0)</f>
        <v xml:space="preserve"> </v>
      </c>
      <c r="BL10" s="318">
        <f ca="1">VLOOKUP($A10,'KO64'!$O$18:$Q$115,3,0)</f>
        <v>0</v>
      </c>
      <c r="BT10" s="325" t="str">
        <f ca="1">VLOOKUP($A28,'KO128'!$G$6:$H$257,2,0)</f>
        <v>112 SK Sahara Vědomice - Gröschl Zdeněk</v>
      </c>
      <c r="BU10" s="318">
        <f ca="1">VLOOKUP($A28,'KO128'!$G$6:$I$257,3,0)</f>
        <v>6</v>
      </c>
      <c r="BV10" s="325" t="str">
        <f ca="1">VLOOKUP($A10,'KO128'!$G$6:$H$129,2,0)</f>
        <v>8 1. KPK Vrchlabí - Bílek Vojtěch</v>
      </c>
      <c r="BW10" s="318">
        <f ca="1">VLOOKUP($A10,'KO128'!$G$6:$I$129,3,0)</f>
        <v>13</v>
      </c>
      <c r="BX10" s="325" t="str">
        <f ca="1">VLOOKUP($A10,'KO128'!$K$10:$L$123,2,0)</f>
        <v>8 1. KPK Vrchlabí - Bílek Vojtěch</v>
      </c>
      <c r="BY10" s="318">
        <f ca="1">VLOOKUP($A10,'KO128'!$K$10:$M$123,3,0)</f>
        <v>11</v>
      </c>
      <c r="BZ10" s="325" t="str">
        <f ca="1">VLOOKUP($A10,'KO128'!$O$18:$P$115,2,0)</f>
        <v>62 Carreau Brno - Grepl Jiří</v>
      </c>
      <c r="CA10" s="318">
        <f ca="1">VLOOKUP($A10,'KO128'!$O$18:$Q$115,3,0)</f>
        <v>3</v>
      </c>
    </row>
    <row r="11" spans="1:85">
      <c r="A11" s="2">
        <f t="shared" ca="1" si="0"/>
        <v>9</v>
      </c>
      <c r="B11" s="61" t="str">
        <f t="shared" ca="1" si="2"/>
        <v>9 VARAN - Valenz Lukáš</v>
      </c>
      <c r="C11" s="62" t="str">
        <f ca="1">IF(E11&gt;$G$2,"",Nasazení!B11)</f>
        <v>I1</v>
      </c>
      <c r="D11" s="61" t="str">
        <f ca="1">IF(TYPE(VLOOKUP(C11,Výsledky_skupin!$A$3:$B$258,2,0))&gt;4," -",VLOOKUP(C11,Výsledky_skupin!$A$3:$B$258,2,0))</f>
        <v>9 VARAN - Valenz Lukáš</v>
      </c>
      <c r="E11" s="2">
        <v>9</v>
      </c>
      <c r="F11">
        <f t="shared" ca="1" si="1"/>
        <v>0</v>
      </c>
      <c r="I11" s="325" t="str">
        <f ca="1">IF(OR(TRIM(AE11)="-",TRIM(AE11)="")," ",AE11)</f>
        <v xml:space="preserve"> </v>
      </c>
      <c r="AE11" s="325" t="str">
        <f ca="1">VLOOKUP($A11,'Dohrávka_9-16'!$O$10:$P$35,2,0)</f>
        <v xml:space="preserve"> </v>
      </c>
      <c r="AT11" s="325" t="str">
        <f ca="1">VLOOKUP($A11,'KO32'!$G$6:$H$63,2,0)</f>
        <v xml:space="preserve"> </v>
      </c>
      <c r="AU11" s="318">
        <f ca="1">VLOOKUP($A11,'KO32'!$G$6:$I$63,3,0)</f>
        <v>0</v>
      </c>
      <c r="BG11" s="325" t="str">
        <f ca="1">VLOOKUP($A11,'KO64'!$G$6:$H$129,2,0)</f>
        <v xml:space="preserve"> </v>
      </c>
      <c r="BH11" s="318">
        <f ca="1">VLOOKUP($A11,'KO64'!$G$6:$I$129,3,0)</f>
        <v>0</v>
      </c>
      <c r="BI11" s="325" t="str">
        <f ca="1">VLOOKUP($A11,'KO64'!$K$10:$L$123,2,0)</f>
        <v xml:space="preserve"> </v>
      </c>
      <c r="BJ11" s="318">
        <f ca="1">VLOOKUP($A11,'KO64'!$K$10:$M$123,3,0)</f>
        <v>0</v>
      </c>
      <c r="BT11" s="325" t="str">
        <f ca="1">VLOOKUP($A29,'KO128'!$G$6:$H$257,2,0)</f>
        <v>27 Sokol Kostomlaty - Vlach Jaromír</v>
      </c>
      <c r="BU11" s="318">
        <f ca="1">VLOOKUP($A29,'KO128'!$G$6:$I$257,3,0)</f>
        <v>13</v>
      </c>
      <c r="BV11" s="325" t="str">
        <f ca="1">VLOOKUP($A11,'KO128'!$G$6:$H$129,2,0)</f>
        <v>9 VARAN - Valenz Lukáš</v>
      </c>
      <c r="BW11" s="318">
        <f ca="1">VLOOKUP($A11,'KO128'!$G$6:$I$129,3,0)</f>
        <v>13</v>
      </c>
      <c r="BX11" s="325" t="str">
        <f ca="1">VLOOKUP($A11,'KO128'!$K$10:$L$123,2,0)</f>
        <v>9 VARAN - Valenz Lukáš</v>
      </c>
      <c r="BY11" s="318">
        <f ca="1">VLOOKUP($A11,'KO128'!$K$10:$M$123,3,0)</f>
        <v>13</v>
      </c>
    </row>
    <row r="12" spans="1:85">
      <c r="A12" s="2">
        <f ca="1">E12+F12</f>
        <v>10</v>
      </c>
      <c r="B12" s="61" t="str">
        <f t="shared" ca="1" si="2"/>
        <v>10 TOP - ORLOVÁ - Bačo David</v>
      </c>
      <c r="C12" s="62" t="str">
        <f ca="1">IF(E12&gt;$G$2,"",Nasazení!B12)</f>
        <v>J1</v>
      </c>
      <c r="D12" s="61" t="str">
        <f ca="1">IF(TYPE(VLOOKUP(C12,Výsledky_skupin!$A$3:$B$258,2,0))&gt;4," -",VLOOKUP(C12,Výsledky_skupin!$A$3:$B$258,2,0))</f>
        <v>10 TOP - ORLOVÁ - Bačo David</v>
      </c>
      <c r="E12" s="2">
        <v>10</v>
      </c>
      <c r="F12">
        <f t="shared" ca="1" si="1"/>
        <v>0</v>
      </c>
      <c r="I12" s="325" t="str">
        <f t="shared" ref="I12:I18" ca="1" si="3">IF(OR(TRIM(AE12)="-",TRIM(AE12)="")," ",AE12)</f>
        <v xml:space="preserve"> </v>
      </c>
      <c r="AE12" s="325" t="str">
        <f ca="1">VLOOKUP($A12,'Dohrávka_9-16'!$O$10:$P$35,2,0)</f>
        <v xml:space="preserve"> </v>
      </c>
      <c r="AT12" s="325" t="str">
        <f ca="1">VLOOKUP($A12,'KO32'!$G$6:$H$63,2,0)</f>
        <v xml:space="preserve"> </v>
      </c>
      <c r="AU12" s="318">
        <f ca="1">VLOOKUP($A12,'KO32'!$G$6:$I$63,3,0)</f>
        <v>0</v>
      </c>
      <c r="BG12" s="325" t="str">
        <f ca="1">VLOOKUP($A12,'KO64'!$G$6:$H$129,2,0)</f>
        <v xml:space="preserve"> </v>
      </c>
      <c r="BH12" s="318">
        <f ca="1">VLOOKUP($A12,'KO64'!$G$6:$I$129,3,0)</f>
        <v>0</v>
      </c>
      <c r="BI12" s="325" t="str">
        <f ca="1">VLOOKUP($A12,'KO64'!$K$10:$L$123,2,0)</f>
        <v xml:space="preserve"> </v>
      </c>
      <c r="BJ12" s="318">
        <f ca="1">VLOOKUP($A12,'KO64'!$K$10:$M$123,3,0)</f>
        <v>0</v>
      </c>
      <c r="BT12" s="325" t="str">
        <f ca="1">VLOOKUP($A30,'KO128'!$G$6:$H$257,2,0)</f>
        <v>28 SK Pétanque Řepy - Pastorek Jaroslav</v>
      </c>
      <c r="BU12" s="318">
        <f ca="1">VLOOKUP($A30,'KO128'!$G$6:$I$257,3,0)</f>
        <v>5</v>
      </c>
      <c r="BV12" s="325" t="e">
        <f ca="1">VLOOKUP($A12,'KO128'!$G$6:$H$129,2,0)</f>
        <v>#N/A</v>
      </c>
      <c r="BW12" s="318" t="e">
        <f ca="1">VLOOKUP($A12,'KO128'!$G$6:$I$129,3,0)</f>
        <v>#N/A</v>
      </c>
      <c r="BX12" s="325" t="e">
        <f ca="1">VLOOKUP($A12,'KO128'!$K$10:$L$123,2,0)</f>
        <v>#N/A</v>
      </c>
      <c r="BY12" s="318" t="e">
        <f ca="1">VLOOKUP($A12,'KO128'!$K$10:$M$123,3,0)</f>
        <v>#N/A</v>
      </c>
    </row>
    <row r="13" spans="1:85">
      <c r="A13" s="2">
        <f t="shared" ca="1" si="0"/>
        <v>11</v>
      </c>
      <c r="B13" s="61" t="str">
        <f ca="1">IF(E13&gt;$G$2," - ",D13)</f>
        <v>76 PC Kolová - Horáček Jindřich</v>
      </c>
      <c r="C13" s="62" t="str">
        <f ca="1">IF(E13&gt;$G$2,"",Nasazení!B13)</f>
        <v>K1</v>
      </c>
      <c r="D13" s="61" t="str">
        <f ca="1">IF(TYPE(VLOOKUP(C13,Výsledky_skupin!$A$3:$B$258,2,0))&gt;4," -",VLOOKUP(C13,Výsledky_skupin!$A$3:$B$258,2,0))</f>
        <v>76 PC Kolová - Horáček Jindřich</v>
      </c>
      <c r="E13" s="2">
        <v>11</v>
      </c>
      <c r="F13">
        <f t="shared" ca="1" si="1"/>
        <v>0</v>
      </c>
      <c r="I13" s="325" t="str">
        <f t="shared" ca="1" si="3"/>
        <v xml:space="preserve"> </v>
      </c>
      <c r="AE13" s="325" t="str">
        <f ca="1">VLOOKUP($A13,'Dohrávka_9-16'!$O$10:$P$35,2,0)</f>
        <v xml:space="preserve"> </v>
      </c>
      <c r="AT13" s="325" t="str">
        <f ca="1">VLOOKUP($A13,'KO32'!$G$6:$H$63,2,0)</f>
        <v xml:space="preserve"> </v>
      </c>
      <c r="AU13" s="318">
        <f ca="1">VLOOKUP($A13,'KO32'!$G$6:$I$63,3,0)</f>
        <v>0</v>
      </c>
      <c r="BG13" s="325" t="str">
        <f ca="1">VLOOKUP($A13,'KO64'!$G$6:$H$129,2,0)</f>
        <v xml:space="preserve"> </v>
      </c>
      <c r="BH13" s="318">
        <f ca="1">VLOOKUP($A13,'KO64'!$G$6:$I$129,3,0)</f>
        <v>0</v>
      </c>
      <c r="BI13" s="325" t="str">
        <f ca="1">VLOOKUP($A13,'KO64'!$K$10:$L$123,2,0)</f>
        <v xml:space="preserve"> </v>
      </c>
      <c r="BJ13" s="318">
        <f ca="1">VLOOKUP($A13,'KO64'!$K$10:$M$123,3,0)</f>
        <v>0</v>
      </c>
      <c r="BT13" s="325" t="str">
        <f ca="1">VLOOKUP($A31,'KO128'!$G$6:$H$257,2,0)</f>
        <v>58 PC Sokol Lipník - Fafek Petr</v>
      </c>
      <c r="BU13" s="318">
        <f ca="1">VLOOKUP($A31,'KO128'!$G$6:$I$257,3,0)</f>
        <v>1</v>
      </c>
      <c r="BV13" s="325" t="e">
        <f ca="1">VLOOKUP($A13,'KO128'!$G$6:$H$129,2,0)</f>
        <v>#N/A</v>
      </c>
      <c r="BW13" s="318" t="e">
        <f ca="1">VLOOKUP($A13,'KO128'!$G$6:$I$129,3,0)</f>
        <v>#N/A</v>
      </c>
      <c r="BX13" s="325" t="e">
        <f ca="1">VLOOKUP($A13,'KO128'!$K$10:$L$123,2,0)</f>
        <v>#N/A</v>
      </c>
      <c r="BY13" s="318" t="e">
        <f ca="1">VLOOKUP($A13,'KO128'!$K$10:$M$123,3,0)</f>
        <v>#N/A</v>
      </c>
    </row>
    <row r="14" spans="1:85">
      <c r="A14" s="2">
        <f t="shared" ca="1" si="0"/>
        <v>12</v>
      </c>
      <c r="B14" s="61" t="str">
        <f t="shared" ref="B14:B66" ca="1" si="4">IF(E14&gt;$G$2," - ",D14)</f>
        <v>12 FRAPECO - Řehoř Miroslav</v>
      </c>
      <c r="C14" s="62" t="str">
        <f ca="1">IF(E14&gt;$G$2,"",Nasazení!B14)</f>
        <v>L1</v>
      </c>
      <c r="D14" s="61" t="str">
        <f ca="1">IF(TYPE(VLOOKUP(C14,Výsledky_skupin!$A$3:$B$258,2,0))&gt;4," -",VLOOKUP(C14,Výsledky_skupin!$A$3:$B$258,2,0))</f>
        <v>12 FRAPECO - Řehoř Miroslav</v>
      </c>
      <c r="E14" s="2">
        <v>12</v>
      </c>
      <c r="F14">
        <f t="shared" ca="1" si="1"/>
        <v>0</v>
      </c>
      <c r="I14" s="325" t="str">
        <f t="shared" ca="1" si="3"/>
        <v xml:space="preserve"> </v>
      </c>
      <c r="AE14" s="325" t="str">
        <f ca="1">VLOOKUP($A14,'Dohrávka_9-16'!$O$10:$P$35,2,0)</f>
        <v xml:space="preserve"> </v>
      </c>
      <c r="AT14" s="325" t="str">
        <f ca="1">VLOOKUP($A14,'KO32'!$G$6:$H$63,2,0)</f>
        <v xml:space="preserve"> </v>
      </c>
      <c r="AU14" s="318">
        <f ca="1">VLOOKUP($A14,'KO32'!$G$6:$I$63,3,0)</f>
        <v>0</v>
      </c>
      <c r="BG14" s="325" t="str">
        <f ca="1">VLOOKUP($A14,'KO64'!$G$6:$H$129,2,0)</f>
        <v xml:space="preserve"> </v>
      </c>
      <c r="BH14" s="318">
        <f ca="1">VLOOKUP($A14,'KO64'!$G$6:$I$129,3,0)</f>
        <v>0</v>
      </c>
      <c r="BI14" s="325" t="str">
        <f ca="1">VLOOKUP($A14,'KO64'!$K$10:$L$123,2,0)</f>
        <v xml:space="preserve"> </v>
      </c>
      <c r="BJ14" s="318">
        <f ca="1">VLOOKUP($A14,'KO64'!$K$10:$M$123,3,0)</f>
        <v>0</v>
      </c>
      <c r="BT14" s="325" t="str">
        <f ca="1">VLOOKUP($A32,'KO128'!$G$6:$H$257,2,0)</f>
        <v>30 POP Praha - Resl Jan</v>
      </c>
      <c r="BU14" s="318">
        <f ca="1">VLOOKUP($A32,'KO128'!$G$6:$I$257,3,0)</f>
        <v>13</v>
      </c>
      <c r="BV14" s="325" t="str">
        <f ca="1">VLOOKUP($A14,'KO128'!$G$6:$H$129,2,0)</f>
        <v>12 FRAPECO - Řehoř Miroslav</v>
      </c>
      <c r="BW14" s="318">
        <f ca="1">VLOOKUP($A14,'KO128'!$G$6:$I$129,3,0)</f>
        <v>12</v>
      </c>
      <c r="BX14" s="325" t="str">
        <f ca="1">VLOOKUP($A14,'KO128'!$K$10:$L$123,2,0)</f>
        <v>97 PK Osika Plzeň - Špitálský Milan</v>
      </c>
      <c r="BY14" s="318">
        <f ca="1">VLOOKUP($A14,'KO128'!$K$10:$M$123,3,0)</f>
        <v>4</v>
      </c>
    </row>
    <row r="15" spans="1:85">
      <c r="A15" s="2">
        <f t="shared" ca="1" si="0"/>
        <v>13</v>
      </c>
      <c r="B15" s="61" t="str">
        <f t="shared" ca="1" si="4"/>
        <v>99 SK Sahara Vědomice - Kocourek Pavel</v>
      </c>
      <c r="C15" s="62" t="str">
        <f ca="1">IF(E15&gt;$G$2,"",Nasazení!B15)</f>
        <v>M1</v>
      </c>
      <c r="D15" s="61" t="str">
        <f ca="1">IF(TYPE(VLOOKUP(C15,Výsledky_skupin!$A$3:$B$258,2,0))&gt;4," -",VLOOKUP(C15,Výsledky_skupin!$A$3:$B$258,2,0))</f>
        <v>99 SK Sahara Vědomice - Kocourek Pavel</v>
      </c>
      <c r="E15" s="2">
        <v>13</v>
      </c>
      <c r="F15">
        <f t="shared" ca="1" si="1"/>
        <v>0</v>
      </c>
      <c r="I15" s="325" t="str">
        <f t="shared" ca="1" si="3"/>
        <v xml:space="preserve"> </v>
      </c>
      <c r="AE15" s="325" t="str">
        <f ca="1">VLOOKUP($A15,'Dohrávka_9-16'!$O$10:$P$35,2,0)</f>
        <v xml:space="preserve"> </v>
      </c>
      <c r="AT15" s="325" t="str">
        <f ca="1">VLOOKUP($A15,'KO32'!$G$6:$H$63,2,0)</f>
        <v xml:space="preserve"> </v>
      </c>
      <c r="AU15" s="318">
        <f ca="1">VLOOKUP($A15,'KO32'!$G$6:$I$63,3,0)</f>
        <v>0</v>
      </c>
      <c r="BG15" s="325" t="str">
        <f ca="1">VLOOKUP($A15,'KO64'!$G$6:$H$129,2,0)</f>
        <v xml:space="preserve"> </v>
      </c>
      <c r="BH15" s="318">
        <f ca="1">VLOOKUP($A15,'KO64'!$G$6:$I$129,3,0)</f>
        <v>0</v>
      </c>
      <c r="BI15" s="325" t="str">
        <f ca="1">VLOOKUP($A15,'KO64'!$K$10:$L$123,2,0)</f>
        <v xml:space="preserve"> </v>
      </c>
      <c r="BJ15" s="318">
        <f ca="1">VLOOKUP($A15,'KO64'!$K$10:$M$123,3,0)</f>
        <v>0</v>
      </c>
      <c r="BT15" s="325" t="str">
        <f ca="1">VLOOKUP($A33,'KO128'!$G$6:$H$257,2,0)</f>
        <v>31 PLUK Jablonec - Lukáš Petr</v>
      </c>
      <c r="BU15" s="318">
        <f ca="1">VLOOKUP($A33,'KO128'!$G$6:$I$257,3,0)</f>
        <v>13</v>
      </c>
      <c r="BV15" s="325" t="str">
        <f ca="1">VLOOKUP($A15,'KO128'!$G$6:$H$129,2,0)</f>
        <v>99 SK Sahara Vědomice - Kocourek Pavel</v>
      </c>
      <c r="BW15" s="318">
        <f ca="1">VLOOKUP($A15,'KO128'!$G$6:$I$129,3,0)</f>
        <v>11</v>
      </c>
      <c r="BX15" s="325" t="str">
        <f ca="1">VLOOKUP($A15,'KO128'!$K$10:$L$123,2,0)</f>
        <v>96 1. KPK Vrchlabí - Kadavá Petra</v>
      </c>
      <c r="BY15" s="318">
        <f ca="1">VLOOKUP($A15,'KO128'!$K$10:$M$123,3,0)</f>
        <v>7</v>
      </c>
    </row>
    <row r="16" spans="1:85">
      <c r="A16" s="2">
        <f t="shared" ca="1" si="0"/>
        <v>14</v>
      </c>
      <c r="B16" s="61" t="str">
        <f t="shared" ca="1" si="4"/>
        <v>14 FRAPECO - Ondryáš Jiří</v>
      </c>
      <c r="C16" s="62" t="str">
        <f ca="1">IF(E16&gt;$G$2,"",Nasazení!B16)</f>
        <v>N1</v>
      </c>
      <c r="D16" s="61" t="str">
        <f ca="1">IF(TYPE(VLOOKUP(C16,Výsledky_skupin!$A$3:$B$258,2,0))&gt;4," -",VLOOKUP(C16,Výsledky_skupin!$A$3:$B$258,2,0))</f>
        <v>14 FRAPECO - Ondryáš Jiří</v>
      </c>
      <c r="E16" s="2">
        <v>14</v>
      </c>
      <c r="F16">
        <f t="shared" ca="1" si="1"/>
        <v>0</v>
      </c>
      <c r="I16" s="325" t="str">
        <f t="shared" ca="1" si="3"/>
        <v xml:space="preserve"> </v>
      </c>
      <c r="AE16" s="325" t="str">
        <f ca="1">VLOOKUP($A16,'Dohrávka_9-16'!$O$10:$P$35,2,0)</f>
        <v xml:space="preserve"> </v>
      </c>
      <c r="AT16" s="325" t="str">
        <f ca="1">VLOOKUP($A16,'KO32'!$G$6:$H$63,2,0)</f>
        <v xml:space="preserve"> </v>
      </c>
      <c r="AU16" s="318">
        <f ca="1">VLOOKUP($A16,'KO32'!$G$6:$I$63,3,0)</f>
        <v>0</v>
      </c>
      <c r="BG16" s="325" t="str">
        <f ca="1">VLOOKUP($A16,'KO64'!$G$6:$H$129,2,0)</f>
        <v xml:space="preserve"> </v>
      </c>
      <c r="BH16" s="318">
        <f ca="1">VLOOKUP($A16,'KO64'!$G$6:$I$129,3,0)</f>
        <v>0</v>
      </c>
      <c r="BI16" s="325" t="str">
        <f ca="1">VLOOKUP($A16,'KO64'!$K$10:$L$123,2,0)</f>
        <v xml:space="preserve"> </v>
      </c>
      <c r="BJ16" s="318">
        <f ca="1">VLOOKUP($A16,'KO64'!$K$10:$M$123,3,0)</f>
        <v>0</v>
      </c>
      <c r="BT16" s="325" t="str">
        <f ca="1">VLOOKUP($A34,'KO128'!$G$6:$H$257,2,0)</f>
        <v>32 Club Rodamiento - Kamaryt Josef</v>
      </c>
      <c r="BU16" s="318">
        <f ca="1">VLOOKUP($A34,'KO128'!$G$6:$I$257,3,0)</f>
        <v>12</v>
      </c>
      <c r="BV16" s="325" t="e">
        <f ca="1">VLOOKUP($A16,'KO128'!$G$6:$H$129,2,0)</f>
        <v>#N/A</v>
      </c>
      <c r="BW16" s="318" t="e">
        <f ca="1">VLOOKUP($A16,'KO128'!$G$6:$I$129,3,0)</f>
        <v>#N/A</v>
      </c>
      <c r="BX16" s="325" t="e">
        <f ca="1">VLOOKUP($A16,'KO128'!$K$10:$L$123,2,0)</f>
        <v>#N/A</v>
      </c>
      <c r="BY16" s="318" t="e">
        <f ca="1">VLOOKUP($A16,'KO128'!$K$10:$M$123,3,0)</f>
        <v>#N/A</v>
      </c>
    </row>
    <row r="17" spans="1:77">
      <c r="A17" s="2">
        <f t="shared" ca="1" si="0"/>
        <v>15</v>
      </c>
      <c r="B17" s="61" t="str">
        <f t="shared" ca="1" si="4"/>
        <v>15 PLUK Jablonec - Palicová Markéta</v>
      </c>
      <c r="C17" s="62" t="str">
        <f ca="1">IF(E17&gt;$G$2,"",Nasazení!B17)</f>
        <v>O1</v>
      </c>
      <c r="D17" s="61" t="str">
        <f ca="1">IF(TYPE(VLOOKUP(C17,Výsledky_skupin!$A$3:$B$258,2,0))&gt;4," -",VLOOKUP(C17,Výsledky_skupin!$A$3:$B$258,2,0))</f>
        <v>15 PLUK Jablonec - Palicová Markéta</v>
      </c>
      <c r="E17" s="2">
        <v>15</v>
      </c>
      <c r="F17">
        <f t="shared" ca="1" si="1"/>
        <v>0</v>
      </c>
      <c r="I17" s="325" t="str">
        <f t="shared" ca="1" si="3"/>
        <v xml:space="preserve"> </v>
      </c>
      <c r="AE17" s="325" t="str">
        <f ca="1">VLOOKUP($A17,'Dohrávka_9-16'!$O$10:$P$35,2,0)</f>
        <v xml:space="preserve"> </v>
      </c>
      <c r="AT17" s="325" t="str">
        <f ca="1">VLOOKUP($A17,'KO32'!$G$6:$H$63,2,0)</f>
        <v xml:space="preserve"> </v>
      </c>
      <c r="AU17" s="318">
        <f ca="1">VLOOKUP($A17,'KO32'!$G$6:$I$63,3,0)</f>
        <v>0</v>
      </c>
      <c r="BG17" s="325" t="str">
        <f ca="1">VLOOKUP($A17,'KO64'!$G$6:$H$129,2,0)</f>
        <v xml:space="preserve"> </v>
      </c>
      <c r="BH17" s="318">
        <f ca="1">VLOOKUP($A17,'KO64'!$G$6:$I$129,3,0)</f>
        <v>0</v>
      </c>
      <c r="BI17" s="325" t="str">
        <f ca="1">VLOOKUP($A17,'KO64'!$K$10:$L$123,2,0)</f>
        <v xml:space="preserve"> </v>
      </c>
      <c r="BJ17" s="318">
        <f ca="1">VLOOKUP($A17,'KO64'!$K$10:$M$123,3,0)</f>
        <v>0</v>
      </c>
      <c r="BT17" s="325" t="str">
        <f ca="1">VLOOKUP($A35,'KO128'!$G$6:$H$257,2,0)</f>
        <v>33 1. KPK Vrchlabí - Brázda Vladimír</v>
      </c>
      <c r="BU17" s="318">
        <f ca="1">VLOOKUP($A35,'KO128'!$G$6:$I$257,3,0)</f>
        <v>13</v>
      </c>
      <c r="BV17" s="325" t="e">
        <f ca="1">VLOOKUP($A17,'KO128'!$G$6:$H$129,2,0)</f>
        <v>#N/A</v>
      </c>
      <c r="BW17" s="318" t="e">
        <f ca="1">VLOOKUP($A17,'KO128'!$G$6:$I$129,3,0)</f>
        <v>#N/A</v>
      </c>
      <c r="BX17" s="325" t="e">
        <f ca="1">VLOOKUP($A17,'KO128'!$K$10:$L$123,2,0)</f>
        <v>#N/A</v>
      </c>
      <c r="BY17" s="318" t="e">
        <f ca="1">VLOOKUP($A17,'KO128'!$K$10:$M$123,3,0)</f>
        <v>#N/A</v>
      </c>
    </row>
    <row r="18" spans="1:77">
      <c r="A18" s="2">
        <f t="shared" ca="1" si="0"/>
        <v>16</v>
      </c>
      <c r="B18" s="61" t="str">
        <f t="shared" ca="1" si="4"/>
        <v>71 Bowle 09 Klatovy - Hulec Zdeněk</v>
      </c>
      <c r="C18" s="62" t="str">
        <f ca="1">IF(E18&gt;$G$2,"",Nasazení!B18)</f>
        <v>P1</v>
      </c>
      <c r="D18" s="61" t="str">
        <f ca="1">IF(TYPE(VLOOKUP(C18,Výsledky_skupin!$A$3:$B$258,2,0))&gt;4," -",VLOOKUP(C18,Výsledky_skupin!$A$3:$B$258,2,0))</f>
        <v>71 Bowle 09 Klatovy - Hulec Zdeněk</v>
      </c>
      <c r="E18" s="2">
        <v>16</v>
      </c>
      <c r="F18">
        <f t="shared" ca="1" si="1"/>
        <v>0</v>
      </c>
      <c r="I18" s="325" t="str">
        <f t="shared" ca="1" si="3"/>
        <v xml:space="preserve"> </v>
      </c>
      <c r="AE18" s="325" t="str">
        <f ca="1">VLOOKUP($A18,'Dohrávka_9-16'!$O$10:$P$35,2,0)</f>
        <v xml:space="preserve"> </v>
      </c>
      <c r="AT18" s="325" t="str">
        <f ca="1">VLOOKUP($A18,'KO32'!$G$6:$H$63,2,0)</f>
        <v xml:space="preserve"> </v>
      </c>
      <c r="AU18" s="318">
        <f ca="1">VLOOKUP($A18,'KO32'!$G$6:$I$63,3,0)</f>
        <v>0</v>
      </c>
      <c r="BG18" s="325" t="str">
        <f ca="1">VLOOKUP($A18,'KO64'!$G$6:$H$129,2,0)</f>
        <v xml:space="preserve"> </v>
      </c>
      <c r="BH18" s="318">
        <f ca="1">VLOOKUP($A18,'KO64'!$G$6:$I$129,3,0)</f>
        <v>0</v>
      </c>
      <c r="BI18" s="325" t="str">
        <f ca="1">VLOOKUP($A18,'KO64'!$K$10:$L$123,2,0)</f>
        <v xml:space="preserve"> </v>
      </c>
      <c r="BJ18" s="318">
        <f ca="1">VLOOKUP($A18,'KO64'!$K$10:$M$123,3,0)</f>
        <v>0</v>
      </c>
      <c r="BT18" s="325" t="str">
        <f ca="1">VLOOKUP($A36,'KO128'!$G$6:$H$257,2,0)</f>
        <v>120 Petank Club Praha - Křešťáková Jana</v>
      </c>
      <c r="BU18" s="318">
        <f ca="1">VLOOKUP($A36,'KO128'!$G$6:$I$257,3,0)</f>
        <v>2</v>
      </c>
      <c r="BV18" s="325" t="str">
        <f ca="1">VLOOKUP($A18,'KO128'!$G$6:$H$129,2,0)</f>
        <v>71 Bowle 09 Klatovy - Hulec Zdeněk</v>
      </c>
      <c r="BW18" s="318">
        <f ca="1">VLOOKUP($A18,'KO128'!$G$6:$I$129,3,0)</f>
        <v>5</v>
      </c>
      <c r="BX18" s="325" t="str">
        <f ca="1">VLOOKUP($A18,'KO128'!$K$10:$L$123,2,0)</f>
        <v>135 VARAN - Tintěrová Kateřina</v>
      </c>
      <c r="BY18" s="318">
        <f ca="1">VLOOKUP($A18,'KO128'!$K$10:$M$123,3,0)</f>
        <v>13</v>
      </c>
    </row>
    <row r="19" spans="1:77">
      <c r="A19" s="2">
        <f t="shared" ca="1" si="0"/>
        <v>17</v>
      </c>
      <c r="B19" s="61" t="str">
        <f t="shared" ca="1" si="4"/>
        <v>70 Orel Řečkovice - Hanák Pavel</v>
      </c>
      <c r="C19" s="62" t="str">
        <f ca="1">IF(E19&gt;$G$2,"",Nasazení!B19)</f>
        <v>Q1</v>
      </c>
      <c r="D19" s="61" t="str">
        <f ca="1">IF(TYPE(VLOOKUP(C19,Výsledky_skupin!$A$3:$B$258,2,0))&gt;4," -",VLOOKUP(C19,Výsledky_skupin!$A$3:$B$258,2,0))</f>
        <v>70 Orel Řečkovice - Hanák Pavel</v>
      </c>
      <c r="E19" s="2">
        <v>17</v>
      </c>
      <c r="F19">
        <f t="shared" ca="1" si="1"/>
        <v>0</v>
      </c>
      <c r="BG19" s="325" t="str">
        <f ca="1">VLOOKUP($A19,'KO64'!$G$6:$H$129,2,0)</f>
        <v xml:space="preserve"> </v>
      </c>
      <c r="BH19" s="318">
        <f ca="1">VLOOKUP($A19,'KO64'!$G$6:$I$129,3,0)</f>
        <v>0</v>
      </c>
      <c r="BT19" s="325" t="str">
        <f ca="1">VLOOKUP($A37,'KO128'!$G$6:$H$257,2,0)</f>
        <v>121 PCP Lipník - Kmoch Miroslav</v>
      </c>
      <c r="BU19" s="318">
        <f ca="1">VLOOKUP($A37,'KO128'!$G$6:$I$257,3,0)</f>
        <v>10</v>
      </c>
      <c r="BV19" s="325" t="str">
        <f ca="1">VLOOKUP($A19,'KO128'!$G$6:$H$129,2,0)</f>
        <v>70 Orel Řečkovice - Hanák Pavel</v>
      </c>
      <c r="BW19" s="318">
        <f ca="1">VLOOKUP($A19,'KO128'!$G$6:$I$129,3,0)</f>
        <v>13</v>
      </c>
    </row>
    <row r="20" spans="1:77">
      <c r="A20" s="2">
        <f t="shared" ca="1" si="0"/>
        <v>18</v>
      </c>
      <c r="B20" s="61" t="str">
        <f t="shared" ca="1" si="4"/>
        <v>104 PK Polouvsí - Ondryhal Josef</v>
      </c>
      <c r="C20" s="62" t="str">
        <f ca="1">IF(E20&gt;$G$2,"",Nasazení!B20)</f>
        <v>R1</v>
      </c>
      <c r="D20" s="61" t="str">
        <f ca="1">IF(TYPE(VLOOKUP(C20,Výsledky_skupin!$A$3:$B$258,2,0))&gt;4," -",VLOOKUP(C20,Výsledky_skupin!$A$3:$B$258,2,0))</f>
        <v>104 PK Polouvsí - Ondryhal Josef</v>
      </c>
      <c r="E20" s="2">
        <v>18</v>
      </c>
      <c r="F20">
        <f t="shared" ca="1" si="1"/>
        <v>0</v>
      </c>
      <c r="BG20" s="325" t="str">
        <f ca="1">VLOOKUP($A20,'KO64'!$G$6:$H$129,2,0)</f>
        <v xml:space="preserve"> </v>
      </c>
      <c r="BH20" s="318">
        <f ca="1">VLOOKUP($A20,'KO64'!$G$6:$I$129,3,0)</f>
        <v>0</v>
      </c>
      <c r="BT20" s="325" t="str">
        <f ca="1">VLOOKUP($A38,'KO128'!$G$6:$H$257,2,0)</f>
        <v>51 Orel Řečkovice - Hanák David</v>
      </c>
      <c r="BU20" s="318">
        <f ca="1">VLOOKUP($A38,'KO128'!$G$6:$I$257,3,0)</f>
        <v>13</v>
      </c>
      <c r="BV20" s="325" t="e">
        <f ca="1">VLOOKUP($A20,'KO128'!$G$6:$H$129,2,0)</f>
        <v>#N/A</v>
      </c>
      <c r="BW20" s="318" t="e">
        <f ca="1">VLOOKUP($A20,'KO128'!$G$6:$I$129,3,0)</f>
        <v>#N/A</v>
      </c>
    </row>
    <row r="21" spans="1:77">
      <c r="A21" s="2">
        <f t="shared" ca="1" si="0"/>
        <v>19</v>
      </c>
      <c r="B21" s="61" t="str">
        <f t="shared" ca="1" si="4"/>
        <v>19 1. KPK Vrchlabí - Srnský Lubomír</v>
      </c>
      <c r="C21" s="62" t="str">
        <f ca="1">IF(E21&gt;$G$2,"",Nasazení!B21)</f>
        <v>S1</v>
      </c>
      <c r="D21" s="61" t="str">
        <f ca="1">IF(TYPE(VLOOKUP(C21,Výsledky_skupin!$A$3:$B$258,2,0))&gt;4," -",VLOOKUP(C21,Výsledky_skupin!$A$3:$B$258,2,0))</f>
        <v>19 1. KPK Vrchlabí - Srnský Lubomír</v>
      </c>
      <c r="E21" s="2">
        <v>19</v>
      </c>
      <c r="F21">
        <f t="shared" ca="1" si="1"/>
        <v>0</v>
      </c>
      <c r="BG21" s="325" t="str">
        <f ca="1">VLOOKUP($A21,'KO64'!$G$6:$H$129,2,0)</f>
        <v xml:space="preserve"> </v>
      </c>
      <c r="BH21" s="318">
        <f ca="1">VLOOKUP($A21,'KO64'!$G$6:$I$129,3,0)</f>
        <v>0</v>
      </c>
      <c r="BT21" s="325" t="str">
        <f ca="1">VLOOKUP($A39,'KO128'!$G$6:$H$257,2,0)</f>
        <v>50 SKP Kulová osma - Krejčín Leoš</v>
      </c>
      <c r="BU21" s="318">
        <f ca="1">VLOOKUP($A39,'KO128'!$G$6:$I$257,3,0)</f>
        <v>13</v>
      </c>
      <c r="BV21" s="325" t="e">
        <f ca="1">VLOOKUP($A21,'KO128'!$G$6:$H$129,2,0)</f>
        <v>#N/A</v>
      </c>
      <c r="BW21" s="318" t="e">
        <f ca="1">VLOOKUP($A21,'KO128'!$G$6:$I$129,3,0)</f>
        <v>#N/A</v>
      </c>
    </row>
    <row r="22" spans="1:77">
      <c r="A22" s="2">
        <f t="shared" ca="1" si="0"/>
        <v>20</v>
      </c>
      <c r="B22" s="61" t="str">
        <f t="shared" ca="1" si="4"/>
        <v>20 SKP Hranice VI-Valšovice - Jakeš Zbyněk</v>
      </c>
      <c r="C22" s="62" t="str">
        <f ca="1">IF(E22&gt;$G$2,"",Nasazení!B22)</f>
        <v>T1</v>
      </c>
      <c r="D22" s="61" t="str">
        <f ca="1">IF(TYPE(VLOOKUP(C22,Výsledky_skupin!$A$3:$B$258,2,0))&gt;4," -",VLOOKUP(C22,Výsledky_skupin!$A$3:$B$258,2,0))</f>
        <v>20 SKP Hranice VI-Valšovice - Jakeš Zbyněk</v>
      </c>
      <c r="E22" s="2">
        <v>20</v>
      </c>
      <c r="F22">
        <f t="shared" ca="1" si="1"/>
        <v>0</v>
      </c>
      <c r="BG22" s="325" t="str">
        <f ca="1">VLOOKUP($A22,'KO64'!$G$6:$H$129,2,0)</f>
        <v xml:space="preserve"> </v>
      </c>
      <c r="BH22" s="318">
        <f ca="1">VLOOKUP($A22,'KO64'!$G$6:$I$129,3,0)</f>
        <v>0</v>
      </c>
      <c r="BT22" s="325" t="str">
        <f ca="1">VLOOKUP($A40,'KO128'!$G$6:$H$257,2,0)</f>
        <v>38 FENYX Adamov - Král Pavel</v>
      </c>
      <c r="BU22" s="318">
        <f ca="1">VLOOKUP($A40,'KO128'!$G$6:$I$257,3,0)</f>
        <v>5</v>
      </c>
      <c r="BV22" s="325" t="str">
        <f ca="1">VLOOKUP($A22,'KO128'!$G$6:$H$129,2,0)</f>
        <v>20 SKP Hranice VI-Valšovice - Jakeš Zbyněk</v>
      </c>
      <c r="BW22" s="318">
        <f ca="1">VLOOKUP($A22,'KO128'!$G$6:$I$129,3,0)</f>
        <v>11</v>
      </c>
    </row>
    <row r="23" spans="1:77">
      <c r="A23" s="2">
        <f t="shared" ca="1" si="0"/>
        <v>21</v>
      </c>
      <c r="B23" s="61" t="str">
        <f t="shared" ca="1" si="4"/>
        <v>66 PK 1293 Vojnův Městec - Fereš Pavel</v>
      </c>
      <c r="C23" s="62" t="str">
        <f ca="1">IF(E23&gt;$G$2,"",Nasazení!B23)</f>
        <v>U1</v>
      </c>
      <c r="D23" s="61" t="str">
        <f ca="1">IF(TYPE(VLOOKUP(C23,Výsledky_skupin!$A$3:$B$258,2,0))&gt;4," -",VLOOKUP(C23,Výsledky_skupin!$A$3:$B$258,2,0))</f>
        <v>66 PK 1293 Vojnův Městec - Fereš Pavel</v>
      </c>
      <c r="E23" s="2">
        <v>21</v>
      </c>
      <c r="F23">
        <f t="shared" ca="1" si="1"/>
        <v>0</v>
      </c>
      <c r="BG23" s="325" t="str">
        <f ca="1">VLOOKUP($A23,'KO64'!$G$6:$H$129,2,0)</f>
        <v xml:space="preserve"> </v>
      </c>
      <c r="BH23" s="318">
        <f ca="1">VLOOKUP($A23,'KO64'!$G$6:$I$129,3,0)</f>
        <v>0</v>
      </c>
      <c r="BT23" s="325" t="str">
        <f ca="1">VLOOKUP($A41,'KO128'!$G$6:$H$257,2,0)</f>
        <v>48 UBU Únětice - Palas Pavel</v>
      </c>
      <c r="BU23" s="318">
        <f ca="1">VLOOKUP($A41,'KO128'!$G$6:$I$257,3,0)</f>
        <v>13</v>
      </c>
      <c r="BV23" s="325" t="str">
        <f ca="1">VLOOKUP($A23,'KO128'!$G$6:$H$129,2,0)</f>
        <v>66 PK 1293 Vojnův Městec - Fereš Pavel</v>
      </c>
      <c r="BW23" s="318">
        <f ca="1">VLOOKUP($A23,'KO128'!$G$6:$I$129,3,0)</f>
        <v>13</v>
      </c>
    </row>
    <row r="24" spans="1:77">
      <c r="A24" s="2">
        <f t="shared" ca="1" si="0"/>
        <v>22</v>
      </c>
      <c r="B24" s="61" t="str">
        <f t="shared" ca="1" si="4"/>
        <v>65 Sokol Kostomlaty - Vaníčková Alena</v>
      </c>
      <c r="C24" s="62" t="str">
        <f ca="1">IF(E24&gt;$G$2,"",Nasazení!B24)</f>
        <v>V1</v>
      </c>
      <c r="D24" s="61" t="str">
        <f ca="1">IF(TYPE(VLOOKUP(C24,Výsledky_skupin!$A$3:$B$258,2,0))&gt;4," -",VLOOKUP(C24,Výsledky_skupin!$A$3:$B$258,2,0))</f>
        <v>65 Sokol Kostomlaty - Vaníčková Alena</v>
      </c>
      <c r="E24" s="2">
        <v>22</v>
      </c>
      <c r="F24">
        <f t="shared" ca="1" si="1"/>
        <v>0</v>
      </c>
      <c r="BG24" s="325" t="str">
        <f ca="1">VLOOKUP($A24,'KO64'!$G$6:$H$129,2,0)</f>
        <v xml:space="preserve"> </v>
      </c>
      <c r="BH24" s="318">
        <f ca="1">VLOOKUP($A24,'KO64'!$G$6:$I$129,3,0)</f>
        <v>0</v>
      </c>
      <c r="BT24" s="325" t="str">
        <f ca="1">VLOOKUP($A42,'KO128'!$G$6:$H$257,2,0)</f>
        <v>40 HAPEK - Bureš Pavel st.</v>
      </c>
      <c r="BU24" s="318">
        <f ca="1">VLOOKUP($A42,'KO128'!$G$6:$I$257,3,0)</f>
        <v>7</v>
      </c>
      <c r="BV24" s="325" t="e">
        <f ca="1">VLOOKUP($A24,'KO128'!$G$6:$H$129,2,0)</f>
        <v>#N/A</v>
      </c>
      <c r="BW24" s="318" t="e">
        <f ca="1">VLOOKUP($A24,'KO128'!$G$6:$I$129,3,0)</f>
        <v>#N/A</v>
      </c>
    </row>
    <row r="25" spans="1:77">
      <c r="A25" s="2">
        <f t="shared" ca="1" si="0"/>
        <v>23</v>
      </c>
      <c r="B25" s="61" t="str">
        <f t="shared" ca="1" si="4"/>
        <v>23 Kulový blesk Olomouc - Konečná Jana</v>
      </c>
      <c r="C25" s="62" t="str">
        <f ca="1">IF(E25&gt;$G$2,"",Nasazení!B25)</f>
        <v>W1</v>
      </c>
      <c r="D25" s="61" t="str">
        <f ca="1">IF(TYPE(VLOOKUP(C25,Výsledky_skupin!$A$3:$B$258,2,0))&gt;4," -",VLOOKUP(C25,Výsledky_skupin!$A$3:$B$258,2,0))</f>
        <v>23 Kulový blesk Olomouc - Konečná Jana</v>
      </c>
      <c r="E25" s="2">
        <v>23</v>
      </c>
      <c r="F25">
        <f t="shared" ca="1" si="1"/>
        <v>0</v>
      </c>
      <c r="BG25" s="325" t="str">
        <f ca="1">VLOOKUP($A25,'KO64'!$G$6:$H$129,2,0)</f>
        <v xml:space="preserve"> </v>
      </c>
      <c r="BH25" s="318">
        <f ca="1">VLOOKUP($A25,'KO64'!$G$6:$I$129,3,0)</f>
        <v>0</v>
      </c>
      <c r="BT25" s="325" t="str">
        <f ca="1">VLOOKUP($A43,'KO128'!$G$6:$H$257,2,0)</f>
        <v>41 SKP Kulová osma - Pilát Petr</v>
      </c>
      <c r="BU25" s="318">
        <f ca="1">VLOOKUP($A43,'KO128'!$G$6:$I$257,3,0)</f>
        <v>9</v>
      </c>
      <c r="BV25" s="325" t="e">
        <f ca="1">VLOOKUP($A25,'KO128'!$G$6:$H$129,2,0)</f>
        <v>#N/A</v>
      </c>
      <c r="BW25" s="318" t="e">
        <f ca="1">VLOOKUP($A25,'KO128'!$G$6:$I$129,3,0)</f>
        <v>#N/A</v>
      </c>
    </row>
    <row r="26" spans="1:77">
      <c r="A26" s="2">
        <f t="shared" ca="1" si="0"/>
        <v>24</v>
      </c>
      <c r="B26" s="61" t="str">
        <f t="shared" ca="1" si="4"/>
        <v>110 PK Polouvsí - Valošková Sára</v>
      </c>
      <c r="C26" s="62" t="str">
        <f ca="1">IF(E26&gt;$G$2,"",Nasazení!B26)</f>
        <v>X1</v>
      </c>
      <c r="D26" s="61" t="str">
        <f ca="1">IF(TYPE(VLOOKUP(C26,Výsledky_skupin!$A$3:$B$258,2,0))&gt;4," -",VLOOKUP(C26,Výsledky_skupin!$A$3:$B$258,2,0))</f>
        <v>110 PK Polouvsí - Valošková Sára</v>
      </c>
      <c r="E26" s="2">
        <v>24</v>
      </c>
      <c r="F26">
        <f t="shared" ca="1" si="1"/>
        <v>0</v>
      </c>
      <c r="BG26" s="325" t="str">
        <f ca="1">VLOOKUP($A26,'KO64'!$G$6:$H$129,2,0)</f>
        <v xml:space="preserve"> </v>
      </c>
      <c r="BH26" s="318">
        <f ca="1">VLOOKUP($A26,'KO64'!$G$6:$I$129,3,0)</f>
        <v>0</v>
      </c>
      <c r="BT26" s="325" t="str">
        <f ca="1">VLOOKUP($A44,'KO128'!$G$6:$H$257,2,0)</f>
        <v>131 PKT Velký Šanc - Sedláčková Hedvika</v>
      </c>
      <c r="BU26" s="318">
        <f ca="1">VLOOKUP($A44,'KO128'!$G$6:$I$257,3,0)</f>
        <v>13</v>
      </c>
      <c r="BV26" s="325" t="str">
        <f ca="1">VLOOKUP($A26,'KO128'!$G$6:$H$129,2,0)</f>
        <v>110 PK Polouvsí - Valošková Sára</v>
      </c>
      <c r="BW26" s="318">
        <f ca="1">VLOOKUP($A26,'KO128'!$G$6:$I$129,3,0)</f>
        <v>13</v>
      </c>
    </row>
    <row r="27" spans="1:77">
      <c r="A27" s="2">
        <f t="shared" ca="1" si="0"/>
        <v>25</v>
      </c>
      <c r="B27" s="61" t="str">
        <f t="shared" ca="1" si="4"/>
        <v>62 Carreau Brno - Grepl Jiří</v>
      </c>
      <c r="C27" s="62" t="str">
        <f ca="1">IF(E27&gt;$G$2,"",Nasazení!B27)</f>
        <v>Y1</v>
      </c>
      <c r="D27" s="61" t="str">
        <f ca="1">IF(TYPE(VLOOKUP(C27,Výsledky_skupin!$A$3:$B$258,2,0))&gt;4," -",VLOOKUP(C27,Výsledky_skupin!$A$3:$B$258,2,0))</f>
        <v>62 Carreau Brno - Grepl Jiří</v>
      </c>
      <c r="E27" s="2">
        <v>25</v>
      </c>
      <c r="F27">
        <f t="shared" ca="1" si="1"/>
        <v>0</v>
      </c>
      <c r="BG27" s="325" t="str">
        <f ca="1">VLOOKUP($A27,'KO64'!$G$6:$H$129,2,0)</f>
        <v xml:space="preserve"> </v>
      </c>
      <c r="BH27" s="318">
        <f ca="1">VLOOKUP($A27,'KO64'!$G$6:$I$129,3,0)</f>
        <v>0</v>
      </c>
      <c r="BT27" s="325" t="str">
        <f ca="1">VLOOKUP($A45,'KO128'!$G$6:$H$257,2,0)</f>
        <v>43 SK Sahara Vědomice - Přibyl Miloš</v>
      </c>
      <c r="BU27" s="318">
        <f ca="1">VLOOKUP($A45,'KO128'!$G$6:$I$257,3,0)</f>
        <v>11</v>
      </c>
      <c r="BV27" s="325" t="str">
        <f ca="1">VLOOKUP($A27,'KO128'!$G$6:$H$129,2,0)</f>
        <v>62 Carreau Brno - Grepl Jiří</v>
      </c>
      <c r="BW27" s="318">
        <f ca="1">VLOOKUP($A27,'KO128'!$G$6:$I$129,3,0)</f>
        <v>13</v>
      </c>
    </row>
    <row r="28" spans="1:77">
      <c r="A28" s="2">
        <f t="shared" ca="1" si="0"/>
        <v>26</v>
      </c>
      <c r="B28" s="61" t="str">
        <f t="shared" ca="1" si="4"/>
        <v>112 SK Sahara Vědomice - Gröschl Zdeněk</v>
      </c>
      <c r="C28" s="62" t="str">
        <f ca="1">IF(E28&gt;$G$2,"",Nasazení!B28)</f>
        <v>Z1</v>
      </c>
      <c r="D28" s="61" t="str">
        <f ca="1">IF(TYPE(VLOOKUP(C28,Výsledky_skupin!$A$3:$B$258,2,0))&gt;4," -",VLOOKUP(C28,Výsledky_skupin!$A$3:$B$258,2,0))</f>
        <v>112 SK Sahara Vědomice - Gröschl Zdeněk</v>
      </c>
      <c r="E28" s="2">
        <v>26</v>
      </c>
      <c r="F28">
        <f t="shared" ca="1" si="1"/>
        <v>0</v>
      </c>
      <c r="BG28" s="325" t="str">
        <f ca="1">VLOOKUP($A28,'KO64'!$G$6:$H$129,2,0)</f>
        <v xml:space="preserve"> </v>
      </c>
      <c r="BH28" s="318">
        <f ca="1">VLOOKUP($A28,'KO64'!$G$6:$I$129,3,0)</f>
        <v>0</v>
      </c>
      <c r="BT28" s="325" t="str">
        <f ca="1">VLOOKUP($A46,'KO128'!$G$6:$H$257,2,0)</f>
        <v>44 Petank Club Praha - Vorel Jan</v>
      </c>
      <c r="BU28" s="318">
        <f ca="1">VLOOKUP($A46,'KO128'!$G$6:$I$257,3,0)</f>
        <v>11</v>
      </c>
      <c r="BV28" s="325" t="e">
        <f ca="1">VLOOKUP($A28,'KO128'!$G$6:$H$129,2,0)</f>
        <v>#N/A</v>
      </c>
      <c r="BW28" s="318" t="e">
        <f ca="1">VLOOKUP($A28,'KO128'!$G$6:$I$129,3,0)</f>
        <v>#N/A</v>
      </c>
    </row>
    <row r="29" spans="1:77">
      <c r="A29" s="2">
        <f t="shared" ca="1" si="0"/>
        <v>27</v>
      </c>
      <c r="B29" s="61" t="str">
        <f t="shared" ca="1" si="4"/>
        <v>27 Sokol Kostomlaty - Vlach Jaromír</v>
      </c>
      <c r="C29" s="62" t="str">
        <f ca="1">IF(E29&gt;$G$2,"",Nasazení!B29)</f>
        <v>AA1</v>
      </c>
      <c r="D29" s="61" t="str">
        <f ca="1">IF(TYPE(VLOOKUP(C29,Výsledky_skupin!$A$3:$B$258,2,0))&gt;4," -",VLOOKUP(C29,Výsledky_skupin!$A$3:$B$258,2,0))</f>
        <v>27 Sokol Kostomlaty - Vlach Jaromír</v>
      </c>
      <c r="E29" s="2">
        <v>27</v>
      </c>
      <c r="F29">
        <f t="shared" ca="1" si="1"/>
        <v>0</v>
      </c>
      <c r="BG29" s="325" t="str">
        <f ca="1">VLOOKUP($A29,'KO64'!$G$6:$H$129,2,0)</f>
        <v xml:space="preserve"> </v>
      </c>
      <c r="BH29" s="318">
        <f ca="1">VLOOKUP($A29,'KO64'!$G$6:$I$129,3,0)</f>
        <v>0</v>
      </c>
      <c r="BT29" s="325" t="str">
        <f ca="1">VLOOKUP($A47,'KO128'!$G$6:$H$257,2,0)</f>
        <v>45 SKP Hranice VI-Valšovice - Tománek Petr</v>
      </c>
      <c r="BU29" s="318">
        <f ca="1">VLOOKUP($A47,'KO128'!$G$6:$I$257,3,0)</f>
        <v>13</v>
      </c>
      <c r="BV29" s="325" t="e">
        <f ca="1">VLOOKUP($A29,'KO128'!$G$6:$H$129,2,0)</f>
        <v>#N/A</v>
      </c>
      <c r="BW29" s="318" t="e">
        <f ca="1">VLOOKUP($A29,'KO128'!$G$6:$I$129,3,0)</f>
        <v>#N/A</v>
      </c>
    </row>
    <row r="30" spans="1:77">
      <c r="A30" s="2">
        <f t="shared" ca="1" si="0"/>
        <v>28</v>
      </c>
      <c r="B30" s="61" t="str">
        <f t="shared" ca="1" si="4"/>
        <v>28 SK Pétanque Řepy - Pastorek Jaroslav</v>
      </c>
      <c r="C30" s="62" t="str">
        <f ca="1">IF(E30&gt;$G$2,"",Nasazení!B30)</f>
        <v>AB1</v>
      </c>
      <c r="D30" s="61" t="str">
        <f ca="1">IF(TYPE(VLOOKUP(C30,Výsledky_skupin!$A$3:$B$258,2,0))&gt;4," -",VLOOKUP(C30,Výsledky_skupin!$A$3:$B$258,2,0))</f>
        <v>28 SK Pétanque Řepy - Pastorek Jaroslav</v>
      </c>
      <c r="E30" s="2">
        <v>28</v>
      </c>
      <c r="F30">
        <f t="shared" ca="1" si="1"/>
        <v>0</v>
      </c>
      <c r="BG30" s="325" t="str">
        <f ca="1">VLOOKUP($A30,'KO64'!$G$6:$H$129,2,0)</f>
        <v xml:space="preserve"> </v>
      </c>
      <c r="BH30" s="318">
        <f ca="1">VLOOKUP($A30,'KO64'!$G$6:$I$129,3,0)</f>
        <v>0</v>
      </c>
      <c r="BT30" s="325" t="str">
        <f ca="1">VLOOKUP($A48,'KO128'!$G$6:$H$257,2,0)</f>
        <v>83 PKT Velký Šanc - Horálek Jiří</v>
      </c>
      <c r="BU30" s="318">
        <f ca="1">VLOOKUP($A48,'KO128'!$G$6:$I$257,3,0)</f>
        <v>7</v>
      </c>
      <c r="BV30" s="325" t="str">
        <f ca="1">VLOOKUP($A30,'KO128'!$G$6:$H$129,2,0)</f>
        <v>28 SK Pétanque Řepy - Pastorek Jaroslav</v>
      </c>
      <c r="BW30" s="318">
        <f ca="1">VLOOKUP($A30,'KO128'!$G$6:$I$129,3,0)</f>
        <v>5</v>
      </c>
    </row>
    <row r="31" spans="1:77">
      <c r="A31" s="2">
        <f t="shared" ca="1" si="0"/>
        <v>29</v>
      </c>
      <c r="B31" s="61" t="str">
        <f t="shared" ca="1" si="4"/>
        <v>58 PC Sokol Lipník - Fafek Petr</v>
      </c>
      <c r="C31" s="62" t="str">
        <f ca="1">IF(E31&gt;$G$2,"",Nasazení!B31)</f>
        <v>AC1</v>
      </c>
      <c r="D31" s="61" t="str">
        <f ca="1">IF(TYPE(VLOOKUP(C31,Výsledky_skupin!$A$3:$B$258,2,0))&gt;4," -",VLOOKUP(C31,Výsledky_skupin!$A$3:$B$258,2,0))</f>
        <v>58 PC Sokol Lipník - Fafek Petr</v>
      </c>
      <c r="E31" s="2">
        <v>29</v>
      </c>
      <c r="F31">
        <f t="shared" ca="1" si="1"/>
        <v>0</v>
      </c>
      <c r="BG31" s="325" t="str">
        <f ca="1">VLOOKUP($A31,'KO64'!$G$6:$H$129,2,0)</f>
        <v xml:space="preserve"> </v>
      </c>
      <c r="BH31" s="318">
        <f ca="1">VLOOKUP($A31,'KO64'!$G$6:$I$129,3,0)</f>
        <v>0</v>
      </c>
      <c r="BT31" s="325" t="str">
        <f ca="1">VLOOKUP($A49,'KO128'!$G$6:$H$257,2,0)</f>
        <v>82 Petank Club Praha - Kašparová Barbora</v>
      </c>
      <c r="BU31" s="318">
        <f ca="1">VLOOKUP($A49,'KO128'!$G$6:$I$257,3,0)</f>
        <v>0</v>
      </c>
      <c r="BV31" s="325" t="str">
        <f ca="1">VLOOKUP($A31,'KO128'!$G$6:$H$129,2,0)</f>
        <v>58 PC Sokol Lipník - Fafek Petr</v>
      </c>
      <c r="BW31" s="318">
        <f ca="1">VLOOKUP($A31,'KO128'!$G$6:$I$129,3,0)</f>
        <v>1</v>
      </c>
    </row>
    <row r="32" spans="1:77">
      <c r="A32" s="2">
        <f t="shared" ca="1" si="0"/>
        <v>30</v>
      </c>
      <c r="B32" s="61" t="str">
        <f t="shared" ca="1" si="4"/>
        <v>30 POP Praha - Resl Jan</v>
      </c>
      <c r="C32" s="62" t="str">
        <f ca="1">IF(E32&gt;$G$2,"",Nasazení!B32)</f>
        <v>AD1</v>
      </c>
      <c r="D32" s="61" t="str">
        <f ca="1">IF(TYPE(VLOOKUP(C32,Výsledky_skupin!$A$3:$B$258,2,0))&gt;4," -",VLOOKUP(C32,Výsledky_skupin!$A$3:$B$258,2,0))</f>
        <v>30 POP Praha - Resl Jan</v>
      </c>
      <c r="E32" s="2">
        <v>30</v>
      </c>
      <c r="F32">
        <f t="shared" ca="1" si="1"/>
        <v>0</v>
      </c>
      <c r="BG32" s="325" t="str">
        <f ca="1">VLOOKUP($A32,'KO64'!$G$6:$H$129,2,0)</f>
        <v xml:space="preserve"> </v>
      </c>
      <c r="BH32" s="318">
        <f ca="1">VLOOKUP($A32,'KO64'!$G$6:$I$129,3,0)</f>
        <v>0</v>
      </c>
      <c r="BT32" s="325" t="str">
        <f ca="1">VLOOKUP($A50,'KO128'!$G$6:$H$257,2,0)</f>
        <v>92 PAK Albrechtice - Žiak Radomír</v>
      </c>
      <c r="BU32" s="318">
        <f ca="1">VLOOKUP($A50,'KO128'!$G$6:$I$257,3,0)</f>
        <v>11</v>
      </c>
      <c r="BV32" s="325" t="e">
        <f ca="1">VLOOKUP($A32,'KO128'!$G$6:$H$129,2,0)</f>
        <v>#N/A</v>
      </c>
      <c r="BW32" s="318" t="e">
        <f ca="1">VLOOKUP($A32,'KO128'!$G$6:$I$129,3,0)</f>
        <v>#N/A</v>
      </c>
    </row>
    <row r="33" spans="1:73">
      <c r="A33" s="2">
        <f t="shared" ca="1" si="0"/>
        <v>31</v>
      </c>
      <c r="B33" s="61" t="str">
        <f t="shared" ca="1" si="4"/>
        <v>31 PLUK Jablonec - Lukáš Petr</v>
      </c>
      <c r="C33" s="62" t="str">
        <f ca="1">IF(E33&gt;$G$2,"",Nasazení!B33)</f>
        <v>AE1</v>
      </c>
      <c r="D33" s="61" t="str">
        <f ca="1">IF(TYPE(VLOOKUP(C33,Výsledky_skupin!$A$3:$B$258,2,0))&gt;4," -",VLOOKUP(C33,Výsledky_skupin!$A$3:$B$258,2,0))</f>
        <v>31 PLUK Jablonec - Lukáš Petr</v>
      </c>
      <c r="E33" s="2">
        <v>31</v>
      </c>
      <c r="F33">
        <f t="shared" ca="1" si="1"/>
        <v>0</v>
      </c>
      <c r="BG33" s="325" t="str">
        <f ca="1">VLOOKUP($A33,'KO64'!$G$6:$H$129,2,0)</f>
        <v xml:space="preserve"> </v>
      </c>
      <c r="BH33" s="318">
        <f ca="1">VLOOKUP($A33,'KO64'!$G$6:$I$129,3,0)</f>
        <v>0</v>
      </c>
      <c r="BT33" s="325" t="str">
        <f ca="1">VLOOKUP($A51,'KO128'!$G$6:$H$257,2,0)</f>
        <v>135 VARAN - Tintěrová Kateřina</v>
      </c>
      <c r="BU33" s="318">
        <f ca="1">VLOOKUP($A51,'KO128'!$G$6:$I$257,3,0)</f>
        <v>13</v>
      </c>
    </row>
    <row r="34" spans="1:73">
      <c r="A34" s="2">
        <f t="shared" ca="1" si="0"/>
        <v>32</v>
      </c>
      <c r="B34" s="61" t="str">
        <f t="shared" ca="1" si="4"/>
        <v>32 Club Rodamiento - Kamaryt Josef</v>
      </c>
      <c r="C34" s="62" t="str">
        <f ca="1">IF(E34&gt;$G$2,"",Nasazení!B34)</f>
        <v>AF1</v>
      </c>
      <c r="D34" s="61" t="str">
        <f ca="1">IF(TYPE(VLOOKUP(C34,Výsledky_skupin!$A$3:$B$258,2,0))&gt;4," -",VLOOKUP(C34,Výsledky_skupin!$A$3:$B$258,2,0))</f>
        <v>32 Club Rodamiento - Kamaryt Josef</v>
      </c>
      <c r="E34" s="2">
        <v>32</v>
      </c>
      <c r="F34">
        <f ca="1">IF(E34&gt;$E$2,IF($F$2&gt;0,IF(MOD(E34,2)=0,-1,1),0),0)</f>
        <v>0</v>
      </c>
      <c r="BG34" s="325" t="str">
        <f ca="1">VLOOKUP($A34,'KO64'!$G$6:$H$129,2,0)</f>
        <v xml:space="preserve"> </v>
      </c>
      <c r="BH34" s="318">
        <f ca="1">VLOOKUP($A34,'KO64'!$G$6:$I$129,3,0)</f>
        <v>0</v>
      </c>
      <c r="BT34" s="325" t="str">
        <f ca="1">VLOOKUP($A52,'KO128'!$G$6:$H$257,2,0)</f>
        <v>37 1. KPK Vrchlabí - Řezníček Jiří</v>
      </c>
      <c r="BU34" s="318">
        <f ca="1">VLOOKUP($A52,'KO128'!$G$6:$I$257,3,0)</f>
        <v>13</v>
      </c>
    </row>
    <row r="35" spans="1:73">
      <c r="A35" s="2">
        <f t="shared" ca="1" si="0"/>
        <v>33</v>
      </c>
      <c r="B35" s="61" t="str">
        <f t="shared" ca="1" si="4"/>
        <v>33 1. KPK Vrchlabí - Brázda Vladimír</v>
      </c>
      <c r="C35" s="62" t="str">
        <f ca="1">IF(E35&gt;$G$2,"",Nasazení!B35)</f>
        <v>AG1</v>
      </c>
      <c r="D35" s="61" t="str">
        <f ca="1">IF(TYPE(VLOOKUP(C35,Výsledky_skupin!$A$3:$B$258,2,0))&gt;4," -",VLOOKUP(C35,Výsledky_skupin!$A$3:$B$258,2,0))</f>
        <v>33 1. KPK Vrchlabí - Brázda Vladimír</v>
      </c>
      <c r="E35" s="2">
        <v>33</v>
      </c>
      <c r="F35">
        <f t="shared" ca="1" si="1"/>
        <v>0</v>
      </c>
      <c r="BT35" s="325" t="str">
        <f ca="1">VLOOKUP($A53,'KO128'!$G$6:$H$257,2,0)</f>
        <v>95 PPA POZORKA - Michovský Jiří</v>
      </c>
      <c r="BU35" s="318">
        <f ca="1">VLOOKUP($A53,'KO128'!$G$6:$I$257,3,0)</f>
        <v>11</v>
      </c>
    </row>
    <row r="36" spans="1:73">
      <c r="A36" s="2">
        <f t="shared" ca="1" si="0"/>
        <v>34</v>
      </c>
      <c r="B36" s="61" t="str">
        <f t="shared" ca="1" si="4"/>
        <v>120 Petank Club Praha - Křešťáková Jana</v>
      </c>
      <c r="C36" s="62" t="str">
        <f ca="1">IF(E36&gt;$G$2,"",Nasazení!B36)</f>
        <v>AH1</v>
      </c>
      <c r="D36" s="61" t="str">
        <f ca="1">IF(TYPE(VLOOKUP(C36,Výsledky_skupin!$A$3:$B$258,2,0))&gt;4," -",VLOOKUP(C36,Výsledky_skupin!$A$3:$B$258,2,0))</f>
        <v>120 Petank Club Praha - Křešťáková Jana</v>
      </c>
      <c r="E36" s="2">
        <v>34</v>
      </c>
      <c r="F36">
        <f t="shared" ca="1" si="1"/>
        <v>0</v>
      </c>
      <c r="BT36" s="325" t="str">
        <f ca="1">VLOOKUP($A54,'KO128'!$G$6:$H$257,2,0)</f>
        <v>96 1. KPK Vrchlabí - Kadavá Petra</v>
      </c>
      <c r="BU36" s="318">
        <f ca="1">VLOOKUP($A54,'KO128'!$G$6:$I$257,3,0)</f>
        <v>13</v>
      </c>
    </row>
    <row r="37" spans="1:73">
      <c r="A37" s="2">
        <f t="shared" ca="1" si="0"/>
        <v>35</v>
      </c>
      <c r="B37" s="61" t="str">
        <f t="shared" ca="1" si="4"/>
        <v>121 PCP Lipník - Kmoch Miroslav</v>
      </c>
      <c r="C37" s="62" t="str">
        <f ca="1">IF(E37&gt;$G$2,"",Nasazení!B37)</f>
        <v>AI1</v>
      </c>
      <c r="D37" s="61" t="str">
        <f ca="1">IF(TYPE(VLOOKUP(C37,Výsledky_skupin!$A$3:$B$258,2,0))&gt;4," -",VLOOKUP(C37,Výsledky_skupin!$A$3:$B$258,2,0))</f>
        <v>121 PCP Lipník - Kmoch Miroslav</v>
      </c>
      <c r="E37" s="2">
        <v>35</v>
      </c>
      <c r="F37">
        <f t="shared" ca="1" si="1"/>
        <v>0</v>
      </c>
      <c r="BT37" s="325" t="str">
        <f ca="1">VLOOKUP($A55,'KO128'!$G$6:$H$257,2,0)</f>
        <v>97 PK Osika Plzeň - Špitálský Milan</v>
      </c>
      <c r="BU37" s="318">
        <f ca="1">VLOOKUP($A55,'KO128'!$G$6:$I$257,3,0)</f>
        <v>13</v>
      </c>
    </row>
    <row r="38" spans="1:73">
      <c r="A38" s="2">
        <f t="shared" ca="1" si="0"/>
        <v>36</v>
      </c>
      <c r="B38" s="61" t="str">
        <f t="shared" ca="1" si="4"/>
        <v>51 Orel Řečkovice - Hanák David</v>
      </c>
      <c r="C38" s="62" t="str">
        <f ca="1">IF(E38&gt;$G$2,"",Nasazení!B38)</f>
        <v>AJ1</v>
      </c>
      <c r="D38" s="61" t="str">
        <f ca="1">IF(TYPE(VLOOKUP(C38,Výsledky_skupin!$A$3:$B$258,2,0))&gt;4," -",VLOOKUP(C38,Výsledky_skupin!$A$3:$B$258,2,0))</f>
        <v>51 Orel Řečkovice - Hanák David</v>
      </c>
      <c r="E38" s="2">
        <v>36</v>
      </c>
      <c r="F38">
        <f t="shared" ca="1" si="1"/>
        <v>0</v>
      </c>
      <c r="BT38" s="325" t="str">
        <f ca="1">VLOOKUP($A56,'KO128'!$G$6:$H$257,2,0)</f>
        <v>54 SK Sahara Vědomice - Horáčková Simona</v>
      </c>
      <c r="BU38" s="318">
        <f ca="1">VLOOKUP($A56,'KO128'!$G$6:$I$257,3,0)</f>
        <v>10</v>
      </c>
    </row>
    <row r="39" spans="1:73">
      <c r="A39" s="2">
        <f t="shared" ca="1" si="0"/>
        <v>37</v>
      </c>
      <c r="B39" s="61" t="str">
        <f t="shared" ca="1" si="4"/>
        <v>50 SKP Kulová osma - Krejčín Leoš</v>
      </c>
      <c r="C39" s="62" t="str">
        <f ca="1">IF(E39&gt;$G$2,"",Nasazení!B39)</f>
        <v>AK1</v>
      </c>
      <c r="D39" s="61" t="str">
        <f ca="1">IF(TYPE(VLOOKUP(C39,Výsledky_skupin!$A$3:$B$258,2,0))&gt;4," -",VLOOKUP(C39,Výsledky_skupin!$A$3:$B$258,2,0))</f>
        <v>50 SKP Kulová osma - Krejčín Leoš</v>
      </c>
      <c r="E39" s="2">
        <v>37</v>
      </c>
      <c r="F39">
        <f t="shared" ca="1" si="1"/>
        <v>0</v>
      </c>
      <c r="BT39" s="325" t="str">
        <f ca="1">VLOOKUP($A57,'KO128'!$G$6:$H$257,2,0)</f>
        <v>13 PC Sokol Lipník - Zdobinský Michal ml.</v>
      </c>
      <c r="BU39" s="318">
        <f ca="1">VLOOKUP($A57,'KO128'!$G$6:$I$257,3,0)</f>
        <v>12</v>
      </c>
    </row>
    <row r="40" spans="1:73">
      <c r="A40" s="2">
        <f t="shared" ca="1" si="0"/>
        <v>38</v>
      </c>
      <c r="B40" s="61" t="str">
        <f t="shared" ca="1" si="4"/>
        <v>38 FENYX Adamov - Král Pavel</v>
      </c>
      <c r="C40" s="62" t="str">
        <f ca="1">IF(E40&gt;$G$2,"",Nasazení!B40)</f>
        <v>AL1</v>
      </c>
      <c r="D40" s="61" t="str">
        <f ca="1">IF(TYPE(VLOOKUP(C40,Výsledky_skupin!$A$3:$B$258,2,0))&gt;4," -",VLOOKUP(C40,Výsledky_skupin!$A$3:$B$258,2,0))</f>
        <v>38 FENYX Adamov - Král Pavel</v>
      </c>
      <c r="E40" s="2">
        <v>38</v>
      </c>
      <c r="F40">
        <f t="shared" ca="1" si="1"/>
        <v>0</v>
      </c>
      <c r="BT40" s="325" t="str">
        <f ca="1">VLOOKUP($A58,'KO128'!$G$6:$H$257,2,0)</f>
        <v>100 1. Starobrněnský PK - Blažejová Eva</v>
      </c>
      <c r="BU40" s="318">
        <f ca="1">VLOOKUP($A58,'KO128'!$G$6:$I$257,3,0)</f>
        <v>6</v>
      </c>
    </row>
    <row r="41" spans="1:73">
      <c r="A41" s="2">
        <f t="shared" ca="1" si="0"/>
        <v>39</v>
      </c>
      <c r="B41" s="61" t="str">
        <f t="shared" ca="1" si="4"/>
        <v>48 UBU Únětice - Palas Pavel</v>
      </c>
      <c r="C41" s="62" t="str">
        <f ca="1">IF(E41&gt;$G$2,"",Nasazení!B41)</f>
        <v>AM1</v>
      </c>
      <c r="D41" s="61" t="str">
        <f ca="1">IF(TYPE(VLOOKUP(C41,Výsledky_skupin!$A$3:$B$258,2,0))&gt;4," -",VLOOKUP(C41,Výsledky_skupin!$A$3:$B$258,2,0))</f>
        <v>48 UBU Únětice - Palas Pavel</v>
      </c>
      <c r="E41" s="2">
        <v>39</v>
      </c>
      <c r="F41">
        <f t="shared" ca="1" si="1"/>
        <v>0</v>
      </c>
      <c r="BT41" s="325" t="str">
        <f ca="1">VLOOKUP($A59,'KO128'!$G$6:$H$257,2,0)</f>
        <v>57 SKP Hranice VI-Valšovice - Kutá Miloslava</v>
      </c>
      <c r="BU41" s="318">
        <f ca="1">VLOOKUP($A59,'KO128'!$G$6:$I$257,3,0)</f>
        <v>7</v>
      </c>
    </row>
    <row r="42" spans="1:73">
      <c r="A42" s="2">
        <f t="shared" ca="1" si="0"/>
        <v>40</v>
      </c>
      <c r="B42" s="61" t="str">
        <f t="shared" ca="1" si="4"/>
        <v>40 HAPEK - Bureš Pavel st.</v>
      </c>
      <c r="C42" s="62" t="str">
        <f ca="1">IF(E42&gt;$G$2,"",Nasazení!B42)</f>
        <v>AN1</v>
      </c>
      <c r="D42" s="61" t="str">
        <f ca="1">IF(TYPE(VLOOKUP(C42,Výsledky_skupin!$A$3:$B$258,2,0))&gt;4," -",VLOOKUP(C42,Výsledky_skupin!$A$3:$B$258,2,0))</f>
        <v>40 HAPEK - Bureš Pavel st.</v>
      </c>
      <c r="E42" s="2">
        <v>40</v>
      </c>
      <c r="F42">
        <f t="shared" ca="1" si="1"/>
        <v>0</v>
      </c>
      <c r="BT42" s="325" t="str">
        <f ca="1">VLOOKUP($A60,'KO128'!$G$6:$H$257,2,0)</f>
        <v>29 PC Sokol Lipník - Froňková Blanka</v>
      </c>
      <c r="BU42" s="318">
        <f ca="1">VLOOKUP($A60,'KO128'!$G$6:$I$257,3,0)</f>
        <v>6</v>
      </c>
    </row>
    <row r="43" spans="1:73">
      <c r="A43" s="2">
        <f t="shared" ca="1" si="0"/>
        <v>41</v>
      </c>
      <c r="B43" s="61" t="str">
        <f t="shared" ca="1" si="4"/>
        <v>41 SKP Kulová osma - Pilát Petr</v>
      </c>
      <c r="C43" s="62" t="str">
        <f ca="1">IF(E43&gt;$G$2,"",Nasazení!B43)</f>
        <v>AO1</v>
      </c>
      <c r="D43" s="61" t="str">
        <f ca="1">IF(TYPE(VLOOKUP(C43,Výsledky_skupin!$A$3:$B$258,2,0))&gt;4," -",VLOOKUP(C43,Výsledky_skupin!$A$3:$B$258,2,0))</f>
        <v>41 SKP Kulová osma - Pilát Petr</v>
      </c>
      <c r="E43" s="2">
        <v>41</v>
      </c>
      <c r="F43">
        <f t="shared" ca="1" si="1"/>
        <v>0</v>
      </c>
      <c r="BT43" s="325" t="str">
        <f ca="1">VLOOKUP($A61,'KO128'!$G$6:$H$257,2,0)</f>
        <v>17 SK Sahara Vědomice - Demčíková Jiřina</v>
      </c>
      <c r="BU43" s="318">
        <f ca="1">VLOOKUP($A61,'KO128'!$G$6:$I$257,3,0)</f>
        <v>1</v>
      </c>
    </row>
    <row r="44" spans="1:73">
      <c r="A44" s="2">
        <f t="shared" ca="1" si="0"/>
        <v>42</v>
      </c>
      <c r="B44" s="61" t="str">
        <f t="shared" ca="1" si="4"/>
        <v>131 PKT Velký Šanc - Sedláčková Hedvika</v>
      </c>
      <c r="C44" s="62" t="str">
        <f ca="1">IF(E44&gt;$G$2,"",Nasazení!B44)</f>
        <v>AP1</v>
      </c>
      <c r="D44" s="61" t="str">
        <f ca="1">IF(TYPE(VLOOKUP(C44,Výsledky_skupin!$A$3:$B$258,2,0))&gt;4," -",VLOOKUP(C44,Výsledky_skupin!$A$3:$B$258,2,0))</f>
        <v>131 PKT Velký Šanc - Sedláčková Hedvika</v>
      </c>
      <c r="E44" s="2">
        <v>42</v>
      </c>
      <c r="F44">
        <f t="shared" ca="1" si="1"/>
        <v>0</v>
      </c>
      <c r="BT44" s="325" t="str">
        <f ca="1">VLOOKUP($A62,'KO128'!$G$6:$H$257,2,0)</f>
        <v>60 SKP Hranice VI-Valšovice - Svobodová Lenka</v>
      </c>
      <c r="BU44" s="318">
        <f ca="1">VLOOKUP($A62,'KO128'!$G$6:$I$257,3,0)</f>
        <v>8</v>
      </c>
    </row>
    <row r="45" spans="1:73">
      <c r="A45" s="2">
        <f t="shared" ca="1" si="0"/>
        <v>43</v>
      </c>
      <c r="B45" s="61" t="str">
        <f t="shared" ca="1" si="4"/>
        <v>43 SK Sahara Vědomice - Přibyl Miloš</v>
      </c>
      <c r="C45" s="62" t="str">
        <f ca="1">IF(E45&gt;$G$2,"",Nasazení!B45)</f>
        <v>AQ1</v>
      </c>
      <c r="D45" s="61" t="str">
        <f ca="1">IF(TYPE(VLOOKUP(C45,Výsledky_skupin!$A$3:$B$258,2,0))&gt;4," -",VLOOKUP(C45,Výsledky_skupin!$A$3:$B$258,2,0))</f>
        <v>43 SK Sahara Vědomice - Přibyl Miloš</v>
      </c>
      <c r="E45" s="2">
        <v>43</v>
      </c>
      <c r="F45">
        <f t="shared" ca="1" si="1"/>
        <v>0</v>
      </c>
      <c r="BT45" s="325" t="str">
        <f ca="1">VLOOKUP($A63,'KO128'!$G$6:$H$257,2,0)</f>
        <v>105 PC Mimo Done - Zikmunda Matěj</v>
      </c>
      <c r="BU45" s="318">
        <f ca="1">VLOOKUP($A63,'KO128'!$G$6:$I$257,3,0)</f>
        <v>11</v>
      </c>
    </row>
    <row r="46" spans="1:73">
      <c r="A46" s="2">
        <f t="shared" ca="1" si="0"/>
        <v>44</v>
      </c>
      <c r="B46" s="61" t="str">
        <f t="shared" ca="1" si="4"/>
        <v>44 Petank Club Praha - Vorel Jan</v>
      </c>
      <c r="C46" s="62" t="str">
        <f ca="1">IF(E46&gt;$G$2,"",Nasazení!B46)</f>
        <v>AQ2</v>
      </c>
      <c r="D46" s="61" t="str">
        <f ca="1">IF(TYPE(VLOOKUP(C46,Výsledky_skupin!$A$3:$B$258,2,0))&gt;4," -",VLOOKUP(C46,Výsledky_skupin!$A$3:$B$258,2,0))</f>
        <v>44 Petank Club Praha - Vorel Jan</v>
      </c>
      <c r="E46" s="2">
        <v>44</v>
      </c>
      <c r="F46">
        <f t="shared" ca="1" si="1"/>
        <v>0</v>
      </c>
      <c r="BT46" s="325" t="str">
        <f ca="1">VLOOKUP($A64,'KO128'!$G$6:$H$257,2,0)</f>
        <v>67 POP Praha - Žárský Kamil</v>
      </c>
      <c r="BU46" s="318">
        <f ca="1">VLOOKUP($A64,'KO128'!$G$6:$I$257,3,0)</f>
        <v>7</v>
      </c>
    </row>
    <row r="47" spans="1:73">
      <c r="A47" s="2">
        <f t="shared" ca="1" si="0"/>
        <v>45</v>
      </c>
      <c r="B47" s="61" t="str">
        <f t="shared" ca="1" si="4"/>
        <v>45 SKP Hranice VI-Valšovice - Tománek Petr</v>
      </c>
      <c r="C47" s="62" t="str">
        <f ca="1">IF(E47&gt;$G$2,"",Nasazení!B47)</f>
        <v>AP2</v>
      </c>
      <c r="D47" s="61" t="str">
        <f ca="1">IF(TYPE(VLOOKUP(C47,Výsledky_skupin!$A$3:$B$258,2,0))&gt;4," -",VLOOKUP(C47,Výsledky_skupin!$A$3:$B$258,2,0))</f>
        <v>45 SKP Hranice VI-Valšovice - Tománek Petr</v>
      </c>
      <c r="E47" s="2">
        <v>45</v>
      </c>
      <c r="F47">
        <f t="shared" ca="1" si="1"/>
        <v>0</v>
      </c>
      <c r="BT47" s="325" t="str">
        <f ca="1">VLOOKUP($A65,'KO128'!$G$6:$H$257,2,0)</f>
        <v>24 TOP - ORLOVÁ - Ulmann Jiří</v>
      </c>
      <c r="BU47" s="318">
        <f ca="1">VLOOKUP($A65,'KO128'!$G$6:$I$257,3,0)</f>
        <v>9</v>
      </c>
    </row>
    <row r="48" spans="1:73">
      <c r="A48" s="2">
        <f t="shared" ca="1" si="0"/>
        <v>46</v>
      </c>
      <c r="B48" s="61" t="str">
        <f t="shared" ca="1" si="4"/>
        <v>127 JAPKO - Fukal Milan</v>
      </c>
      <c r="C48" s="62" t="str">
        <f ca="1">IF(E48&gt;$G$2,"",Nasazení!B48)</f>
        <v>AO2</v>
      </c>
      <c r="D48" s="61" t="str">
        <f ca="1">IF(TYPE(VLOOKUP(C48,Výsledky_skupin!$A$3:$B$258,2,0))&gt;4," -",VLOOKUP(C48,Výsledky_skupin!$A$3:$B$258,2,0))</f>
        <v>127 JAPKO - Fukal Milan</v>
      </c>
      <c r="E48" s="2">
        <v>46</v>
      </c>
      <c r="F48">
        <f t="shared" ca="1" si="1"/>
        <v>0</v>
      </c>
      <c r="BT48" s="325" t="str">
        <f ca="1">VLOOKUP($A66,'KO128'!$G$6:$H$257,2,0)</f>
        <v>22 UBU Únětice - Fuksa Petr</v>
      </c>
      <c r="BU48" s="318">
        <f ca="1">VLOOKUP($A66,'KO128'!$G$6:$I$257,3,0)</f>
        <v>3</v>
      </c>
    </row>
    <row r="49" spans="1:73">
      <c r="A49" s="2">
        <f t="shared" ca="1" si="0"/>
        <v>47</v>
      </c>
      <c r="B49" s="61" t="str">
        <f t="shared" ca="1" si="4"/>
        <v>126 1. KPK Vrchlabí - Lukeš Jakub</v>
      </c>
      <c r="C49" s="62" t="str">
        <f ca="1">IF(E49&gt;$G$2,"",Nasazení!B49)</f>
        <v>AN2</v>
      </c>
      <c r="D49" s="61" t="str">
        <f ca="1">IF(TYPE(VLOOKUP(C49,Výsledky_skupin!$A$3:$B$258,2,0))&gt;4," -",VLOOKUP(C49,Výsledky_skupin!$A$3:$B$258,2,0))</f>
        <v>126 1. KPK Vrchlabí - Lukeš Jakub</v>
      </c>
      <c r="E49" s="2">
        <v>47</v>
      </c>
      <c r="F49">
        <f t="shared" ca="1" si="1"/>
        <v>0</v>
      </c>
      <c r="BT49" s="325" t="e">
        <f ca="1">VLOOKUP($A67,'KO128'!$G$6:$H$257,2,0)</f>
        <v>#N/A</v>
      </c>
      <c r="BU49" s="318" t="e">
        <f ca="1">VLOOKUP($A67,'KO128'!$G$6:$I$257,3,0)</f>
        <v>#N/A</v>
      </c>
    </row>
    <row r="50" spans="1:73">
      <c r="A50" s="2">
        <f t="shared" ca="1" si="0"/>
        <v>48</v>
      </c>
      <c r="B50" s="61" t="str">
        <f t="shared" ca="1" si="4"/>
        <v>39 FRAPECO - Felčárek Jaroslav</v>
      </c>
      <c r="C50" s="62" t="str">
        <f ca="1">IF(E50&gt;$G$2,"",Nasazení!B50)</f>
        <v>AM2</v>
      </c>
      <c r="D50" s="61" t="str">
        <f ca="1">IF(TYPE(VLOOKUP(C50,Výsledky_skupin!$A$3:$B$258,2,0))&gt;4," -",VLOOKUP(C50,Výsledky_skupin!$A$3:$B$258,2,0))</f>
        <v>39 FRAPECO - Felčárek Jaroslav</v>
      </c>
      <c r="E50" s="2">
        <v>48</v>
      </c>
      <c r="F50">
        <f t="shared" ca="1" si="1"/>
        <v>0</v>
      </c>
      <c r="BT50" s="325" t="e">
        <f ca="1">VLOOKUP($A68,'KO128'!$G$6:$H$257,2,0)</f>
        <v>#N/A</v>
      </c>
      <c r="BU50" s="318" t="e">
        <f ca="1">VLOOKUP($A68,'KO128'!$G$6:$I$257,3,0)</f>
        <v>#N/A</v>
      </c>
    </row>
    <row r="51" spans="1:73">
      <c r="A51" s="2">
        <f t="shared" ca="1" si="0"/>
        <v>49</v>
      </c>
      <c r="B51" s="61" t="str">
        <f t="shared" ca="1" si="4"/>
        <v>135 VARAN - Tintěrová Kateřina</v>
      </c>
      <c r="C51" s="62" t="str">
        <f ca="1">IF(E51&gt;$G$2,"",Nasazení!B51)</f>
        <v>AL2</v>
      </c>
      <c r="D51" s="61" t="str">
        <f ca="1">IF(TYPE(VLOOKUP(C51,Výsledky_skupin!$A$3:$B$258,2,0))&gt;4," -",VLOOKUP(C51,Výsledky_skupin!$A$3:$B$258,2,0))</f>
        <v>135 VARAN - Tintěrová Kateřina</v>
      </c>
      <c r="E51" s="2">
        <v>49</v>
      </c>
      <c r="F51">
        <f t="shared" ca="1" si="1"/>
        <v>0</v>
      </c>
      <c r="BT51" s="325" t="e">
        <f ca="1">VLOOKUP($A69,'KO128'!$G$6:$H$257,2,0)</f>
        <v>#N/A</v>
      </c>
      <c r="BU51" s="318" t="e">
        <f ca="1">VLOOKUP($A69,'KO128'!$G$6:$I$257,3,0)</f>
        <v>#N/A</v>
      </c>
    </row>
    <row r="52" spans="1:73">
      <c r="A52" s="2">
        <f t="shared" ca="1" si="0"/>
        <v>50</v>
      </c>
      <c r="B52" s="61" t="str">
        <f t="shared" ca="1" si="4"/>
        <v>37 1. KPK Vrchlabí - Řezníček Jiří</v>
      </c>
      <c r="C52" s="62" t="str">
        <f ca="1">IF(E52&gt;$G$2,"",Nasazení!B52)</f>
        <v>AK2</v>
      </c>
      <c r="D52" s="61" t="str">
        <f ca="1">IF(TYPE(VLOOKUP(C52,Výsledky_skupin!$A$3:$B$258,2,0))&gt;4," -",VLOOKUP(C52,Výsledky_skupin!$A$3:$B$258,2,0))</f>
        <v>37 1. KPK Vrchlabí - Řezníček Jiří</v>
      </c>
      <c r="E52" s="2">
        <v>50</v>
      </c>
      <c r="F52">
        <f t="shared" ca="1" si="1"/>
        <v>0</v>
      </c>
      <c r="BT52" s="325" t="e">
        <f ca="1">VLOOKUP($A70,'KO128'!$G$6:$H$257,2,0)</f>
        <v>#N/A</v>
      </c>
      <c r="BU52" s="318" t="e">
        <f ca="1">VLOOKUP($A70,'KO128'!$G$6:$I$257,3,0)</f>
        <v>#N/A</v>
      </c>
    </row>
    <row r="53" spans="1:73">
      <c r="A53" s="2">
        <f t="shared" ca="1" si="0"/>
        <v>51</v>
      </c>
      <c r="B53" s="61" t="str">
        <f t="shared" ca="1" si="4"/>
        <v>36 HRODE KRUMSÍN - Pírek Martin</v>
      </c>
      <c r="C53" s="62" t="str">
        <f ca="1">IF(E53&gt;$G$2,"",Nasazení!B53)</f>
        <v>AJ2</v>
      </c>
      <c r="D53" s="61" t="str">
        <f ca="1">IF(TYPE(VLOOKUP(C53,Výsledky_skupin!$A$3:$B$258,2,0))&gt;4," -",VLOOKUP(C53,Výsledky_skupin!$A$3:$B$258,2,0))</f>
        <v>36 HRODE KRUMSÍN - Pírek Martin</v>
      </c>
      <c r="E53" s="2">
        <v>51</v>
      </c>
      <c r="F53">
        <f t="shared" ca="1" si="1"/>
        <v>0</v>
      </c>
      <c r="BT53" s="325" t="e">
        <f ca="1">VLOOKUP($A71,'KO128'!$G$6:$H$257,2,0)</f>
        <v>#N/A</v>
      </c>
      <c r="BU53" s="318" t="e">
        <f ca="1">VLOOKUP($A71,'KO128'!$G$6:$I$257,3,0)</f>
        <v>#N/A</v>
      </c>
    </row>
    <row r="54" spans="1:73">
      <c r="A54" s="2">
        <f t="shared" ca="1" si="0"/>
        <v>52</v>
      </c>
      <c r="B54" s="61" t="str">
        <f t="shared" ca="1" si="4"/>
        <v>35 SK Sahara Vědomice - Demčík Milan St.</v>
      </c>
      <c r="C54" s="62" t="str">
        <f ca="1">IF(E54&gt;$G$2,"",Nasazení!B54)</f>
        <v>AI2</v>
      </c>
      <c r="D54" s="61" t="str">
        <f ca="1">IF(TYPE(VLOOKUP(C54,Výsledky_skupin!$A$3:$B$258,2,0))&gt;4," -",VLOOKUP(C54,Výsledky_skupin!$A$3:$B$258,2,0))</f>
        <v>35 SK Sahara Vědomice - Demčík Milan St.</v>
      </c>
      <c r="E54" s="2">
        <v>52</v>
      </c>
      <c r="F54">
        <f t="shared" ca="1" si="1"/>
        <v>0</v>
      </c>
      <c r="BT54" s="325" t="e">
        <f ca="1">VLOOKUP($A72,'KO128'!$G$6:$H$257,2,0)</f>
        <v>#N/A</v>
      </c>
      <c r="BU54" s="318" t="e">
        <f ca="1">VLOOKUP($A72,'KO128'!$G$6:$I$257,3,0)</f>
        <v>#N/A</v>
      </c>
    </row>
    <row r="55" spans="1:73">
      <c r="A55" s="2">
        <f t="shared" ca="1" si="0"/>
        <v>53</v>
      </c>
      <c r="B55" s="61" t="str">
        <f t="shared" ca="1" si="4"/>
        <v>139 ČPK Poděbrady - Karbulka Jan</v>
      </c>
      <c r="C55" s="62" t="str">
        <f ca="1">IF(E55&gt;$G$2,"",Nasazení!B55)</f>
        <v>AH2</v>
      </c>
      <c r="D55" s="61" t="str">
        <f ca="1">IF(TYPE(VLOOKUP(C55,Výsledky_skupin!$A$3:$B$258,2,0))&gt;4," -",VLOOKUP(C55,Výsledky_skupin!$A$3:$B$258,2,0))</f>
        <v>139 ČPK Poděbrady - Karbulka Jan</v>
      </c>
      <c r="E55" s="2">
        <v>53</v>
      </c>
      <c r="F55">
        <f t="shared" ca="1" si="1"/>
        <v>0</v>
      </c>
      <c r="BT55" s="325" t="e">
        <f ca="1">VLOOKUP($A73,'KO128'!$G$6:$H$257,2,0)</f>
        <v>#N/A</v>
      </c>
      <c r="BU55" s="318" t="e">
        <f ca="1">VLOOKUP($A73,'KO128'!$G$6:$I$257,3,0)</f>
        <v>#N/A</v>
      </c>
    </row>
    <row r="56" spans="1:73">
      <c r="A56" s="2">
        <f t="shared" ca="1" si="0"/>
        <v>54</v>
      </c>
      <c r="B56" s="61" t="str">
        <f t="shared" ca="1" si="4"/>
        <v>54 SK Sahara Vědomice - Horáčková Simona</v>
      </c>
      <c r="C56" s="62" t="str">
        <f ca="1">IF(E56&gt;$G$2,"",Nasazení!B56)</f>
        <v>AG2</v>
      </c>
      <c r="D56" s="61" t="str">
        <f ca="1">IF(TYPE(VLOOKUP(C56,Výsledky_skupin!$A$3:$B$258,2,0))&gt;4," -",VLOOKUP(C56,Výsledky_skupin!$A$3:$B$258,2,0))</f>
        <v>54 SK Sahara Vědomice - Horáčková Simona</v>
      </c>
      <c r="E56" s="2">
        <v>54</v>
      </c>
      <c r="F56">
        <f t="shared" ca="1" si="1"/>
        <v>0</v>
      </c>
      <c r="BT56" s="325" t="e">
        <f ca="1">VLOOKUP($A74,'KO128'!$G$6:$H$257,2,0)</f>
        <v>#N/A</v>
      </c>
      <c r="BU56" s="318" t="e">
        <f ca="1">VLOOKUP($A74,'KO128'!$G$6:$I$257,3,0)</f>
        <v>#N/A</v>
      </c>
    </row>
    <row r="57" spans="1:73">
      <c r="A57" s="2">
        <f t="shared" ca="1" si="0"/>
        <v>55</v>
      </c>
      <c r="B57" s="61" t="str">
        <f t="shared" ca="1" si="4"/>
        <v>118 PEK Stolín - Hájková Iveta</v>
      </c>
      <c r="C57" s="62" t="str">
        <f ca="1">IF(E57&gt;$G$2,"",Nasazení!B57)</f>
        <v>AF2</v>
      </c>
      <c r="D57" s="61" t="str">
        <f ca="1">IF(TYPE(VLOOKUP(C57,Výsledky_skupin!$A$3:$B$258,2,0))&gt;4," -",VLOOKUP(C57,Výsledky_skupin!$A$3:$B$258,2,0))</f>
        <v>118 PEK Stolín - Hájková Iveta</v>
      </c>
      <c r="E57" s="2">
        <v>55</v>
      </c>
      <c r="F57">
        <f t="shared" ca="1" si="1"/>
        <v>0</v>
      </c>
      <c r="BT57" s="325" t="e">
        <f ca="1">VLOOKUP($A75,'KO128'!$G$6:$H$257,2,0)</f>
        <v>#N/A</v>
      </c>
      <c r="BU57" s="318" t="e">
        <f ca="1">VLOOKUP($A75,'KO128'!$G$6:$I$257,3,0)</f>
        <v>#N/A</v>
      </c>
    </row>
    <row r="58" spans="1:73">
      <c r="A58" s="2">
        <f t="shared" ca="1" si="0"/>
        <v>56</v>
      </c>
      <c r="B58" s="61" t="str">
        <f t="shared" ca="1" si="4"/>
        <v>56 SK Pétanque Řepy - Hladík Jaroslav</v>
      </c>
      <c r="C58" s="62" t="str">
        <f ca="1">IF(E58&gt;$G$2,"",Nasazení!B58)</f>
        <v>AE2</v>
      </c>
      <c r="D58" s="61" t="str">
        <f ca="1">IF(TYPE(VLOOKUP(C58,Výsledky_skupin!$A$3:$B$258,2,0))&gt;4," -",VLOOKUP(C58,Výsledky_skupin!$A$3:$B$258,2,0))</f>
        <v>56 SK Pétanque Řepy - Hladík Jaroslav</v>
      </c>
      <c r="E58" s="2">
        <v>56</v>
      </c>
      <c r="F58">
        <f t="shared" ca="1" si="1"/>
        <v>0</v>
      </c>
      <c r="BT58" s="325" t="e">
        <f ca="1">VLOOKUP($A76,'KO128'!$G$6:$H$257,2,0)</f>
        <v>#N/A</v>
      </c>
      <c r="BU58" s="318" t="e">
        <f ca="1">VLOOKUP($A76,'KO128'!$G$6:$I$257,3,0)</f>
        <v>#N/A</v>
      </c>
    </row>
    <row r="59" spans="1:73">
      <c r="A59" s="2">
        <f t="shared" ca="1" si="0"/>
        <v>57</v>
      </c>
      <c r="B59" s="61" t="str">
        <f t="shared" ca="1" si="4"/>
        <v>57 SKP Hranice VI-Valšovice - Kutá Miloslava</v>
      </c>
      <c r="C59" s="62" t="str">
        <f ca="1">IF(E59&gt;$G$2,"",Nasazení!B59)</f>
        <v>AD2</v>
      </c>
      <c r="D59" s="61" t="str">
        <f ca="1">IF(TYPE(VLOOKUP(C59,Výsledky_skupin!$A$3:$B$258,2,0))&gt;4," -",VLOOKUP(C59,Výsledky_skupin!$A$3:$B$258,2,0))</f>
        <v>57 SKP Hranice VI-Valšovice - Kutá Miloslava</v>
      </c>
      <c r="E59" s="2">
        <v>57</v>
      </c>
      <c r="F59">
        <f t="shared" ca="1" si="1"/>
        <v>0</v>
      </c>
      <c r="BT59" s="325" t="e">
        <f ca="1">VLOOKUP($A77,'KO128'!$G$6:$H$257,2,0)</f>
        <v>#N/A</v>
      </c>
      <c r="BU59" s="318" t="e">
        <f ca="1">VLOOKUP($A77,'KO128'!$G$6:$I$257,3,0)</f>
        <v>#N/A</v>
      </c>
    </row>
    <row r="60" spans="1:73">
      <c r="A60" s="2">
        <f t="shared" ca="1" si="0"/>
        <v>58</v>
      </c>
      <c r="B60" s="61" t="str">
        <f t="shared" ca="1" si="4"/>
        <v>29 PC Sokol Lipník - Froňková Blanka</v>
      </c>
      <c r="C60" s="62" t="str">
        <f ca="1">IF(E60&gt;$G$2,"",Nasazení!B60)</f>
        <v>AC2</v>
      </c>
      <c r="D60" s="61" t="str">
        <f ca="1">IF(TYPE(VLOOKUP(C60,Výsledky_skupin!$A$3:$B$258,2,0))&gt;4," -",VLOOKUP(C60,Výsledky_skupin!$A$3:$B$258,2,0))</f>
        <v>29 PC Sokol Lipník - Froňková Blanka</v>
      </c>
      <c r="E60" s="2">
        <v>58</v>
      </c>
      <c r="F60">
        <f t="shared" ca="1" si="1"/>
        <v>0</v>
      </c>
      <c r="BT60" s="325" t="e">
        <f ca="1">VLOOKUP($A78,'KO128'!$G$6:$H$257,2,0)</f>
        <v>#N/A</v>
      </c>
      <c r="BU60" s="318" t="e">
        <f ca="1">VLOOKUP($A78,'KO128'!$G$6:$I$257,3,0)</f>
        <v>#N/A</v>
      </c>
    </row>
    <row r="61" spans="1:73">
      <c r="A61" s="2">
        <f t="shared" ca="1" si="0"/>
        <v>59</v>
      </c>
      <c r="B61" s="61" t="str">
        <f t="shared" ca="1" si="4"/>
        <v>114 PCP Lipník - Reinbergrová Václava</v>
      </c>
      <c r="C61" s="62" t="str">
        <f ca="1">IF(E61&gt;$G$2,"",Nasazení!B61)</f>
        <v>AB2</v>
      </c>
      <c r="D61" s="61" t="str">
        <f ca="1">IF(TYPE(VLOOKUP(C61,Výsledky_skupin!$A$3:$B$258,2,0))&gt;4," -",VLOOKUP(C61,Výsledky_skupin!$A$3:$B$258,2,0))</f>
        <v>114 PCP Lipník - Reinbergrová Václava</v>
      </c>
      <c r="E61" s="2">
        <v>59</v>
      </c>
      <c r="F61">
        <f t="shared" ca="1" si="1"/>
        <v>0</v>
      </c>
      <c r="BT61" s="325" t="e">
        <f ca="1">VLOOKUP($A79,'KO128'!$G$6:$H$257,2,0)</f>
        <v>#N/A</v>
      </c>
      <c r="BU61" s="318" t="e">
        <f ca="1">VLOOKUP($A79,'KO128'!$G$6:$I$257,3,0)</f>
        <v>#N/A</v>
      </c>
    </row>
    <row r="62" spans="1:73">
      <c r="A62" s="2">
        <f t="shared" ca="1" si="0"/>
        <v>60</v>
      </c>
      <c r="B62" s="61" t="str">
        <f t="shared" ca="1" si="4"/>
        <v>60 SKP Hranice VI-Valšovice - Svobodová Lenka</v>
      </c>
      <c r="C62" s="62" t="str">
        <f ca="1">IF(E62&gt;$G$2,"",Nasazení!B62)</f>
        <v>AA2</v>
      </c>
      <c r="D62" s="61" t="str">
        <f ca="1">IF(TYPE(VLOOKUP(C62,Výsledky_skupin!$A$3:$B$258,2,0))&gt;4," -",VLOOKUP(C62,Výsledky_skupin!$A$3:$B$258,2,0))</f>
        <v>60 SKP Hranice VI-Valšovice - Svobodová Lenka</v>
      </c>
      <c r="E62" s="2">
        <v>60</v>
      </c>
      <c r="F62">
        <f t="shared" ca="1" si="1"/>
        <v>0</v>
      </c>
      <c r="BT62" s="325" t="e">
        <f ca="1">VLOOKUP($A80,'KO128'!$G$6:$H$257,2,0)</f>
        <v>#N/A</v>
      </c>
      <c r="BU62" s="318" t="e">
        <f ca="1">VLOOKUP($A80,'KO128'!$G$6:$I$257,3,0)</f>
        <v>#N/A</v>
      </c>
    </row>
    <row r="63" spans="1:73">
      <c r="A63" s="2">
        <f t="shared" ca="1" si="0"/>
        <v>61</v>
      </c>
      <c r="B63" s="61" t="str">
        <f t="shared" ca="1" si="4"/>
        <v>26 SK Pétanque Řepy - Holoubek Pavel</v>
      </c>
      <c r="C63" s="62" t="str">
        <f ca="1">IF(E63&gt;$G$2,"",Nasazení!B63)</f>
        <v>Z2</v>
      </c>
      <c r="D63" s="61" t="str">
        <f ca="1">IF(TYPE(VLOOKUP(C63,Výsledky_skupin!$A$3:$B$258,2,0))&gt;4," -",VLOOKUP(C63,Výsledky_skupin!$A$3:$B$258,2,0))</f>
        <v>26 SK Pétanque Řepy - Holoubek Pavel</v>
      </c>
      <c r="E63" s="2">
        <v>61</v>
      </c>
      <c r="F63">
        <f t="shared" ca="1" si="1"/>
        <v>0</v>
      </c>
      <c r="BT63" s="325" t="e">
        <f ca="1">VLOOKUP($A81,'KO128'!$G$6:$H$257,2,0)</f>
        <v>#N/A</v>
      </c>
      <c r="BU63" s="318" t="e">
        <f ca="1">VLOOKUP($A81,'KO128'!$G$6:$I$257,3,0)</f>
        <v>#N/A</v>
      </c>
    </row>
    <row r="64" spans="1:73">
      <c r="A64" s="2">
        <f t="shared" ca="1" si="0"/>
        <v>62</v>
      </c>
      <c r="B64" s="61" t="str">
        <f t="shared" ca="1" si="4"/>
        <v>25 Club Rodamiento - Dlouhá Ivana</v>
      </c>
      <c r="C64" s="62" t="str">
        <f ca="1">IF(E64&gt;$G$2,"",Nasazení!B64)</f>
        <v>Y2</v>
      </c>
      <c r="D64" s="61" t="str">
        <f ca="1">IF(TYPE(VLOOKUP(C64,Výsledky_skupin!$A$3:$B$258,2,0))&gt;4," -",VLOOKUP(C64,Výsledky_skupin!$A$3:$B$258,2,0))</f>
        <v>25 Club Rodamiento - Dlouhá Ivana</v>
      </c>
      <c r="E64" s="2">
        <v>62</v>
      </c>
      <c r="F64">
        <f t="shared" ca="1" si="1"/>
        <v>0</v>
      </c>
      <c r="BT64" s="325" t="e">
        <f ca="1">VLOOKUP($A82,'KO128'!$G$6:$H$257,2,0)</f>
        <v>#N/A</v>
      </c>
      <c r="BU64" s="318" t="e">
        <f ca="1">VLOOKUP($A82,'KO128'!$G$6:$I$257,3,0)</f>
        <v>#N/A</v>
      </c>
    </row>
    <row r="65" spans="1:73">
      <c r="A65" s="2">
        <f t="shared" ca="1" si="0"/>
        <v>63</v>
      </c>
      <c r="B65" s="61" t="str">
        <f t="shared" ca="1" si="4"/>
        <v>24 TOP - ORLOVÁ - Ulmann Jiří</v>
      </c>
      <c r="C65" s="62" t="str">
        <f ca="1">IF(E65&gt;$G$2,"",Nasazení!B65)</f>
        <v>X2</v>
      </c>
      <c r="D65" s="61" t="str">
        <f ca="1">IF(TYPE(VLOOKUP(C65,Výsledky_skupin!$A$3:$B$258,2,0))&gt;4," -",VLOOKUP(C65,Výsledky_skupin!$A$3:$B$258,2,0))</f>
        <v>24 TOP - ORLOVÁ - Ulmann Jiří</v>
      </c>
      <c r="E65" s="2">
        <v>63</v>
      </c>
      <c r="F65">
        <f t="shared" ca="1" si="1"/>
        <v>0</v>
      </c>
      <c r="BT65" s="325" t="e">
        <f ca="1">VLOOKUP($A83,'KO128'!$G$6:$H$257,2,0)</f>
        <v>#N/A</v>
      </c>
      <c r="BU65" s="318" t="e">
        <f ca="1">VLOOKUP($A83,'KO128'!$G$6:$I$257,3,0)</f>
        <v>#N/A</v>
      </c>
    </row>
    <row r="66" spans="1:73">
      <c r="A66" s="2">
        <f t="shared" ca="1" si="0"/>
        <v>64</v>
      </c>
      <c r="B66" s="61" t="str">
        <f t="shared" ca="1" si="4"/>
        <v>109 JAPKO - Stejskal Petr</v>
      </c>
      <c r="C66" s="62" t="str">
        <f ca="1">IF(E66&gt;$G$2,"",Nasazení!B66)</f>
        <v>W2</v>
      </c>
      <c r="D66" s="61" t="str">
        <f ca="1">IF(TYPE(VLOOKUP(C66,Výsledky_skupin!$A$3:$B$258,2,0))&gt;4," -",VLOOKUP(C66,Výsledky_skupin!$A$3:$B$258,2,0))</f>
        <v>109 JAPKO - Stejskal Petr</v>
      </c>
      <c r="E66" s="2">
        <v>64</v>
      </c>
      <c r="F66">
        <f t="shared" ca="1" si="1"/>
        <v>0</v>
      </c>
    </row>
    <row r="67" spans="1:73">
      <c r="A67" s="2">
        <f t="shared" ref="A67:A76" ca="1" si="5">E67+F67</f>
        <v>65</v>
      </c>
      <c r="B67" s="61" t="str">
        <f ca="1">IF(E67&gt;$G$2," - ",D67)</f>
        <v>22 UBU Únětice - Fuksa Petr</v>
      </c>
      <c r="C67" s="62" t="str">
        <f ca="1">IF(E67&gt;$G$2,"",Nasazení!B67)</f>
        <v>V2</v>
      </c>
      <c r="D67" s="61" t="str">
        <f ca="1">IF(TYPE(VLOOKUP(C67,Výsledky_skupin!$A$3:$B$258,2,0))&gt;4," -",VLOOKUP(C67,Výsledky_skupin!$A$3:$B$258,2,0))</f>
        <v>22 UBU Únětice - Fuksa Petr</v>
      </c>
      <c r="E67" s="2">
        <v>65</v>
      </c>
      <c r="F67">
        <f t="shared" ref="F67:F130" ca="1" si="6">IF(E67&gt;$E$2,IF($F$2&gt;0,IF(MOD(E67,2)=0,-1,1),0),0)</f>
        <v>0</v>
      </c>
    </row>
    <row r="68" spans="1:73">
      <c r="A68" s="2">
        <f t="shared" ca="1" si="5"/>
        <v>66</v>
      </c>
      <c r="B68" s="61" t="str">
        <f ca="1">IF(E68&gt;$G$2," - ",D68)</f>
        <v>21 PLUK Jablonec - Lukášová Jana</v>
      </c>
      <c r="C68" s="62" t="str">
        <f ca="1">IF(E68&gt;$G$2,"",Nasazení!B68)</f>
        <v>U2</v>
      </c>
      <c r="D68" s="61" t="str">
        <f ca="1">IF(TYPE(VLOOKUP(C68,Výsledky_skupin!$A$3:$B$258,2,0))&gt;4," -",VLOOKUP(C68,Výsledky_skupin!$A$3:$B$258,2,0))</f>
        <v>21 PLUK Jablonec - Lukášová Jana</v>
      </c>
      <c r="E68" s="2">
        <v>66</v>
      </c>
      <c r="F68">
        <f t="shared" ca="1" si="6"/>
        <v>0</v>
      </c>
    </row>
    <row r="69" spans="1:73">
      <c r="A69" s="2">
        <f t="shared" ca="1" si="5"/>
        <v>67</v>
      </c>
      <c r="B69" s="61" t="str">
        <f t="shared" ref="B69:B76" ca="1" si="7">IF(E69&gt;$G$2," - ",D69)</f>
        <v>67 POP Praha - Žárský Kamil</v>
      </c>
      <c r="C69" s="62" t="str">
        <f ca="1">IF(E69&gt;$G$2,"",Nasazení!B69)</f>
        <v>T2</v>
      </c>
      <c r="D69" s="61" t="str">
        <f ca="1">IF(TYPE(VLOOKUP(C69,Výsledky_skupin!$A$3:$B$258,2,0))&gt;4," -",VLOOKUP(C69,Výsledky_skupin!$A$3:$B$258,2,0))</f>
        <v>67 POP Praha - Žárský Kamil</v>
      </c>
      <c r="E69" s="2">
        <v>67</v>
      </c>
      <c r="F69">
        <f t="shared" ca="1" si="6"/>
        <v>0</v>
      </c>
    </row>
    <row r="70" spans="1:73">
      <c r="A70" s="2">
        <f t="shared" ca="1" si="5"/>
        <v>68</v>
      </c>
      <c r="B70" s="61" t="str">
        <f t="shared" ca="1" si="7"/>
        <v>105 PC Mimo Done - Zikmunda Matěj</v>
      </c>
      <c r="C70" s="62" t="str">
        <f ca="1">IF(E70&gt;$G$2,"",Nasazení!B70)</f>
        <v>S2</v>
      </c>
      <c r="D70" s="61" t="str">
        <f ca="1">IF(TYPE(VLOOKUP(C70,Výsledky_skupin!$A$3:$B$258,2,0))&gt;4," -",VLOOKUP(C70,Výsledky_skupin!$A$3:$B$258,2,0))</f>
        <v>105 PC Mimo Done - Zikmunda Matěj</v>
      </c>
      <c r="E70" s="2">
        <v>68</v>
      </c>
      <c r="F70">
        <f t="shared" ca="1" si="6"/>
        <v>0</v>
      </c>
    </row>
    <row r="71" spans="1:73">
      <c r="A71" s="2">
        <f t="shared" ca="1" si="5"/>
        <v>69</v>
      </c>
      <c r="B71" s="61" t="str">
        <f t="shared" ca="1" si="7"/>
        <v>18 1. KPK Vrchlabí - Michalička Lukáš</v>
      </c>
      <c r="C71" s="62" t="str">
        <f ca="1">IF(E71&gt;$G$2,"",Nasazení!B71)</f>
        <v>R2</v>
      </c>
      <c r="D71" s="61" t="str">
        <f ca="1">IF(TYPE(VLOOKUP(C71,Výsledky_skupin!$A$3:$B$258,2,0))&gt;4," -",VLOOKUP(C71,Výsledky_skupin!$A$3:$B$258,2,0))</f>
        <v>18 1. KPK Vrchlabí - Michalička Lukáš</v>
      </c>
      <c r="E71" s="2">
        <v>69</v>
      </c>
      <c r="F71">
        <f t="shared" ca="1" si="6"/>
        <v>0</v>
      </c>
    </row>
    <row r="72" spans="1:73">
      <c r="A72" s="2">
        <f t="shared" ca="1" si="5"/>
        <v>70</v>
      </c>
      <c r="B72" s="61" t="str">
        <f t="shared" ca="1" si="7"/>
        <v>17 SK Sahara Vědomice - Demčíková Jiřina</v>
      </c>
      <c r="C72" s="62" t="str">
        <f ca="1">IF(E72&gt;$G$2,"",Nasazení!B72)</f>
        <v>Q2</v>
      </c>
      <c r="D72" s="61" t="str">
        <f ca="1">IF(TYPE(VLOOKUP(C72,Výsledky_skupin!$A$3:$B$258,2,0))&gt;4," -",VLOOKUP(C72,Výsledky_skupin!$A$3:$B$258,2,0))</f>
        <v>17 SK Sahara Vědomice - Demčíková Jiřina</v>
      </c>
      <c r="E72" s="2">
        <v>70</v>
      </c>
      <c r="F72">
        <f t="shared" ca="1" si="6"/>
        <v>0</v>
      </c>
    </row>
    <row r="73" spans="1:73">
      <c r="A73" s="2">
        <f t="shared" ca="1" si="5"/>
        <v>71</v>
      </c>
      <c r="B73" s="61" t="str">
        <f t="shared" ca="1" si="7"/>
        <v>102 Sokol Kostomlaty - Vaníček Rudolf</v>
      </c>
      <c r="C73" s="62" t="str">
        <f ca="1">IF(E73&gt;$G$2,"",Nasazení!B73)</f>
        <v>P2</v>
      </c>
      <c r="D73" s="61" t="str">
        <f ca="1">IF(TYPE(VLOOKUP(C73,Výsledky_skupin!$A$3:$B$258,2,0))&gt;4," -",VLOOKUP(C73,Výsledky_skupin!$A$3:$B$258,2,0))</f>
        <v>102 Sokol Kostomlaty - Vaníček Rudolf</v>
      </c>
      <c r="E73" s="2">
        <v>71</v>
      </c>
      <c r="F73">
        <f t="shared" ca="1" si="6"/>
        <v>0</v>
      </c>
    </row>
    <row r="74" spans="1:73">
      <c r="A74" s="2">
        <f t="shared" ca="1" si="5"/>
        <v>72</v>
      </c>
      <c r="B74" s="61" t="str">
        <f t="shared" ca="1" si="7"/>
        <v>72 PAK Albrechtice - Valík Václav</v>
      </c>
      <c r="C74" s="62" t="str">
        <f ca="1">IF(E74&gt;$G$2,"",Nasazení!B74)</f>
        <v>O2</v>
      </c>
      <c r="D74" s="61" t="str">
        <f ca="1">IF(TYPE(VLOOKUP(C74,Výsledky_skupin!$A$3:$B$258,2,0))&gt;4," -",VLOOKUP(C74,Výsledky_skupin!$A$3:$B$258,2,0))</f>
        <v>72 PAK Albrechtice - Valík Václav</v>
      </c>
      <c r="E74" s="2">
        <v>72</v>
      </c>
      <c r="F74">
        <f t="shared" ca="1" si="6"/>
        <v>0</v>
      </c>
    </row>
    <row r="75" spans="1:73">
      <c r="A75" s="2">
        <f t="shared" ca="1" si="5"/>
        <v>73</v>
      </c>
      <c r="B75" s="61" t="str">
        <f t="shared" ca="1" si="7"/>
        <v>100 1. Starobrněnský PK - Blažejová Eva</v>
      </c>
      <c r="C75" s="62" t="str">
        <f ca="1">IF(E75&gt;$G$2,"",Nasazení!B75)</f>
        <v>N2</v>
      </c>
      <c r="D75" s="61" t="str">
        <f ca="1">IF(TYPE(VLOOKUP(C75,Výsledky_skupin!$A$3:$B$258,2,0))&gt;4," -",VLOOKUP(C75,Výsledky_skupin!$A$3:$B$258,2,0))</f>
        <v>100 1. Starobrněnský PK - Blažejová Eva</v>
      </c>
      <c r="E75" s="2">
        <v>73</v>
      </c>
      <c r="F75">
        <f t="shared" ca="1" si="6"/>
        <v>0</v>
      </c>
    </row>
    <row r="76" spans="1:73">
      <c r="A76" s="2">
        <f t="shared" ca="1" si="5"/>
        <v>74</v>
      </c>
      <c r="B76" s="61" t="str">
        <f t="shared" ca="1" si="7"/>
        <v>13 PC Sokol Lipník - Zdobinský Michal ml.</v>
      </c>
      <c r="C76" s="62" t="str">
        <f ca="1">IF(E76&gt;$G$2,"",Nasazení!B76)</f>
        <v>M2</v>
      </c>
      <c r="D76" s="61" t="str">
        <f ca="1">IF(TYPE(VLOOKUP(C76,Výsledky_skupin!$A$3:$B$258,2,0))&gt;4," -",VLOOKUP(C76,Výsledky_skupin!$A$3:$B$258,2,0))</f>
        <v>13 PC Sokol Lipník - Zdobinský Michal ml.</v>
      </c>
      <c r="E76" s="2">
        <v>74</v>
      </c>
      <c r="F76">
        <f t="shared" ca="1" si="6"/>
        <v>0</v>
      </c>
    </row>
    <row r="77" spans="1:73">
      <c r="A77" s="2">
        <f t="shared" ref="A77:A139" ca="1" si="8">E77+F77</f>
        <v>75</v>
      </c>
      <c r="B77" s="61" t="str">
        <f ca="1">IF(E77&gt;$G$2," - ",D77)</f>
        <v>98 C.T.P. Club Ořech - Glaserová Dana</v>
      </c>
      <c r="C77" s="62" t="str">
        <f ca="1">IF(E77&gt;$G$2,"",Nasazení!B77)</f>
        <v>L2</v>
      </c>
      <c r="D77" s="61" t="str">
        <f ca="1">IF(TYPE(VLOOKUP(C77,Výsledky_skupin!$A$3:$B$258,2,0))&gt;4," -",VLOOKUP(C77,Výsledky_skupin!$A$3:$B$258,2,0))</f>
        <v>98 C.T.P. Club Ořech - Glaserová Dana</v>
      </c>
      <c r="E77" s="2">
        <v>75</v>
      </c>
      <c r="F77">
        <f t="shared" ca="1" si="6"/>
        <v>0</v>
      </c>
    </row>
    <row r="78" spans="1:73">
      <c r="A78" s="2">
        <f t="shared" ca="1" si="8"/>
        <v>76</v>
      </c>
      <c r="B78" s="61" t="str">
        <f t="shared" ref="B78:B130" ca="1" si="9">IF(E78&gt;$G$2," - ",D78)</f>
        <v>97 PK Osika Plzeň - Špitálský Milan</v>
      </c>
      <c r="C78" s="62" t="str">
        <f ca="1">IF(E78&gt;$G$2,"",Nasazení!B78)</f>
        <v>K2</v>
      </c>
      <c r="D78" s="61" t="str">
        <f ca="1">IF(TYPE(VLOOKUP(C78,Výsledky_skupin!$A$3:$B$258,2,0))&gt;4," -",VLOOKUP(C78,Výsledky_skupin!$A$3:$B$258,2,0))</f>
        <v>97 PK Osika Plzeň - Špitálský Milan</v>
      </c>
      <c r="E78" s="2">
        <v>76</v>
      </c>
      <c r="F78">
        <f t="shared" ca="1" si="6"/>
        <v>0</v>
      </c>
    </row>
    <row r="79" spans="1:73">
      <c r="A79" s="2">
        <f t="shared" ca="1" si="8"/>
        <v>77</v>
      </c>
      <c r="B79" s="61" t="str">
        <f t="shared" ca="1" si="9"/>
        <v>96 1. KPK Vrchlabí - Kadavá Petra</v>
      </c>
      <c r="C79" s="62" t="str">
        <f ca="1">IF(E79&gt;$G$2,"",Nasazení!B79)</f>
        <v>J2</v>
      </c>
      <c r="D79" s="61" t="str">
        <f ca="1">IF(TYPE(VLOOKUP(C79,Výsledky_skupin!$A$3:$B$258,2,0))&gt;4," -",VLOOKUP(C79,Výsledky_skupin!$A$3:$B$258,2,0))</f>
        <v>96 1. KPK Vrchlabí - Kadavá Petra</v>
      </c>
      <c r="E79" s="2">
        <v>77</v>
      </c>
      <c r="F79">
        <f t="shared" ca="1" si="6"/>
        <v>0</v>
      </c>
    </row>
    <row r="80" spans="1:73">
      <c r="A80" s="2">
        <f t="shared" ca="1" si="8"/>
        <v>78</v>
      </c>
      <c r="B80" s="61" t="str">
        <f t="shared" ca="1" si="9"/>
        <v>95 PPA POZORKA - Michovský Jiří</v>
      </c>
      <c r="C80" s="62" t="str">
        <f ca="1">IF(E80&gt;$G$2,"",Nasazení!B80)</f>
        <v>I2</v>
      </c>
      <c r="D80" s="61" t="str">
        <f ca="1">IF(TYPE(VLOOKUP(C80,Výsledky_skupin!$A$3:$B$258,2,0))&gt;4," -",VLOOKUP(C80,Výsledky_skupin!$A$3:$B$258,2,0))</f>
        <v>95 PPA POZORKA - Michovský Jiří</v>
      </c>
      <c r="E80" s="2">
        <v>78</v>
      </c>
      <c r="F80">
        <f t="shared" ca="1" si="6"/>
        <v>0</v>
      </c>
    </row>
    <row r="81" spans="1:6">
      <c r="A81" s="2">
        <f t="shared" ca="1" si="8"/>
        <v>79</v>
      </c>
      <c r="B81" s="61" t="str">
        <f t="shared" ca="1" si="9"/>
        <v>79 PO Chotěboř - Pachla Pavel</v>
      </c>
      <c r="C81" s="62" t="str">
        <f ca="1">IF(E81&gt;$G$2,"",Nasazení!B81)</f>
        <v>H2</v>
      </c>
      <c r="D81" s="61" t="str">
        <f ca="1">IF(TYPE(VLOOKUP(C81,Výsledky_skupin!$A$3:$B$258,2,0))&gt;4," -",VLOOKUP(C81,Výsledky_skupin!$A$3:$B$258,2,0))</f>
        <v>79 PO Chotěboř - Pachla Pavel</v>
      </c>
      <c r="E81" s="2">
        <v>79</v>
      </c>
      <c r="F81">
        <f t="shared" ca="1" si="6"/>
        <v>0</v>
      </c>
    </row>
    <row r="82" spans="1:6">
      <c r="A82" s="2">
        <f t="shared" ca="1" si="8"/>
        <v>80</v>
      </c>
      <c r="B82" s="61" t="str">
        <f t="shared" ca="1" si="9"/>
        <v>93 1. KPK Vrchlabí - Bucek Zdeněk</v>
      </c>
      <c r="C82" s="62" t="str">
        <f ca="1">IF(E82&gt;$G$2,"",Nasazení!B82)</f>
        <v>G2</v>
      </c>
      <c r="D82" s="61" t="str">
        <f ca="1">IF(TYPE(VLOOKUP(C82,Výsledky_skupin!$A$3:$B$258,2,0))&gt;4," -",VLOOKUP(C82,Výsledky_skupin!$A$3:$B$258,2,0))</f>
        <v>93 1. KPK Vrchlabí - Bucek Zdeněk</v>
      </c>
      <c r="E82" s="2">
        <v>80</v>
      </c>
      <c r="F82">
        <f t="shared" ca="1" si="6"/>
        <v>0</v>
      </c>
    </row>
    <row r="83" spans="1:6">
      <c r="A83" s="2">
        <f t="shared" ca="1" si="8"/>
        <v>81</v>
      </c>
      <c r="B83" s="61" t="str">
        <f t="shared" ca="1" si="9"/>
        <v>92 PAK Albrechtice - Žiak Radomír</v>
      </c>
      <c r="C83" s="62" t="str">
        <f ca="1">IF(E83&gt;$G$2,"",Nasazení!B83)</f>
        <v>F2</v>
      </c>
      <c r="D83" s="61" t="str">
        <f ca="1">IF(TYPE(VLOOKUP(C83,Výsledky_skupin!$A$3:$B$258,2,0))&gt;4," -",VLOOKUP(C83,Výsledky_skupin!$A$3:$B$258,2,0))</f>
        <v>92 PAK Albrechtice - Žiak Radomír</v>
      </c>
      <c r="E83" s="2">
        <v>81</v>
      </c>
      <c r="F83">
        <f t="shared" ca="1" si="6"/>
        <v>0</v>
      </c>
    </row>
    <row r="84" spans="1:6">
      <c r="A84" s="2">
        <f t="shared" ca="1" si="8"/>
        <v>82</v>
      </c>
      <c r="B84" s="61" t="str">
        <f t="shared" ca="1" si="9"/>
        <v>82 Petank Club Praha - Kašparová Barbora</v>
      </c>
      <c r="C84" s="62" t="str">
        <f ca="1">IF(E84&gt;$G$2,"",Nasazení!B84)</f>
        <v>E2</v>
      </c>
      <c r="D84" s="61" t="str">
        <f ca="1">IF(TYPE(VLOOKUP(C84,Výsledky_skupin!$A$3:$B$258,2,0))&gt;4," -",VLOOKUP(C84,Výsledky_skupin!$A$3:$B$258,2,0))</f>
        <v>82 Petank Club Praha - Kašparová Barbora</v>
      </c>
      <c r="E84" s="2">
        <v>82</v>
      </c>
      <c r="F84">
        <f t="shared" ca="1" si="6"/>
        <v>0</v>
      </c>
    </row>
    <row r="85" spans="1:6">
      <c r="A85" s="2">
        <f t="shared" ca="1" si="8"/>
        <v>83</v>
      </c>
      <c r="B85" s="61" t="str">
        <f t="shared" ca="1" si="9"/>
        <v>83 PKT Velký Šanc - Horálek Jiří</v>
      </c>
      <c r="C85" s="62" t="str">
        <f ca="1">IF(E85&gt;$G$2,"",Nasazení!B85)</f>
        <v>D2</v>
      </c>
      <c r="D85" s="61" t="str">
        <f ca="1">IF(TYPE(VLOOKUP(C85,Výsledky_skupin!$A$3:$B$258,2,0))&gt;4," -",VLOOKUP(C85,Výsledky_skupin!$A$3:$B$258,2,0))</f>
        <v>83 PKT Velký Šanc - Horálek Jiří</v>
      </c>
      <c r="E85" s="2">
        <v>83</v>
      </c>
      <c r="F85">
        <f t="shared" ca="1" si="6"/>
        <v>0</v>
      </c>
    </row>
    <row r="86" spans="1:6">
      <c r="A86" s="2">
        <f t="shared" ca="1" si="8"/>
        <v>84</v>
      </c>
      <c r="B86" s="61" t="str">
        <f t="shared" ca="1" si="9"/>
        <v>89 SK Sahara Vědomice - Piller Tomáš</v>
      </c>
      <c r="C86" s="62" t="str">
        <f ca="1">IF(E86&gt;$G$2,"",Nasazení!B86)</f>
        <v>C2</v>
      </c>
      <c r="D86" s="61" t="str">
        <f ca="1">IF(TYPE(VLOOKUP(C86,Výsledky_skupin!$A$3:$B$258,2,0))&gt;4," -",VLOOKUP(C86,Výsledky_skupin!$A$3:$B$258,2,0))</f>
        <v>89 SK Sahara Vědomice - Piller Tomáš</v>
      </c>
      <c r="E86" s="2">
        <v>84</v>
      </c>
      <c r="F86">
        <f t="shared" ca="1" si="6"/>
        <v>0</v>
      </c>
    </row>
    <row r="87" spans="1:6">
      <c r="A87" s="2">
        <f t="shared" ca="1" si="8"/>
        <v>85</v>
      </c>
      <c r="B87" s="61" t="str">
        <f t="shared" ca="1" si="9"/>
        <v>85 Petank Club Praha - Froněk Jiří ml.</v>
      </c>
      <c r="C87" s="62" t="str">
        <f ca="1">IF(E87&gt;$G$2,"",Nasazení!B87)</f>
        <v>B2</v>
      </c>
      <c r="D87" s="61" t="str">
        <f ca="1">IF(TYPE(VLOOKUP(C87,Výsledky_skupin!$A$3:$B$258,2,0))&gt;4," -",VLOOKUP(C87,Výsledky_skupin!$A$3:$B$258,2,0))</f>
        <v>85 Petank Club Praha - Froněk Jiří ml.</v>
      </c>
      <c r="E87" s="2">
        <v>85</v>
      </c>
      <c r="F87">
        <f t="shared" ca="1" si="6"/>
        <v>0</v>
      </c>
    </row>
    <row r="88" spans="1:6">
      <c r="A88" s="2">
        <f t="shared" ca="1" si="8"/>
        <v>86</v>
      </c>
      <c r="B88" s="61" t="str">
        <f t="shared" ca="1" si="9"/>
        <v>87 JAPKO - Stejskal Václav</v>
      </c>
      <c r="C88" s="62" t="str">
        <f ca="1">IF(E88&gt;$G$2,"",Nasazení!B88)</f>
        <v>A2</v>
      </c>
      <c r="D88" s="61" t="str">
        <f ca="1">IF(TYPE(VLOOKUP(C88,Výsledky_skupin!$A$3:$B$258,2,0))&gt;4," -",VLOOKUP(C88,Výsledky_skupin!$A$3:$B$258,2,0))</f>
        <v>87 JAPKO - Stejskal Václav</v>
      </c>
      <c r="E88" s="2">
        <v>86</v>
      </c>
      <c r="F88">
        <f t="shared" ca="1" si="6"/>
        <v>0</v>
      </c>
    </row>
    <row r="89" spans="1:6">
      <c r="A89" s="2">
        <f t="shared" ca="1" si="8"/>
        <v>87</v>
      </c>
      <c r="B89" s="61" t="str">
        <f t="shared" ca="1" si="9"/>
        <v xml:space="preserve"> - </v>
      </c>
      <c r="C89" s="62" t="str">
        <f ca="1">IF(E89&gt;$G$2,"",Nasazení!B89)</f>
        <v/>
      </c>
      <c r="D89" s="61" t="str">
        <f ca="1">IF(TYPE(VLOOKUP(C89,Výsledky_skupin!$A$3:$B$258,2,0))&gt;4," -",VLOOKUP(C89,Výsledky_skupin!$A$3:$B$258,2,0))</f>
        <v/>
      </c>
      <c r="E89" s="2">
        <v>87</v>
      </c>
      <c r="F89">
        <f t="shared" ca="1" si="6"/>
        <v>0</v>
      </c>
    </row>
    <row r="90" spans="1:6">
      <c r="A90" s="2">
        <f t="shared" ca="1" si="8"/>
        <v>88</v>
      </c>
      <c r="B90" s="61" t="str">
        <f t="shared" ca="1" si="9"/>
        <v xml:space="preserve"> - </v>
      </c>
      <c r="C90" s="62" t="str">
        <f ca="1">IF(E90&gt;$G$2,"",Nasazení!B90)</f>
        <v/>
      </c>
      <c r="D90" s="61" t="str">
        <f ca="1">IF(TYPE(VLOOKUP(C90,Výsledky_skupin!$A$3:$B$258,2,0))&gt;4," -",VLOOKUP(C90,Výsledky_skupin!$A$3:$B$258,2,0))</f>
        <v/>
      </c>
      <c r="E90" s="2">
        <v>88</v>
      </c>
      <c r="F90">
        <f t="shared" ca="1" si="6"/>
        <v>0</v>
      </c>
    </row>
    <row r="91" spans="1:6">
      <c r="A91" s="2">
        <f t="shared" ca="1" si="8"/>
        <v>89</v>
      </c>
      <c r="B91" s="61" t="str">
        <f t="shared" ca="1" si="9"/>
        <v xml:space="preserve"> - </v>
      </c>
      <c r="C91" s="62" t="str">
        <f ca="1">IF(E91&gt;$G$2,"",Nasazení!B91)</f>
        <v/>
      </c>
      <c r="D91" s="61" t="str">
        <f ca="1">IF(TYPE(VLOOKUP(C91,Výsledky_skupin!$A$3:$B$258,2,0))&gt;4," -",VLOOKUP(C91,Výsledky_skupin!$A$3:$B$258,2,0))</f>
        <v/>
      </c>
      <c r="E91" s="2">
        <v>89</v>
      </c>
      <c r="F91">
        <f t="shared" ca="1" si="6"/>
        <v>0</v>
      </c>
    </row>
    <row r="92" spans="1:6">
      <c r="A92" s="2">
        <f t="shared" ca="1" si="8"/>
        <v>90</v>
      </c>
      <c r="B92" s="61" t="str">
        <f t="shared" ca="1" si="9"/>
        <v xml:space="preserve"> - </v>
      </c>
      <c r="C92" s="62" t="str">
        <f ca="1">IF(E92&gt;$G$2,"",Nasazení!B92)</f>
        <v/>
      </c>
      <c r="D92" s="61" t="str">
        <f ca="1">IF(TYPE(VLOOKUP(C92,Výsledky_skupin!$A$3:$B$258,2,0))&gt;4," -",VLOOKUP(C92,Výsledky_skupin!$A$3:$B$258,2,0))</f>
        <v/>
      </c>
      <c r="E92" s="2">
        <v>90</v>
      </c>
      <c r="F92">
        <f t="shared" ca="1" si="6"/>
        <v>0</v>
      </c>
    </row>
    <row r="93" spans="1:6">
      <c r="A93" s="2">
        <f t="shared" ca="1" si="8"/>
        <v>91</v>
      </c>
      <c r="B93" s="61" t="str">
        <f t="shared" ca="1" si="9"/>
        <v xml:space="preserve"> - </v>
      </c>
      <c r="C93" s="62" t="str">
        <f ca="1">IF(E93&gt;$G$2,"",Nasazení!B93)</f>
        <v/>
      </c>
      <c r="D93" s="61" t="str">
        <f ca="1">IF(TYPE(VLOOKUP(C93,Výsledky_skupin!$A$3:$B$258,2,0))&gt;4," -",VLOOKUP(C93,Výsledky_skupin!$A$3:$B$258,2,0))</f>
        <v/>
      </c>
      <c r="E93" s="2">
        <v>91</v>
      </c>
      <c r="F93">
        <f t="shared" ca="1" si="6"/>
        <v>0</v>
      </c>
    </row>
    <row r="94" spans="1:6">
      <c r="A94" s="2">
        <f t="shared" ca="1" si="8"/>
        <v>92</v>
      </c>
      <c r="B94" s="61" t="str">
        <f t="shared" ca="1" si="9"/>
        <v xml:space="preserve"> - </v>
      </c>
      <c r="C94" s="62" t="str">
        <f ca="1">IF(E94&gt;$G$2,"",Nasazení!B94)</f>
        <v/>
      </c>
      <c r="D94" s="61" t="str">
        <f ca="1">IF(TYPE(VLOOKUP(C94,Výsledky_skupin!$A$3:$B$258,2,0))&gt;4," -",VLOOKUP(C94,Výsledky_skupin!$A$3:$B$258,2,0))</f>
        <v/>
      </c>
      <c r="E94" s="2">
        <v>92</v>
      </c>
      <c r="F94">
        <f t="shared" ca="1" si="6"/>
        <v>0</v>
      </c>
    </row>
    <row r="95" spans="1:6">
      <c r="A95" s="2">
        <f t="shared" ca="1" si="8"/>
        <v>93</v>
      </c>
      <c r="B95" s="61" t="str">
        <f t="shared" ca="1" si="9"/>
        <v xml:space="preserve"> - </v>
      </c>
      <c r="C95" s="62" t="str">
        <f ca="1">IF(E95&gt;$G$2,"",Nasazení!B95)</f>
        <v/>
      </c>
      <c r="D95" s="61" t="str">
        <f ca="1">IF(TYPE(VLOOKUP(C95,Výsledky_skupin!$A$3:$B$258,2,0))&gt;4," -",VLOOKUP(C95,Výsledky_skupin!$A$3:$B$258,2,0))</f>
        <v/>
      </c>
      <c r="E95" s="2">
        <v>93</v>
      </c>
      <c r="F95">
        <f t="shared" ca="1" si="6"/>
        <v>0</v>
      </c>
    </row>
    <row r="96" spans="1:6">
      <c r="A96" s="2">
        <f t="shared" ca="1" si="8"/>
        <v>94</v>
      </c>
      <c r="B96" s="61" t="str">
        <f t="shared" ca="1" si="9"/>
        <v xml:space="preserve"> - </v>
      </c>
      <c r="C96" s="62" t="str">
        <f ca="1">IF(E96&gt;$G$2,"",Nasazení!B96)</f>
        <v/>
      </c>
      <c r="D96" s="61" t="str">
        <f ca="1">IF(TYPE(VLOOKUP(C96,Výsledky_skupin!$A$3:$B$258,2,0))&gt;4," -",VLOOKUP(C96,Výsledky_skupin!$A$3:$B$258,2,0))</f>
        <v/>
      </c>
      <c r="E96" s="2">
        <v>94</v>
      </c>
      <c r="F96">
        <f t="shared" ca="1" si="6"/>
        <v>0</v>
      </c>
    </row>
    <row r="97" spans="1:6">
      <c r="A97" s="2">
        <f t="shared" ca="1" si="8"/>
        <v>95</v>
      </c>
      <c r="B97" s="61" t="str">
        <f t="shared" ca="1" si="9"/>
        <v xml:space="preserve"> - </v>
      </c>
      <c r="C97" s="62" t="str">
        <f ca="1">IF(E97&gt;$G$2,"",Nasazení!B97)</f>
        <v/>
      </c>
      <c r="D97" s="61" t="str">
        <f ca="1">IF(TYPE(VLOOKUP(C97,Výsledky_skupin!$A$3:$B$258,2,0))&gt;4," -",VLOOKUP(C97,Výsledky_skupin!$A$3:$B$258,2,0))</f>
        <v/>
      </c>
      <c r="E97" s="2">
        <v>95</v>
      </c>
      <c r="F97">
        <f t="shared" ca="1" si="6"/>
        <v>0</v>
      </c>
    </row>
    <row r="98" spans="1:6">
      <c r="A98" s="2">
        <f t="shared" ca="1" si="8"/>
        <v>96</v>
      </c>
      <c r="B98" s="61" t="str">
        <f t="shared" ca="1" si="9"/>
        <v xml:space="preserve"> - </v>
      </c>
      <c r="C98" s="62" t="str">
        <f ca="1">IF(E98&gt;$G$2,"",Nasazení!B98)</f>
        <v/>
      </c>
      <c r="D98" s="61" t="str">
        <f ca="1">IF(TYPE(VLOOKUP(C98,Výsledky_skupin!$A$3:$B$258,2,0))&gt;4," -",VLOOKUP(C98,Výsledky_skupin!$A$3:$B$258,2,0))</f>
        <v/>
      </c>
      <c r="E98" s="2">
        <v>96</v>
      </c>
      <c r="F98">
        <f t="shared" ca="1" si="6"/>
        <v>0</v>
      </c>
    </row>
    <row r="99" spans="1:6">
      <c r="A99" s="2">
        <f t="shared" ca="1" si="8"/>
        <v>97</v>
      </c>
      <c r="B99" s="61" t="str">
        <f t="shared" ca="1" si="9"/>
        <v xml:space="preserve"> - </v>
      </c>
      <c r="C99" s="62" t="str">
        <f ca="1">IF(E99&gt;$G$2,"",Nasazení!B99)</f>
        <v/>
      </c>
      <c r="D99" s="61" t="str">
        <f ca="1">IF(TYPE(VLOOKUP(C99,Výsledky_skupin!$A$3:$B$258,2,0))&gt;4," -",VLOOKUP(C99,Výsledky_skupin!$A$3:$B$258,2,0))</f>
        <v/>
      </c>
      <c r="E99" s="2">
        <v>97</v>
      </c>
      <c r="F99">
        <f t="shared" ca="1" si="6"/>
        <v>0</v>
      </c>
    </row>
    <row r="100" spans="1:6">
      <c r="A100" s="2">
        <f t="shared" ca="1" si="8"/>
        <v>98</v>
      </c>
      <c r="B100" s="61" t="str">
        <f t="shared" ca="1" si="9"/>
        <v xml:space="preserve"> - </v>
      </c>
      <c r="C100" s="62" t="str">
        <f ca="1">IF(E100&gt;$G$2,"",Nasazení!B100)</f>
        <v/>
      </c>
      <c r="D100" s="61" t="str">
        <f ca="1">IF(TYPE(VLOOKUP(C100,Výsledky_skupin!$A$3:$B$258,2,0))&gt;4," -",VLOOKUP(C100,Výsledky_skupin!$A$3:$B$258,2,0))</f>
        <v/>
      </c>
      <c r="E100" s="2">
        <v>98</v>
      </c>
      <c r="F100">
        <f t="shared" ca="1" si="6"/>
        <v>0</v>
      </c>
    </row>
    <row r="101" spans="1:6">
      <c r="A101" s="2">
        <f t="shared" ca="1" si="8"/>
        <v>99</v>
      </c>
      <c r="B101" s="61" t="str">
        <f t="shared" ca="1" si="9"/>
        <v xml:space="preserve"> - </v>
      </c>
      <c r="C101" s="62" t="str">
        <f ca="1">IF(E101&gt;$G$2,"",Nasazení!B101)</f>
        <v/>
      </c>
      <c r="D101" s="61" t="str">
        <f ca="1">IF(TYPE(VLOOKUP(C101,Výsledky_skupin!$A$3:$B$258,2,0))&gt;4," -",VLOOKUP(C101,Výsledky_skupin!$A$3:$B$258,2,0))</f>
        <v/>
      </c>
      <c r="E101" s="2">
        <v>99</v>
      </c>
      <c r="F101">
        <f t="shared" ca="1" si="6"/>
        <v>0</v>
      </c>
    </row>
    <row r="102" spans="1:6">
      <c r="A102" s="2">
        <f t="shared" ca="1" si="8"/>
        <v>100</v>
      </c>
      <c r="B102" s="61" t="str">
        <f t="shared" ca="1" si="9"/>
        <v xml:space="preserve"> - </v>
      </c>
      <c r="C102" s="62" t="str">
        <f ca="1">IF(E102&gt;$G$2,"",Nasazení!B102)</f>
        <v/>
      </c>
      <c r="D102" s="61" t="str">
        <f ca="1">IF(TYPE(VLOOKUP(C102,Výsledky_skupin!$A$3:$B$258,2,0))&gt;4," -",VLOOKUP(C102,Výsledky_skupin!$A$3:$B$258,2,0))</f>
        <v/>
      </c>
      <c r="E102" s="2">
        <v>100</v>
      </c>
      <c r="F102">
        <f t="shared" ca="1" si="6"/>
        <v>0</v>
      </c>
    </row>
    <row r="103" spans="1:6">
      <c r="A103" s="2">
        <f t="shared" ca="1" si="8"/>
        <v>101</v>
      </c>
      <c r="B103" s="61" t="str">
        <f t="shared" ca="1" si="9"/>
        <v xml:space="preserve"> - </v>
      </c>
      <c r="C103" s="62" t="str">
        <f ca="1">IF(E103&gt;$G$2,"",Nasazení!B103)</f>
        <v/>
      </c>
      <c r="D103" s="61" t="str">
        <f ca="1">IF(TYPE(VLOOKUP(C103,Výsledky_skupin!$A$3:$B$258,2,0))&gt;4," -",VLOOKUP(C103,Výsledky_skupin!$A$3:$B$258,2,0))</f>
        <v/>
      </c>
      <c r="E103" s="2">
        <v>101</v>
      </c>
      <c r="F103">
        <f t="shared" ca="1" si="6"/>
        <v>0</v>
      </c>
    </row>
    <row r="104" spans="1:6">
      <c r="A104" s="2">
        <f t="shared" ca="1" si="8"/>
        <v>102</v>
      </c>
      <c r="B104" s="61" t="str">
        <f t="shared" ca="1" si="9"/>
        <v xml:space="preserve"> - </v>
      </c>
      <c r="C104" s="62" t="str">
        <f ca="1">IF(E104&gt;$G$2,"",Nasazení!B104)</f>
        <v/>
      </c>
      <c r="D104" s="61" t="str">
        <f ca="1">IF(TYPE(VLOOKUP(C104,Výsledky_skupin!$A$3:$B$258,2,0))&gt;4," -",VLOOKUP(C104,Výsledky_skupin!$A$3:$B$258,2,0))</f>
        <v/>
      </c>
      <c r="E104" s="2">
        <v>102</v>
      </c>
      <c r="F104">
        <f t="shared" ca="1" si="6"/>
        <v>0</v>
      </c>
    </row>
    <row r="105" spans="1:6">
      <c r="A105" s="2">
        <f t="shared" ca="1" si="8"/>
        <v>103</v>
      </c>
      <c r="B105" s="61" t="str">
        <f t="shared" ca="1" si="9"/>
        <v xml:space="preserve"> - </v>
      </c>
      <c r="C105" s="62" t="str">
        <f ca="1">IF(E105&gt;$G$2,"",Nasazení!B105)</f>
        <v/>
      </c>
      <c r="D105" s="61" t="str">
        <f ca="1">IF(TYPE(VLOOKUP(C105,Výsledky_skupin!$A$3:$B$258,2,0))&gt;4," -",VLOOKUP(C105,Výsledky_skupin!$A$3:$B$258,2,0))</f>
        <v/>
      </c>
      <c r="E105" s="2">
        <v>103</v>
      </c>
      <c r="F105">
        <f t="shared" ca="1" si="6"/>
        <v>0</v>
      </c>
    </row>
    <row r="106" spans="1:6">
      <c r="A106" s="2">
        <f t="shared" ca="1" si="8"/>
        <v>104</v>
      </c>
      <c r="B106" s="61" t="str">
        <f t="shared" ca="1" si="9"/>
        <v xml:space="preserve"> - </v>
      </c>
      <c r="C106" s="62" t="str">
        <f ca="1">IF(E106&gt;$G$2,"",Nasazení!B106)</f>
        <v/>
      </c>
      <c r="D106" s="61" t="str">
        <f ca="1">IF(TYPE(VLOOKUP(C106,Výsledky_skupin!$A$3:$B$258,2,0))&gt;4," -",VLOOKUP(C106,Výsledky_skupin!$A$3:$B$258,2,0))</f>
        <v/>
      </c>
      <c r="E106" s="2">
        <v>104</v>
      </c>
      <c r="F106">
        <f t="shared" ca="1" si="6"/>
        <v>0</v>
      </c>
    </row>
    <row r="107" spans="1:6">
      <c r="A107" s="2">
        <f t="shared" ca="1" si="8"/>
        <v>105</v>
      </c>
      <c r="B107" s="61" t="str">
        <f t="shared" ca="1" si="9"/>
        <v xml:space="preserve"> - </v>
      </c>
      <c r="C107" s="62" t="str">
        <f ca="1">IF(E107&gt;$G$2,"",Nasazení!B107)</f>
        <v/>
      </c>
      <c r="D107" s="61" t="str">
        <f ca="1">IF(TYPE(VLOOKUP(C107,Výsledky_skupin!$A$3:$B$258,2,0))&gt;4," -",VLOOKUP(C107,Výsledky_skupin!$A$3:$B$258,2,0))</f>
        <v/>
      </c>
      <c r="E107" s="2">
        <v>105</v>
      </c>
      <c r="F107">
        <f t="shared" ca="1" si="6"/>
        <v>0</v>
      </c>
    </row>
    <row r="108" spans="1:6">
      <c r="A108" s="2">
        <f t="shared" ca="1" si="8"/>
        <v>106</v>
      </c>
      <c r="B108" s="61" t="str">
        <f t="shared" ca="1" si="9"/>
        <v xml:space="preserve"> - </v>
      </c>
      <c r="C108" s="62" t="str">
        <f ca="1">IF(E108&gt;$G$2,"",Nasazení!B108)</f>
        <v/>
      </c>
      <c r="D108" s="61" t="str">
        <f ca="1">IF(TYPE(VLOOKUP(C108,Výsledky_skupin!$A$3:$B$258,2,0))&gt;4," -",VLOOKUP(C108,Výsledky_skupin!$A$3:$B$258,2,0))</f>
        <v/>
      </c>
      <c r="E108" s="2">
        <v>106</v>
      </c>
      <c r="F108">
        <f t="shared" ca="1" si="6"/>
        <v>0</v>
      </c>
    </row>
    <row r="109" spans="1:6">
      <c r="A109" s="2">
        <f t="shared" ca="1" si="8"/>
        <v>107</v>
      </c>
      <c r="B109" s="61" t="str">
        <f t="shared" ca="1" si="9"/>
        <v xml:space="preserve"> - </v>
      </c>
      <c r="C109" s="62" t="str">
        <f ca="1">IF(E109&gt;$G$2,"",Nasazení!B109)</f>
        <v/>
      </c>
      <c r="D109" s="61" t="str">
        <f ca="1">IF(TYPE(VLOOKUP(C109,Výsledky_skupin!$A$3:$B$258,2,0))&gt;4," -",VLOOKUP(C109,Výsledky_skupin!$A$3:$B$258,2,0))</f>
        <v/>
      </c>
      <c r="E109" s="2">
        <v>107</v>
      </c>
      <c r="F109">
        <f t="shared" ca="1" si="6"/>
        <v>0</v>
      </c>
    </row>
    <row r="110" spans="1:6">
      <c r="A110" s="2">
        <f t="shared" ca="1" si="8"/>
        <v>108</v>
      </c>
      <c r="B110" s="61" t="str">
        <f t="shared" ca="1" si="9"/>
        <v xml:space="preserve"> - </v>
      </c>
      <c r="C110" s="62" t="str">
        <f ca="1">IF(E110&gt;$G$2,"",Nasazení!B110)</f>
        <v/>
      </c>
      <c r="D110" s="61" t="str">
        <f ca="1">IF(TYPE(VLOOKUP(C110,Výsledky_skupin!$A$3:$B$258,2,0))&gt;4," -",VLOOKUP(C110,Výsledky_skupin!$A$3:$B$258,2,0))</f>
        <v/>
      </c>
      <c r="E110" s="2">
        <v>108</v>
      </c>
      <c r="F110">
        <f t="shared" ca="1" si="6"/>
        <v>0</v>
      </c>
    </row>
    <row r="111" spans="1:6">
      <c r="A111" s="2">
        <f t="shared" ca="1" si="8"/>
        <v>109</v>
      </c>
      <c r="B111" s="61" t="str">
        <f t="shared" ca="1" si="9"/>
        <v xml:space="preserve"> - </v>
      </c>
      <c r="C111" s="62" t="str">
        <f ca="1">IF(E111&gt;$G$2,"",Nasazení!B111)</f>
        <v/>
      </c>
      <c r="D111" s="61" t="str">
        <f ca="1">IF(TYPE(VLOOKUP(C111,Výsledky_skupin!$A$3:$B$258,2,0))&gt;4," -",VLOOKUP(C111,Výsledky_skupin!$A$3:$B$258,2,0))</f>
        <v/>
      </c>
      <c r="E111" s="2">
        <v>109</v>
      </c>
      <c r="F111">
        <f t="shared" ca="1" si="6"/>
        <v>0</v>
      </c>
    </row>
    <row r="112" spans="1:6">
      <c r="A112" s="2">
        <f t="shared" ca="1" si="8"/>
        <v>110</v>
      </c>
      <c r="B112" s="61" t="str">
        <f t="shared" ca="1" si="9"/>
        <v xml:space="preserve"> - </v>
      </c>
      <c r="C112" s="62" t="str">
        <f ca="1">IF(E112&gt;$G$2,"",Nasazení!B112)</f>
        <v/>
      </c>
      <c r="D112" s="61" t="str">
        <f ca="1">IF(TYPE(VLOOKUP(C112,Výsledky_skupin!$A$3:$B$258,2,0))&gt;4," -",VLOOKUP(C112,Výsledky_skupin!$A$3:$B$258,2,0))</f>
        <v/>
      </c>
      <c r="E112" s="2">
        <v>110</v>
      </c>
      <c r="F112">
        <f t="shared" ca="1" si="6"/>
        <v>0</v>
      </c>
    </row>
    <row r="113" spans="1:6">
      <c r="A113" s="2">
        <f t="shared" ca="1" si="8"/>
        <v>111</v>
      </c>
      <c r="B113" s="61" t="str">
        <f t="shared" ca="1" si="9"/>
        <v xml:space="preserve"> - </v>
      </c>
      <c r="C113" s="62" t="str">
        <f ca="1">IF(E113&gt;$G$2,"",Nasazení!B113)</f>
        <v/>
      </c>
      <c r="D113" s="61" t="str">
        <f ca="1">IF(TYPE(VLOOKUP(C113,Výsledky_skupin!$A$3:$B$258,2,0))&gt;4," -",VLOOKUP(C113,Výsledky_skupin!$A$3:$B$258,2,0))</f>
        <v/>
      </c>
      <c r="E113" s="2">
        <v>111</v>
      </c>
      <c r="F113">
        <f t="shared" ca="1" si="6"/>
        <v>0</v>
      </c>
    </row>
    <row r="114" spans="1:6">
      <c r="A114" s="2">
        <f t="shared" ca="1" si="8"/>
        <v>112</v>
      </c>
      <c r="B114" s="61" t="str">
        <f t="shared" ca="1" si="9"/>
        <v xml:space="preserve"> - </v>
      </c>
      <c r="C114" s="62" t="str">
        <f ca="1">IF(E114&gt;$G$2,"",Nasazení!B114)</f>
        <v/>
      </c>
      <c r="D114" s="61" t="str">
        <f ca="1">IF(TYPE(VLOOKUP(C114,Výsledky_skupin!$A$3:$B$258,2,0))&gt;4," -",VLOOKUP(C114,Výsledky_skupin!$A$3:$B$258,2,0))</f>
        <v/>
      </c>
      <c r="E114" s="2">
        <v>112</v>
      </c>
      <c r="F114">
        <f t="shared" ca="1" si="6"/>
        <v>0</v>
      </c>
    </row>
    <row r="115" spans="1:6">
      <c r="A115" s="2">
        <f t="shared" ca="1" si="8"/>
        <v>113</v>
      </c>
      <c r="B115" s="61" t="str">
        <f t="shared" ca="1" si="9"/>
        <v xml:space="preserve"> - </v>
      </c>
      <c r="C115" s="62" t="str">
        <f ca="1">IF(E115&gt;$G$2,"",Nasazení!B115)</f>
        <v/>
      </c>
      <c r="D115" s="61" t="str">
        <f ca="1">IF(TYPE(VLOOKUP(C115,Výsledky_skupin!$A$3:$B$258,2,0))&gt;4," -",VLOOKUP(C115,Výsledky_skupin!$A$3:$B$258,2,0))</f>
        <v/>
      </c>
      <c r="E115" s="2">
        <v>113</v>
      </c>
      <c r="F115">
        <f t="shared" ca="1" si="6"/>
        <v>0</v>
      </c>
    </row>
    <row r="116" spans="1:6">
      <c r="A116" s="2">
        <f t="shared" ca="1" si="8"/>
        <v>114</v>
      </c>
      <c r="B116" s="61" t="str">
        <f t="shared" ca="1" si="9"/>
        <v xml:space="preserve"> - </v>
      </c>
      <c r="C116" s="62" t="str">
        <f ca="1">IF(E116&gt;$G$2,"",Nasazení!B116)</f>
        <v/>
      </c>
      <c r="D116" s="61" t="str">
        <f ca="1">IF(TYPE(VLOOKUP(C116,Výsledky_skupin!$A$3:$B$258,2,0))&gt;4," -",VLOOKUP(C116,Výsledky_skupin!$A$3:$B$258,2,0))</f>
        <v/>
      </c>
      <c r="E116" s="2">
        <v>114</v>
      </c>
      <c r="F116">
        <f t="shared" ca="1" si="6"/>
        <v>0</v>
      </c>
    </row>
    <row r="117" spans="1:6">
      <c r="A117" s="2">
        <f t="shared" ca="1" si="8"/>
        <v>115</v>
      </c>
      <c r="B117" s="61" t="str">
        <f t="shared" ca="1" si="9"/>
        <v xml:space="preserve"> - </v>
      </c>
      <c r="C117" s="62" t="str">
        <f ca="1">IF(E117&gt;$G$2,"",Nasazení!B117)</f>
        <v/>
      </c>
      <c r="D117" s="61" t="str">
        <f ca="1">IF(TYPE(VLOOKUP(C117,Výsledky_skupin!$A$3:$B$258,2,0))&gt;4," -",VLOOKUP(C117,Výsledky_skupin!$A$3:$B$258,2,0))</f>
        <v/>
      </c>
      <c r="E117" s="2">
        <v>115</v>
      </c>
      <c r="F117">
        <f t="shared" ca="1" si="6"/>
        <v>0</v>
      </c>
    </row>
    <row r="118" spans="1:6">
      <c r="A118" s="2">
        <f t="shared" ca="1" si="8"/>
        <v>116</v>
      </c>
      <c r="B118" s="61" t="str">
        <f t="shared" ca="1" si="9"/>
        <v xml:space="preserve"> - </v>
      </c>
      <c r="C118" s="62" t="str">
        <f ca="1">IF(E118&gt;$G$2,"",Nasazení!B118)</f>
        <v/>
      </c>
      <c r="D118" s="61" t="str">
        <f ca="1">IF(TYPE(VLOOKUP(C118,Výsledky_skupin!$A$3:$B$258,2,0))&gt;4," -",VLOOKUP(C118,Výsledky_skupin!$A$3:$B$258,2,0))</f>
        <v/>
      </c>
      <c r="E118" s="2">
        <v>116</v>
      </c>
      <c r="F118">
        <f t="shared" ca="1" si="6"/>
        <v>0</v>
      </c>
    </row>
    <row r="119" spans="1:6">
      <c r="A119" s="2">
        <f t="shared" ca="1" si="8"/>
        <v>117</v>
      </c>
      <c r="B119" s="61" t="str">
        <f t="shared" ca="1" si="9"/>
        <v xml:space="preserve"> - </v>
      </c>
      <c r="C119" s="62" t="str">
        <f ca="1">IF(E119&gt;$G$2,"",Nasazení!B119)</f>
        <v/>
      </c>
      <c r="D119" s="61" t="str">
        <f ca="1">IF(TYPE(VLOOKUP(C119,Výsledky_skupin!$A$3:$B$258,2,0))&gt;4," -",VLOOKUP(C119,Výsledky_skupin!$A$3:$B$258,2,0))</f>
        <v/>
      </c>
      <c r="E119" s="2">
        <v>117</v>
      </c>
      <c r="F119">
        <f t="shared" ca="1" si="6"/>
        <v>0</v>
      </c>
    </row>
    <row r="120" spans="1:6">
      <c r="A120" s="2">
        <f t="shared" ca="1" si="8"/>
        <v>118</v>
      </c>
      <c r="B120" s="61" t="str">
        <f t="shared" ca="1" si="9"/>
        <v xml:space="preserve"> - </v>
      </c>
      <c r="C120" s="62" t="str">
        <f ca="1">IF(E120&gt;$G$2,"",Nasazení!B120)</f>
        <v/>
      </c>
      <c r="D120" s="61" t="str">
        <f ca="1">IF(TYPE(VLOOKUP(C120,Výsledky_skupin!$A$3:$B$258,2,0))&gt;4," -",VLOOKUP(C120,Výsledky_skupin!$A$3:$B$258,2,0))</f>
        <v/>
      </c>
      <c r="E120" s="2">
        <v>118</v>
      </c>
      <c r="F120">
        <f t="shared" ca="1" si="6"/>
        <v>0</v>
      </c>
    </row>
    <row r="121" spans="1:6">
      <c r="A121" s="2">
        <f t="shared" ca="1" si="8"/>
        <v>119</v>
      </c>
      <c r="B121" s="61" t="str">
        <f t="shared" ca="1" si="9"/>
        <v xml:space="preserve"> - </v>
      </c>
      <c r="C121" s="62" t="str">
        <f ca="1">IF(E121&gt;$G$2,"",Nasazení!B121)</f>
        <v/>
      </c>
      <c r="D121" s="61" t="str">
        <f ca="1">IF(TYPE(VLOOKUP(C121,Výsledky_skupin!$A$3:$B$258,2,0))&gt;4," -",VLOOKUP(C121,Výsledky_skupin!$A$3:$B$258,2,0))</f>
        <v/>
      </c>
      <c r="E121" s="2">
        <v>119</v>
      </c>
      <c r="F121">
        <f t="shared" ca="1" si="6"/>
        <v>0</v>
      </c>
    </row>
    <row r="122" spans="1:6">
      <c r="A122" s="2">
        <f t="shared" ca="1" si="8"/>
        <v>120</v>
      </c>
      <c r="B122" s="61" t="str">
        <f t="shared" ca="1" si="9"/>
        <v xml:space="preserve"> - </v>
      </c>
      <c r="C122" s="62" t="str">
        <f ca="1">IF(E122&gt;$G$2,"",Nasazení!B122)</f>
        <v/>
      </c>
      <c r="D122" s="61" t="str">
        <f ca="1">IF(TYPE(VLOOKUP(C122,Výsledky_skupin!$A$3:$B$258,2,0))&gt;4," -",VLOOKUP(C122,Výsledky_skupin!$A$3:$B$258,2,0))</f>
        <v/>
      </c>
      <c r="E122" s="2">
        <v>120</v>
      </c>
      <c r="F122">
        <f t="shared" ca="1" si="6"/>
        <v>0</v>
      </c>
    </row>
    <row r="123" spans="1:6">
      <c r="A123" s="2">
        <f t="shared" ca="1" si="8"/>
        <v>121</v>
      </c>
      <c r="B123" s="61" t="str">
        <f t="shared" ca="1" si="9"/>
        <v xml:space="preserve"> - </v>
      </c>
      <c r="C123" s="62" t="str">
        <f ca="1">IF(E123&gt;$G$2,"",Nasazení!B123)</f>
        <v/>
      </c>
      <c r="D123" s="61" t="str">
        <f ca="1">IF(TYPE(VLOOKUP(C123,Výsledky_skupin!$A$3:$B$258,2,0))&gt;4," -",VLOOKUP(C123,Výsledky_skupin!$A$3:$B$258,2,0))</f>
        <v/>
      </c>
      <c r="E123" s="2">
        <v>121</v>
      </c>
      <c r="F123">
        <f t="shared" ca="1" si="6"/>
        <v>0</v>
      </c>
    </row>
    <row r="124" spans="1:6">
      <c r="A124" s="2">
        <f t="shared" ca="1" si="8"/>
        <v>122</v>
      </c>
      <c r="B124" s="61" t="str">
        <f t="shared" ca="1" si="9"/>
        <v xml:space="preserve"> - </v>
      </c>
      <c r="C124" s="62" t="str">
        <f ca="1">IF(E124&gt;$G$2,"",Nasazení!B124)</f>
        <v/>
      </c>
      <c r="D124" s="61" t="str">
        <f ca="1">IF(TYPE(VLOOKUP(C124,Výsledky_skupin!$A$3:$B$258,2,0))&gt;4," -",VLOOKUP(C124,Výsledky_skupin!$A$3:$B$258,2,0))</f>
        <v/>
      </c>
      <c r="E124" s="2">
        <v>122</v>
      </c>
      <c r="F124">
        <f t="shared" ca="1" si="6"/>
        <v>0</v>
      </c>
    </row>
    <row r="125" spans="1:6">
      <c r="A125" s="2">
        <f t="shared" ca="1" si="8"/>
        <v>123</v>
      </c>
      <c r="B125" s="61" t="str">
        <f t="shared" ca="1" si="9"/>
        <v xml:space="preserve"> - </v>
      </c>
      <c r="C125" s="62" t="str">
        <f ca="1">IF(E125&gt;$G$2,"",Nasazení!B125)</f>
        <v/>
      </c>
      <c r="D125" s="61" t="str">
        <f ca="1">IF(TYPE(VLOOKUP(C125,Výsledky_skupin!$A$3:$B$258,2,0))&gt;4," -",VLOOKUP(C125,Výsledky_skupin!$A$3:$B$258,2,0))</f>
        <v/>
      </c>
      <c r="E125" s="2">
        <v>123</v>
      </c>
      <c r="F125">
        <f t="shared" ca="1" si="6"/>
        <v>0</v>
      </c>
    </row>
    <row r="126" spans="1:6">
      <c r="A126" s="2">
        <f t="shared" ca="1" si="8"/>
        <v>124</v>
      </c>
      <c r="B126" s="61" t="str">
        <f t="shared" ca="1" si="9"/>
        <v xml:space="preserve"> - </v>
      </c>
      <c r="C126" s="62" t="str">
        <f ca="1">IF(E126&gt;$G$2,"",Nasazení!B126)</f>
        <v/>
      </c>
      <c r="D126" s="61" t="str">
        <f ca="1">IF(TYPE(VLOOKUP(C126,Výsledky_skupin!$A$3:$B$258,2,0))&gt;4," -",VLOOKUP(C126,Výsledky_skupin!$A$3:$B$258,2,0))</f>
        <v/>
      </c>
      <c r="E126" s="2">
        <v>124</v>
      </c>
      <c r="F126">
        <f t="shared" ca="1" si="6"/>
        <v>0</v>
      </c>
    </row>
    <row r="127" spans="1:6">
      <c r="A127" s="2">
        <f t="shared" ca="1" si="8"/>
        <v>125</v>
      </c>
      <c r="B127" s="61" t="str">
        <f t="shared" ca="1" si="9"/>
        <v xml:space="preserve"> - </v>
      </c>
      <c r="C127" s="62" t="str">
        <f ca="1">IF(E127&gt;$G$2,"",Nasazení!B127)</f>
        <v/>
      </c>
      <c r="D127" s="61" t="str">
        <f ca="1">IF(TYPE(VLOOKUP(C127,Výsledky_skupin!$A$3:$B$258,2,0))&gt;4," -",VLOOKUP(C127,Výsledky_skupin!$A$3:$B$258,2,0))</f>
        <v/>
      </c>
      <c r="E127" s="2">
        <v>125</v>
      </c>
      <c r="F127">
        <f t="shared" ca="1" si="6"/>
        <v>0</v>
      </c>
    </row>
    <row r="128" spans="1:6">
      <c r="A128" s="2">
        <f t="shared" ca="1" si="8"/>
        <v>126</v>
      </c>
      <c r="B128" s="61" t="str">
        <f t="shared" ca="1" si="9"/>
        <v xml:space="preserve"> - </v>
      </c>
      <c r="C128" s="62" t="str">
        <f ca="1">IF(E128&gt;$G$2,"",Nasazení!B128)</f>
        <v/>
      </c>
      <c r="D128" s="61" t="str">
        <f ca="1">IF(TYPE(VLOOKUP(C128,Výsledky_skupin!$A$3:$B$258,2,0))&gt;4," -",VLOOKUP(C128,Výsledky_skupin!$A$3:$B$258,2,0))</f>
        <v/>
      </c>
      <c r="E128" s="2">
        <v>126</v>
      </c>
      <c r="F128">
        <f t="shared" ca="1" si="6"/>
        <v>0</v>
      </c>
    </row>
    <row r="129" spans="1:9">
      <c r="A129" s="2">
        <f t="shared" ca="1" si="8"/>
        <v>127</v>
      </c>
      <c r="B129" s="61" t="str">
        <f t="shared" ca="1" si="9"/>
        <v xml:space="preserve"> - </v>
      </c>
      <c r="C129" s="62" t="str">
        <f ca="1">IF(E129&gt;$G$2,"",Nasazení!B129)</f>
        <v/>
      </c>
      <c r="D129" s="61" t="str">
        <f ca="1">IF(TYPE(VLOOKUP(C129,Výsledky_skupin!$A$3:$B$258,2,0))&gt;4," -",VLOOKUP(C129,Výsledky_skupin!$A$3:$B$258,2,0))</f>
        <v/>
      </c>
      <c r="E129" s="2">
        <v>127</v>
      </c>
      <c r="F129">
        <f t="shared" ca="1" si="6"/>
        <v>0</v>
      </c>
    </row>
    <row r="130" spans="1:9">
      <c r="A130" s="2">
        <f t="shared" ca="1" si="8"/>
        <v>128</v>
      </c>
      <c r="B130" s="61" t="str">
        <f t="shared" ca="1" si="9"/>
        <v xml:space="preserve"> - </v>
      </c>
      <c r="C130" s="62" t="str">
        <f ca="1">IF(E130&gt;$G$2,"",Nasazení!B130)</f>
        <v/>
      </c>
      <c r="D130" s="61" t="str">
        <f ca="1">IF(TYPE(VLOOKUP(C130,Výsledky_skupin!$A$3:$B$258,2,0))&gt;4," -",VLOOKUP(C130,Výsledky_skupin!$A$3:$B$258,2,0))</f>
        <v/>
      </c>
      <c r="E130" s="2">
        <v>128</v>
      </c>
      <c r="F130">
        <f t="shared" ca="1" si="6"/>
        <v>0</v>
      </c>
    </row>
    <row r="131" spans="1:9">
      <c r="A131" s="2">
        <f t="shared" ca="1" si="8"/>
        <v>129</v>
      </c>
      <c r="B131" s="61" t="str">
        <f ca="1">IF(E131&gt;$G$2," - ",D131)</f>
        <v xml:space="preserve"> - </v>
      </c>
      <c r="C131" s="62" t="str">
        <f ca="1">IF(E131&gt;$G$2,"",Nasazení!B131)</f>
        <v/>
      </c>
      <c r="D131" s="61" t="str">
        <f ca="1">IF(TYPE(VLOOKUP(C131,Výsledky_skupin!$A$3:$B$258,2,0))&gt;4," -",VLOOKUP(C131,Výsledky_skupin!$A$3:$B$258,2,0))</f>
        <v/>
      </c>
      <c r="E131" s="2">
        <v>129</v>
      </c>
      <c r="F131">
        <f t="shared" ref="F131:F162" ca="1" si="10">IF(E131&gt;$E$2,IF($F$2&gt;0,IF(MOD(E131,2)=0,-1,1),0),0)</f>
        <v>0</v>
      </c>
      <c r="I131" s="325" t="str">
        <f>IF(OR(TRIM(N131)="-",TRIM(N131)="")," ",N131)</f>
        <v xml:space="preserve"> </v>
      </c>
    </row>
    <row r="132" spans="1:9">
      <c r="A132" s="2">
        <f t="shared" ca="1" si="8"/>
        <v>130</v>
      </c>
      <c r="B132" s="61" t="str">
        <f ca="1">IF(E132&gt;$G$2," - ",D132)</f>
        <v xml:space="preserve"> - </v>
      </c>
      <c r="C132" s="62" t="str">
        <f ca="1">IF(E132&gt;$G$2,"",Nasazení!B132)</f>
        <v/>
      </c>
      <c r="D132" s="61" t="str">
        <f ca="1">IF(TYPE(VLOOKUP(C132,Výsledky_skupin!$A$3:$B$258,2,0))&gt;4," -",VLOOKUP(C132,Výsledky_skupin!$A$3:$B$258,2,0))</f>
        <v/>
      </c>
      <c r="E132" s="2">
        <v>130</v>
      </c>
      <c r="F132">
        <f t="shared" ca="1" si="10"/>
        <v>0</v>
      </c>
      <c r="I132" s="325" t="str">
        <f>IF(OR(TRIM(N132)="-",TRIM(N132)="")," ",N132)</f>
        <v xml:space="preserve"> </v>
      </c>
    </row>
    <row r="133" spans="1:9">
      <c r="A133" s="2">
        <f t="shared" ca="1" si="8"/>
        <v>131</v>
      </c>
      <c r="B133" s="61" t="str">
        <f t="shared" ref="B133:B140" ca="1" si="11">IF(E133&gt;$G$2," - ",D133)</f>
        <v xml:space="preserve"> - </v>
      </c>
      <c r="C133" s="62" t="str">
        <f ca="1">IF(E133&gt;$G$2,"",Nasazení!B133)</f>
        <v/>
      </c>
      <c r="D133" s="61" t="str">
        <f ca="1">IF(TYPE(VLOOKUP(C133,Výsledky_skupin!$A$3:$B$258,2,0))&gt;4," -",VLOOKUP(C133,Výsledky_skupin!$A$3:$B$258,2,0))</f>
        <v/>
      </c>
      <c r="E133" s="2">
        <v>131</v>
      </c>
      <c r="F133">
        <f t="shared" ca="1" si="10"/>
        <v>0</v>
      </c>
      <c r="I133" s="325" t="str">
        <f>IF(OR(TRIM(P133)="-",TRIM(P133)="")," ",P133)</f>
        <v xml:space="preserve"> </v>
      </c>
    </row>
    <row r="134" spans="1:9">
      <c r="A134" s="2">
        <f t="shared" ca="1" si="8"/>
        <v>132</v>
      </c>
      <c r="B134" s="61" t="str">
        <f t="shared" ca="1" si="11"/>
        <v xml:space="preserve"> - </v>
      </c>
      <c r="C134" s="62" t="str">
        <f ca="1">IF(E134&gt;$G$2,"",Nasazení!B134)</f>
        <v/>
      </c>
      <c r="D134" s="61" t="str">
        <f ca="1">IF(TYPE(VLOOKUP(C134,Výsledky_skupin!$A$3:$B$258,2,0))&gt;4," -",VLOOKUP(C134,Výsledky_skupin!$A$3:$B$258,2,0))</f>
        <v/>
      </c>
      <c r="E134" s="2">
        <v>132</v>
      </c>
      <c r="F134">
        <f t="shared" ca="1" si="10"/>
        <v>0</v>
      </c>
      <c r="I134" s="325" t="str">
        <f>IF(OR(TRIM(P134)="-",TRIM(P134)="")," ",P134)</f>
        <v xml:space="preserve"> </v>
      </c>
    </row>
    <row r="135" spans="1:9">
      <c r="A135" s="2">
        <f t="shared" ca="1" si="8"/>
        <v>133</v>
      </c>
      <c r="B135" s="61" t="str">
        <f t="shared" ca="1" si="11"/>
        <v xml:space="preserve"> - </v>
      </c>
      <c r="C135" s="62" t="str">
        <f ca="1">IF(E135&gt;$G$2,"",Nasazení!B135)</f>
        <v/>
      </c>
      <c r="D135" s="61" t="str">
        <f ca="1">IF(TYPE(VLOOKUP(C135,Výsledky_skupin!$A$3:$B$258,2,0))&gt;4," -",VLOOKUP(C135,Výsledky_skupin!$A$3:$B$258,2,0))</f>
        <v/>
      </c>
      <c r="E135" s="2">
        <v>133</v>
      </c>
      <c r="F135">
        <f t="shared" ca="1" si="10"/>
        <v>0</v>
      </c>
      <c r="I135" s="325" t="str">
        <f>IF(OR(TRIM(S135)="-",TRIM(S135)="")," ",S135)</f>
        <v xml:space="preserve"> </v>
      </c>
    </row>
    <row r="136" spans="1:9">
      <c r="A136" s="2">
        <f t="shared" ca="1" si="8"/>
        <v>134</v>
      </c>
      <c r="B136" s="61" t="str">
        <f t="shared" ca="1" si="11"/>
        <v xml:space="preserve"> - </v>
      </c>
      <c r="C136" s="62" t="str">
        <f ca="1">IF(E136&gt;$G$2,"",Nasazení!B136)</f>
        <v/>
      </c>
      <c r="D136" s="61" t="str">
        <f ca="1">IF(TYPE(VLOOKUP(C136,Výsledky_skupin!$A$3:$B$258,2,0))&gt;4," -",VLOOKUP(C136,Výsledky_skupin!$A$3:$B$258,2,0))</f>
        <v/>
      </c>
      <c r="E136" s="2">
        <v>134</v>
      </c>
      <c r="F136">
        <f t="shared" ca="1" si="10"/>
        <v>0</v>
      </c>
      <c r="I136" s="325" t="str">
        <f>IF(OR(TRIM(S136)="-",TRIM(S136)="")," ",S136)</f>
        <v xml:space="preserve"> </v>
      </c>
    </row>
    <row r="137" spans="1:9">
      <c r="A137" s="2">
        <f t="shared" ca="1" si="8"/>
        <v>135</v>
      </c>
      <c r="B137" s="61" t="str">
        <f t="shared" ca="1" si="11"/>
        <v xml:space="preserve"> - </v>
      </c>
      <c r="C137" s="62" t="str">
        <f ca="1">IF(E137&gt;$G$2,"",Nasazení!B137)</f>
        <v/>
      </c>
      <c r="D137" s="61" t="str">
        <f ca="1">IF(TYPE(VLOOKUP(C137,Výsledky_skupin!$A$3:$B$258,2,0))&gt;4," -",VLOOKUP(C137,Výsledky_skupin!$A$3:$B$258,2,0))</f>
        <v/>
      </c>
      <c r="E137" s="2">
        <v>135</v>
      </c>
      <c r="F137">
        <f t="shared" ca="1" si="10"/>
        <v>0</v>
      </c>
      <c r="I137" s="325" t="str">
        <f>IF(OR(TRIM(S137)="-",TRIM(S137)="")," ",S137)</f>
        <v xml:space="preserve"> </v>
      </c>
    </row>
    <row r="138" spans="1:9">
      <c r="A138" s="2">
        <f t="shared" ca="1" si="8"/>
        <v>136</v>
      </c>
      <c r="B138" s="61" t="str">
        <f t="shared" ca="1" si="11"/>
        <v xml:space="preserve"> - </v>
      </c>
      <c r="C138" s="62" t="str">
        <f ca="1">IF(E138&gt;$G$2,"",Nasazení!B138)</f>
        <v/>
      </c>
      <c r="D138" s="61" t="str">
        <f ca="1">IF(TYPE(VLOOKUP(C138,Výsledky_skupin!$A$3:$B$258,2,0))&gt;4," -",VLOOKUP(C138,Výsledky_skupin!$A$3:$B$258,2,0))</f>
        <v/>
      </c>
      <c r="E138" s="2">
        <v>136</v>
      </c>
      <c r="F138">
        <f t="shared" ca="1" si="10"/>
        <v>0</v>
      </c>
      <c r="I138" s="325" t="str">
        <f>IF(OR(TRIM(S138)="-",TRIM(S138)="")," ",S138)</f>
        <v xml:space="preserve"> </v>
      </c>
    </row>
    <row r="139" spans="1:9">
      <c r="A139" s="2">
        <f t="shared" ca="1" si="8"/>
        <v>137</v>
      </c>
      <c r="B139" s="61" t="str">
        <f t="shared" ca="1" si="11"/>
        <v xml:space="preserve"> - </v>
      </c>
      <c r="C139" s="62" t="str">
        <f ca="1">IF(E139&gt;$G$2,"",Nasazení!B139)</f>
        <v/>
      </c>
      <c r="D139" s="61" t="str">
        <f ca="1">IF(TYPE(VLOOKUP(C139,Výsledky_skupin!$A$3:$B$258,2,0))&gt;4," -",VLOOKUP(C139,Výsledky_skupin!$A$3:$B$258,2,0))</f>
        <v/>
      </c>
      <c r="E139" s="2">
        <v>137</v>
      </c>
      <c r="F139">
        <f t="shared" ca="1" si="10"/>
        <v>0</v>
      </c>
      <c r="I139" s="325" t="str">
        <f>IF(OR(TRIM(AE139)="-",TRIM(AE139)="")," ",AE139)</f>
        <v xml:space="preserve"> </v>
      </c>
    </row>
    <row r="140" spans="1:9">
      <c r="A140" s="2">
        <f ca="1">E140+F140</f>
        <v>138</v>
      </c>
      <c r="B140" s="61" t="str">
        <f t="shared" ca="1" si="11"/>
        <v xml:space="preserve"> - </v>
      </c>
      <c r="C140" s="62" t="str">
        <f ca="1">IF(E140&gt;$G$2,"",Nasazení!B140)</f>
        <v/>
      </c>
      <c r="D140" s="61" t="str">
        <f ca="1">IF(TYPE(VLOOKUP(C140,Výsledky_skupin!$A$3:$B$258,2,0))&gt;4," -",VLOOKUP(C140,Výsledky_skupin!$A$3:$B$258,2,0))</f>
        <v/>
      </c>
      <c r="E140" s="2">
        <v>138</v>
      </c>
      <c r="F140">
        <f t="shared" ca="1" si="10"/>
        <v>0</v>
      </c>
      <c r="I140" s="325" t="str">
        <f t="shared" ref="I140:I146" si="12">IF(OR(TRIM(AE140)="-",TRIM(AE140)="")," ",AE140)</f>
        <v xml:space="preserve"> </v>
      </c>
    </row>
    <row r="141" spans="1:9">
      <c r="A141" s="2">
        <f t="shared" ref="A141:A203" ca="1" si="13">E141+F141</f>
        <v>139</v>
      </c>
      <c r="B141" s="61" t="str">
        <f ca="1">IF(E141&gt;$G$2," - ",D141)</f>
        <v xml:space="preserve"> - </v>
      </c>
      <c r="C141" s="62" t="str">
        <f ca="1">IF(E141&gt;$G$2,"",Nasazení!B141)</f>
        <v/>
      </c>
      <c r="D141" s="61" t="str">
        <f ca="1">IF(TYPE(VLOOKUP(C141,Výsledky_skupin!$A$3:$B$258,2,0))&gt;4," -",VLOOKUP(C141,Výsledky_skupin!$A$3:$B$258,2,0))</f>
        <v/>
      </c>
      <c r="E141" s="2">
        <v>139</v>
      </c>
      <c r="F141">
        <f t="shared" ca="1" si="10"/>
        <v>0</v>
      </c>
      <c r="I141" s="325" t="str">
        <f t="shared" si="12"/>
        <v xml:space="preserve"> </v>
      </c>
    </row>
    <row r="142" spans="1:9">
      <c r="A142" s="2">
        <f t="shared" ca="1" si="13"/>
        <v>140</v>
      </c>
      <c r="B142" s="61" t="str">
        <f t="shared" ref="B142:B194" ca="1" si="14">IF(E142&gt;$G$2," - ",D142)</f>
        <v xml:space="preserve"> - </v>
      </c>
      <c r="C142" s="62" t="str">
        <f ca="1">IF(E142&gt;$G$2,"",Nasazení!B142)</f>
        <v/>
      </c>
      <c r="D142" s="61" t="str">
        <f ca="1">IF(TYPE(VLOOKUP(C142,Výsledky_skupin!$A$3:$B$258,2,0))&gt;4," -",VLOOKUP(C142,Výsledky_skupin!$A$3:$B$258,2,0))</f>
        <v/>
      </c>
      <c r="E142" s="2">
        <v>140</v>
      </c>
      <c r="F142">
        <f t="shared" ca="1" si="10"/>
        <v>0</v>
      </c>
      <c r="I142" s="325" t="str">
        <f t="shared" si="12"/>
        <v xml:space="preserve"> </v>
      </c>
    </row>
    <row r="143" spans="1:9">
      <c r="A143" s="2">
        <f t="shared" ca="1" si="13"/>
        <v>141</v>
      </c>
      <c r="B143" s="61" t="str">
        <f t="shared" ca="1" si="14"/>
        <v xml:space="preserve"> - </v>
      </c>
      <c r="C143" s="62" t="str">
        <f ca="1">IF(E143&gt;$G$2,"",Nasazení!B143)</f>
        <v/>
      </c>
      <c r="D143" s="61" t="str">
        <f ca="1">IF(TYPE(VLOOKUP(C143,Výsledky_skupin!$A$3:$B$258,2,0))&gt;4," -",VLOOKUP(C143,Výsledky_skupin!$A$3:$B$258,2,0))</f>
        <v/>
      </c>
      <c r="E143" s="2">
        <v>141</v>
      </c>
      <c r="F143">
        <f t="shared" ca="1" si="10"/>
        <v>0</v>
      </c>
      <c r="I143" s="325" t="str">
        <f t="shared" si="12"/>
        <v xml:space="preserve"> </v>
      </c>
    </row>
    <row r="144" spans="1:9">
      <c r="A144" s="2">
        <f t="shared" ca="1" si="13"/>
        <v>142</v>
      </c>
      <c r="B144" s="61" t="str">
        <f t="shared" ca="1" si="14"/>
        <v xml:space="preserve"> - </v>
      </c>
      <c r="C144" s="62" t="str">
        <f ca="1">IF(E144&gt;$G$2,"",Nasazení!B144)</f>
        <v/>
      </c>
      <c r="D144" s="61" t="str">
        <f ca="1">IF(TYPE(VLOOKUP(C144,Výsledky_skupin!$A$3:$B$258,2,0))&gt;4," -",VLOOKUP(C144,Výsledky_skupin!$A$3:$B$258,2,0))</f>
        <v/>
      </c>
      <c r="E144" s="2">
        <v>142</v>
      </c>
      <c r="F144">
        <f t="shared" ca="1" si="10"/>
        <v>0</v>
      </c>
      <c r="I144" s="325" t="str">
        <f t="shared" si="12"/>
        <v xml:space="preserve"> </v>
      </c>
    </row>
    <row r="145" spans="1:9">
      <c r="A145" s="2">
        <f t="shared" ca="1" si="13"/>
        <v>143</v>
      </c>
      <c r="B145" s="61" t="str">
        <f t="shared" ca="1" si="14"/>
        <v xml:space="preserve"> - </v>
      </c>
      <c r="C145" s="62" t="str">
        <f ca="1">IF(E145&gt;$G$2,"",Nasazení!B145)</f>
        <v/>
      </c>
      <c r="D145" s="61" t="str">
        <f ca="1">IF(TYPE(VLOOKUP(C145,Výsledky_skupin!$A$3:$B$258,2,0))&gt;4," -",VLOOKUP(C145,Výsledky_skupin!$A$3:$B$258,2,0))</f>
        <v/>
      </c>
      <c r="E145" s="2">
        <v>143</v>
      </c>
      <c r="F145">
        <f t="shared" ca="1" si="10"/>
        <v>0</v>
      </c>
      <c r="I145" s="325" t="str">
        <f t="shared" si="12"/>
        <v xml:space="preserve"> </v>
      </c>
    </row>
    <row r="146" spans="1:9">
      <c r="A146" s="2">
        <f t="shared" ca="1" si="13"/>
        <v>144</v>
      </c>
      <c r="B146" s="61" t="str">
        <f t="shared" ca="1" si="14"/>
        <v xml:space="preserve"> - </v>
      </c>
      <c r="C146" s="62" t="str">
        <f ca="1">IF(E146&gt;$G$2,"",Nasazení!B146)</f>
        <v/>
      </c>
      <c r="D146" s="61" t="str">
        <f ca="1">IF(TYPE(VLOOKUP(C146,Výsledky_skupin!$A$3:$B$258,2,0))&gt;4," -",VLOOKUP(C146,Výsledky_skupin!$A$3:$B$258,2,0))</f>
        <v/>
      </c>
      <c r="E146" s="2">
        <v>144</v>
      </c>
      <c r="F146">
        <f t="shared" ca="1" si="10"/>
        <v>0</v>
      </c>
      <c r="I146" s="325" t="str">
        <f t="shared" si="12"/>
        <v xml:space="preserve"> </v>
      </c>
    </row>
    <row r="147" spans="1:9">
      <c r="A147" s="2">
        <f t="shared" ca="1" si="13"/>
        <v>145</v>
      </c>
      <c r="B147" s="61" t="str">
        <f t="shared" ca="1" si="14"/>
        <v xml:space="preserve"> - </v>
      </c>
      <c r="C147" s="62" t="str">
        <f ca="1">IF(E147&gt;$G$2,"",Nasazení!B147)</f>
        <v/>
      </c>
      <c r="D147" s="61" t="str">
        <f ca="1">IF(TYPE(VLOOKUP(C147,Výsledky_skupin!$A$3:$B$258,2,0))&gt;4," -",VLOOKUP(C147,Výsledky_skupin!$A$3:$B$258,2,0))</f>
        <v/>
      </c>
      <c r="E147" s="2">
        <v>145</v>
      </c>
      <c r="F147">
        <f t="shared" ca="1" si="10"/>
        <v>0</v>
      </c>
    </row>
    <row r="148" spans="1:9">
      <c r="A148" s="2">
        <f t="shared" ca="1" si="13"/>
        <v>146</v>
      </c>
      <c r="B148" s="61" t="str">
        <f t="shared" ca="1" si="14"/>
        <v xml:space="preserve"> - </v>
      </c>
      <c r="C148" s="62" t="str">
        <f ca="1">IF(E148&gt;$G$2,"",Nasazení!B148)</f>
        <v/>
      </c>
      <c r="D148" s="61" t="str">
        <f ca="1">IF(TYPE(VLOOKUP(C148,Výsledky_skupin!$A$3:$B$258,2,0))&gt;4," -",VLOOKUP(C148,Výsledky_skupin!$A$3:$B$258,2,0))</f>
        <v/>
      </c>
      <c r="E148" s="2">
        <v>146</v>
      </c>
      <c r="F148">
        <f t="shared" ca="1" si="10"/>
        <v>0</v>
      </c>
    </row>
    <row r="149" spans="1:9">
      <c r="A149" s="2">
        <f t="shared" ca="1" si="13"/>
        <v>147</v>
      </c>
      <c r="B149" s="61" t="str">
        <f t="shared" ca="1" si="14"/>
        <v xml:space="preserve"> - </v>
      </c>
      <c r="C149" s="62" t="str">
        <f ca="1">IF(E149&gt;$G$2,"",Nasazení!B149)</f>
        <v/>
      </c>
      <c r="D149" s="61" t="str">
        <f ca="1">IF(TYPE(VLOOKUP(C149,Výsledky_skupin!$A$3:$B$258,2,0))&gt;4," -",VLOOKUP(C149,Výsledky_skupin!$A$3:$B$258,2,0))</f>
        <v/>
      </c>
      <c r="E149" s="2">
        <v>147</v>
      </c>
      <c r="F149">
        <f t="shared" ca="1" si="10"/>
        <v>0</v>
      </c>
    </row>
    <row r="150" spans="1:9">
      <c r="A150" s="2">
        <f t="shared" ca="1" si="13"/>
        <v>148</v>
      </c>
      <c r="B150" s="61" t="str">
        <f t="shared" ca="1" si="14"/>
        <v xml:space="preserve"> - </v>
      </c>
      <c r="C150" s="62" t="str">
        <f ca="1">IF(E150&gt;$G$2,"",Nasazení!B150)</f>
        <v/>
      </c>
      <c r="D150" s="61" t="str">
        <f ca="1">IF(TYPE(VLOOKUP(C150,Výsledky_skupin!$A$3:$B$258,2,0))&gt;4," -",VLOOKUP(C150,Výsledky_skupin!$A$3:$B$258,2,0))</f>
        <v/>
      </c>
      <c r="E150" s="2">
        <v>148</v>
      </c>
      <c r="F150">
        <f t="shared" ca="1" si="10"/>
        <v>0</v>
      </c>
    </row>
    <row r="151" spans="1:9">
      <c r="A151" s="2">
        <f t="shared" ca="1" si="13"/>
        <v>149</v>
      </c>
      <c r="B151" s="61" t="str">
        <f t="shared" ca="1" si="14"/>
        <v xml:space="preserve"> - </v>
      </c>
      <c r="C151" s="62" t="str">
        <f ca="1">IF(E151&gt;$G$2,"",Nasazení!B151)</f>
        <v/>
      </c>
      <c r="D151" s="61" t="str">
        <f ca="1">IF(TYPE(VLOOKUP(C151,Výsledky_skupin!$A$3:$B$258,2,0))&gt;4," -",VLOOKUP(C151,Výsledky_skupin!$A$3:$B$258,2,0))</f>
        <v/>
      </c>
      <c r="E151" s="2">
        <v>149</v>
      </c>
      <c r="F151">
        <f t="shared" ca="1" si="10"/>
        <v>0</v>
      </c>
    </row>
    <row r="152" spans="1:9">
      <c r="A152" s="2">
        <f t="shared" ca="1" si="13"/>
        <v>150</v>
      </c>
      <c r="B152" s="61" t="str">
        <f t="shared" ca="1" si="14"/>
        <v xml:space="preserve"> - </v>
      </c>
      <c r="C152" s="62" t="str">
        <f ca="1">IF(E152&gt;$G$2,"",Nasazení!B152)</f>
        <v/>
      </c>
      <c r="D152" s="61" t="str">
        <f ca="1">IF(TYPE(VLOOKUP(C152,Výsledky_skupin!$A$3:$B$258,2,0))&gt;4," -",VLOOKUP(C152,Výsledky_skupin!$A$3:$B$258,2,0))</f>
        <v/>
      </c>
      <c r="E152" s="2">
        <v>150</v>
      </c>
      <c r="F152">
        <f t="shared" ca="1" si="10"/>
        <v>0</v>
      </c>
    </row>
    <row r="153" spans="1:9">
      <c r="A153" s="2">
        <f t="shared" ca="1" si="13"/>
        <v>151</v>
      </c>
      <c r="B153" s="61" t="str">
        <f t="shared" ca="1" si="14"/>
        <v xml:space="preserve"> - </v>
      </c>
      <c r="C153" s="62" t="str">
        <f ca="1">IF(E153&gt;$G$2,"",Nasazení!B153)</f>
        <v/>
      </c>
      <c r="D153" s="61" t="str">
        <f ca="1">IF(TYPE(VLOOKUP(C153,Výsledky_skupin!$A$3:$B$258,2,0))&gt;4," -",VLOOKUP(C153,Výsledky_skupin!$A$3:$B$258,2,0))</f>
        <v/>
      </c>
      <c r="E153" s="2">
        <v>151</v>
      </c>
      <c r="F153">
        <f t="shared" ca="1" si="10"/>
        <v>0</v>
      </c>
    </row>
    <row r="154" spans="1:9">
      <c r="A154" s="2">
        <f t="shared" ca="1" si="13"/>
        <v>152</v>
      </c>
      <c r="B154" s="61" t="str">
        <f t="shared" ca="1" si="14"/>
        <v xml:space="preserve"> - </v>
      </c>
      <c r="C154" s="62" t="str">
        <f ca="1">IF(E154&gt;$G$2,"",Nasazení!B154)</f>
        <v/>
      </c>
      <c r="D154" s="61" t="str">
        <f ca="1">IF(TYPE(VLOOKUP(C154,Výsledky_skupin!$A$3:$B$258,2,0))&gt;4," -",VLOOKUP(C154,Výsledky_skupin!$A$3:$B$258,2,0))</f>
        <v/>
      </c>
      <c r="E154" s="2">
        <v>152</v>
      </c>
      <c r="F154">
        <f t="shared" ca="1" si="10"/>
        <v>0</v>
      </c>
    </row>
    <row r="155" spans="1:9">
      <c r="A155" s="2">
        <f t="shared" ca="1" si="13"/>
        <v>153</v>
      </c>
      <c r="B155" s="61" t="str">
        <f t="shared" ca="1" si="14"/>
        <v xml:space="preserve"> - </v>
      </c>
      <c r="C155" s="62" t="str">
        <f ca="1">IF(E155&gt;$G$2,"",Nasazení!B155)</f>
        <v/>
      </c>
      <c r="D155" s="61" t="str">
        <f ca="1">IF(TYPE(VLOOKUP(C155,Výsledky_skupin!$A$3:$B$258,2,0))&gt;4," -",VLOOKUP(C155,Výsledky_skupin!$A$3:$B$258,2,0))</f>
        <v/>
      </c>
      <c r="E155" s="2">
        <v>153</v>
      </c>
      <c r="F155">
        <f t="shared" ca="1" si="10"/>
        <v>0</v>
      </c>
    </row>
    <row r="156" spans="1:9">
      <c r="A156" s="2">
        <f t="shared" ca="1" si="13"/>
        <v>154</v>
      </c>
      <c r="B156" s="61" t="str">
        <f t="shared" ca="1" si="14"/>
        <v xml:space="preserve"> - </v>
      </c>
      <c r="C156" s="62" t="str">
        <f ca="1">IF(E156&gt;$G$2,"",Nasazení!B156)</f>
        <v/>
      </c>
      <c r="D156" s="61" t="str">
        <f ca="1">IF(TYPE(VLOOKUP(C156,Výsledky_skupin!$A$3:$B$258,2,0))&gt;4," -",VLOOKUP(C156,Výsledky_skupin!$A$3:$B$258,2,0))</f>
        <v/>
      </c>
      <c r="E156" s="2">
        <v>154</v>
      </c>
      <c r="F156">
        <f t="shared" ca="1" si="10"/>
        <v>0</v>
      </c>
    </row>
    <row r="157" spans="1:9">
      <c r="A157" s="2">
        <f t="shared" ca="1" si="13"/>
        <v>155</v>
      </c>
      <c r="B157" s="61" t="str">
        <f t="shared" ca="1" si="14"/>
        <v xml:space="preserve"> - </v>
      </c>
      <c r="C157" s="62" t="str">
        <f ca="1">IF(E157&gt;$G$2,"",Nasazení!B157)</f>
        <v/>
      </c>
      <c r="D157" s="61" t="str">
        <f ca="1">IF(TYPE(VLOOKUP(C157,Výsledky_skupin!$A$3:$B$258,2,0))&gt;4," -",VLOOKUP(C157,Výsledky_skupin!$A$3:$B$258,2,0))</f>
        <v/>
      </c>
      <c r="E157" s="2">
        <v>155</v>
      </c>
      <c r="F157">
        <f t="shared" ca="1" si="10"/>
        <v>0</v>
      </c>
    </row>
    <row r="158" spans="1:9">
      <c r="A158" s="2">
        <f t="shared" ca="1" si="13"/>
        <v>156</v>
      </c>
      <c r="B158" s="61" t="str">
        <f t="shared" ca="1" si="14"/>
        <v xml:space="preserve"> - </v>
      </c>
      <c r="C158" s="62" t="str">
        <f ca="1">IF(E158&gt;$G$2,"",Nasazení!B158)</f>
        <v/>
      </c>
      <c r="D158" s="61" t="str">
        <f ca="1">IF(TYPE(VLOOKUP(C158,Výsledky_skupin!$A$3:$B$258,2,0))&gt;4," -",VLOOKUP(C158,Výsledky_skupin!$A$3:$B$258,2,0))</f>
        <v/>
      </c>
      <c r="E158" s="2">
        <v>156</v>
      </c>
      <c r="F158">
        <f t="shared" ca="1" si="10"/>
        <v>0</v>
      </c>
    </row>
    <row r="159" spans="1:9">
      <c r="A159" s="2">
        <f t="shared" ca="1" si="13"/>
        <v>157</v>
      </c>
      <c r="B159" s="61" t="str">
        <f t="shared" ca="1" si="14"/>
        <v xml:space="preserve"> - </v>
      </c>
      <c r="C159" s="62" t="str">
        <f ca="1">IF(E159&gt;$G$2,"",Nasazení!B159)</f>
        <v/>
      </c>
      <c r="D159" s="61" t="str">
        <f ca="1">IF(TYPE(VLOOKUP(C159,Výsledky_skupin!$A$3:$B$258,2,0))&gt;4," -",VLOOKUP(C159,Výsledky_skupin!$A$3:$B$258,2,0))</f>
        <v/>
      </c>
      <c r="E159" s="2">
        <v>157</v>
      </c>
      <c r="F159">
        <f t="shared" ca="1" si="10"/>
        <v>0</v>
      </c>
    </row>
    <row r="160" spans="1:9">
      <c r="A160" s="2">
        <f t="shared" ca="1" si="13"/>
        <v>158</v>
      </c>
      <c r="B160" s="61" t="str">
        <f t="shared" ca="1" si="14"/>
        <v xml:space="preserve"> - </v>
      </c>
      <c r="C160" s="62" t="str">
        <f ca="1">IF(E160&gt;$G$2,"",Nasazení!B160)</f>
        <v/>
      </c>
      <c r="D160" s="61" t="str">
        <f ca="1">IF(TYPE(VLOOKUP(C160,Výsledky_skupin!$A$3:$B$258,2,0))&gt;4," -",VLOOKUP(C160,Výsledky_skupin!$A$3:$B$258,2,0))</f>
        <v/>
      </c>
      <c r="E160" s="2">
        <v>158</v>
      </c>
      <c r="F160">
        <f t="shared" ca="1" si="10"/>
        <v>0</v>
      </c>
    </row>
    <row r="161" spans="1:6">
      <c r="A161" s="2">
        <f t="shared" ca="1" si="13"/>
        <v>159</v>
      </c>
      <c r="B161" s="61" t="str">
        <f t="shared" ca="1" si="14"/>
        <v xml:space="preserve"> - </v>
      </c>
      <c r="C161" s="62" t="str">
        <f ca="1">IF(E161&gt;$G$2,"",Nasazení!B161)</f>
        <v/>
      </c>
      <c r="D161" s="61" t="str">
        <f ca="1">IF(TYPE(VLOOKUP(C161,Výsledky_skupin!$A$3:$B$258,2,0))&gt;4," -",VLOOKUP(C161,Výsledky_skupin!$A$3:$B$258,2,0))</f>
        <v/>
      </c>
      <c r="E161" s="2">
        <v>159</v>
      </c>
      <c r="F161">
        <f t="shared" ca="1" si="10"/>
        <v>0</v>
      </c>
    </row>
    <row r="162" spans="1:6">
      <c r="A162" s="2">
        <f t="shared" ca="1" si="13"/>
        <v>160</v>
      </c>
      <c r="B162" s="61" t="str">
        <f t="shared" ca="1" si="14"/>
        <v xml:space="preserve"> - </v>
      </c>
      <c r="C162" s="62" t="str">
        <f ca="1">IF(E162&gt;$G$2,"",Nasazení!B162)</f>
        <v/>
      </c>
      <c r="D162" s="61" t="str">
        <f ca="1">IF(TYPE(VLOOKUP(C162,Výsledky_skupin!$A$3:$B$258,2,0))&gt;4," -",VLOOKUP(C162,Výsledky_skupin!$A$3:$B$258,2,0))</f>
        <v/>
      </c>
      <c r="E162" s="2">
        <v>160</v>
      </c>
      <c r="F162">
        <f t="shared" ca="1" si="10"/>
        <v>0</v>
      </c>
    </row>
    <row r="163" spans="1:6">
      <c r="A163" s="2">
        <f t="shared" ca="1" si="13"/>
        <v>161</v>
      </c>
      <c r="B163" s="61" t="str">
        <f t="shared" ca="1" si="14"/>
        <v xml:space="preserve"> - </v>
      </c>
      <c r="C163" s="62" t="str">
        <f ca="1">IF(E163&gt;$G$2,"",Nasazení!B163)</f>
        <v/>
      </c>
      <c r="D163" s="61" t="str">
        <f ca="1">IF(TYPE(VLOOKUP(C163,Výsledky_skupin!$A$3:$B$258,2,0))&gt;4," -",VLOOKUP(C163,Výsledky_skupin!$A$3:$B$258,2,0))</f>
        <v/>
      </c>
      <c r="E163" s="2">
        <v>161</v>
      </c>
      <c r="F163">
        <f t="shared" ref="F163:F226" ca="1" si="15">IF(E163&gt;$E$2,IF($F$2&gt;0,IF(MOD(E163,2)=0,-1,1),0),0)</f>
        <v>0</v>
      </c>
    </row>
    <row r="164" spans="1:6">
      <c r="A164" s="2">
        <f t="shared" ca="1" si="13"/>
        <v>162</v>
      </c>
      <c r="B164" s="61" t="str">
        <f t="shared" ca="1" si="14"/>
        <v xml:space="preserve"> - </v>
      </c>
      <c r="C164" s="62" t="str">
        <f ca="1">IF(E164&gt;$G$2,"",Nasazení!B164)</f>
        <v/>
      </c>
      <c r="D164" s="61" t="str">
        <f ca="1">IF(TYPE(VLOOKUP(C164,Výsledky_skupin!$A$3:$B$258,2,0))&gt;4," -",VLOOKUP(C164,Výsledky_skupin!$A$3:$B$258,2,0))</f>
        <v/>
      </c>
      <c r="E164" s="2">
        <v>162</v>
      </c>
      <c r="F164">
        <f t="shared" ca="1" si="15"/>
        <v>0</v>
      </c>
    </row>
    <row r="165" spans="1:6">
      <c r="A165" s="2">
        <f t="shared" ca="1" si="13"/>
        <v>163</v>
      </c>
      <c r="B165" s="61" t="str">
        <f t="shared" ca="1" si="14"/>
        <v xml:space="preserve"> - </v>
      </c>
      <c r="C165" s="62" t="str">
        <f ca="1">IF(E165&gt;$G$2,"",Nasazení!B165)</f>
        <v/>
      </c>
      <c r="D165" s="61" t="str">
        <f ca="1">IF(TYPE(VLOOKUP(C165,Výsledky_skupin!$A$3:$B$258,2,0))&gt;4," -",VLOOKUP(C165,Výsledky_skupin!$A$3:$B$258,2,0))</f>
        <v/>
      </c>
      <c r="E165" s="2">
        <v>163</v>
      </c>
      <c r="F165">
        <f t="shared" ca="1" si="15"/>
        <v>0</v>
      </c>
    </row>
    <row r="166" spans="1:6">
      <c r="A166" s="2">
        <f t="shared" ca="1" si="13"/>
        <v>164</v>
      </c>
      <c r="B166" s="61" t="str">
        <f t="shared" ca="1" si="14"/>
        <v xml:space="preserve"> - </v>
      </c>
      <c r="C166" s="62" t="str">
        <f ca="1">IF(E166&gt;$G$2,"",Nasazení!B166)</f>
        <v/>
      </c>
      <c r="D166" s="61" t="str">
        <f ca="1">IF(TYPE(VLOOKUP(C166,Výsledky_skupin!$A$3:$B$258,2,0))&gt;4," -",VLOOKUP(C166,Výsledky_skupin!$A$3:$B$258,2,0))</f>
        <v/>
      </c>
      <c r="E166" s="2">
        <v>164</v>
      </c>
      <c r="F166">
        <f t="shared" ca="1" si="15"/>
        <v>0</v>
      </c>
    </row>
    <row r="167" spans="1:6">
      <c r="A167" s="2">
        <f t="shared" ca="1" si="13"/>
        <v>165</v>
      </c>
      <c r="B167" s="61" t="str">
        <f t="shared" ca="1" si="14"/>
        <v xml:space="preserve"> - </v>
      </c>
      <c r="C167" s="62" t="str">
        <f ca="1">IF(E167&gt;$G$2,"",Nasazení!B167)</f>
        <v/>
      </c>
      <c r="D167" s="61" t="str">
        <f ca="1">IF(TYPE(VLOOKUP(C167,Výsledky_skupin!$A$3:$B$258,2,0))&gt;4," -",VLOOKUP(C167,Výsledky_skupin!$A$3:$B$258,2,0))</f>
        <v/>
      </c>
      <c r="E167" s="2">
        <v>165</v>
      </c>
      <c r="F167">
        <f t="shared" ca="1" si="15"/>
        <v>0</v>
      </c>
    </row>
    <row r="168" spans="1:6">
      <c r="A168" s="2">
        <f t="shared" ca="1" si="13"/>
        <v>166</v>
      </c>
      <c r="B168" s="61" t="str">
        <f t="shared" ca="1" si="14"/>
        <v xml:space="preserve"> - </v>
      </c>
      <c r="C168" s="62" t="str">
        <f ca="1">IF(E168&gt;$G$2,"",Nasazení!B168)</f>
        <v/>
      </c>
      <c r="D168" s="61" t="str">
        <f ca="1">IF(TYPE(VLOOKUP(C168,Výsledky_skupin!$A$3:$B$258,2,0))&gt;4," -",VLOOKUP(C168,Výsledky_skupin!$A$3:$B$258,2,0))</f>
        <v/>
      </c>
      <c r="E168" s="2">
        <v>166</v>
      </c>
      <c r="F168">
        <f t="shared" ca="1" si="15"/>
        <v>0</v>
      </c>
    </row>
    <row r="169" spans="1:6">
      <c r="A169" s="2">
        <f t="shared" ca="1" si="13"/>
        <v>167</v>
      </c>
      <c r="B169" s="61" t="str">
        <f t="shared" ca="1" si="14"/>
        <v xml:space="preserve"> - </v>
      </c>
      <c r="C169" s="62" t="str">
        <f ca="1">IF(E169&gt;$G$2,"",Nasazení!B169)</f>
        <v/>
      </c>
      <c r="D169" s="61" t="str">
        <f ca="1">IF(TYPE(VLOOKUP(C169,Výsledky_skupin!$A$3:$B$258,2,0))&gt;4," -",VLOOKUP(C169,Výsledky_skupin!$A$3:$B$258,2,0))</f>
        <v/>
      </c>
      <c r="E169" s="2">
        <v>167</v>
      </c>
      <c r="F169">
        <f t="shared" ca="1" si="15"/>
        <v>0</v>
      </c>
    </row>
    <row r="170" spans="1:6">
      <c r="A170" s="2">
        <f t="shared" ca="1" si="13"/>
        <v>168</v>
      </c>
      <c r="B170" s="61" t="str">
        <f t="shared" ca="1" si="14"/>
        <v xml:space="preserve"> - </v>
      </c>
      <c r="C170" s="62" t="str">
        <f ca="1">IF(E170&gt;$G$2,"",Nasazení!B170)</f>
        <v/>
      </c>
      <c r="D170" s="61" t="str">
        <f ca="1">IF(TYPE(VLOOKUP(C170,Výsledky_skupin!$A$3:$B$258,2,0))&gt;4," -",VLOOKUP(C170,Výsledky_skupin!$A$3:$B$258,2,0))</f>
        <v/>
      </c>
      <c r="E170" s="2">
        <v>168</v>
      </c>
      <c r="F170">
        <f t="shared" ca="1" si="15"/>
        <v>0</v>
      </c>
    </row>
    <row r="171" spans="1:6">
      <c r="A171" s="2">
        <f t="shared" ca="1" si="13"/>
        <v>169</v>
      </c>
      <c r="B171" s="61" t="str">
        <f t="shared" ca="1" si="14"/>
        <v xml:space="preserve"> - </v>
      </c>
      <c r="C171" s="62" t="str">
        <f ca="1">IF(E171&gt;$G$2,"",Nasazení!B171)</f>
        <v/>
      </c>
      <c r="D171" s="61" t="str">
        <f ca="1">IF(TYPE(VLOOKUP(C171,Výsledky_skupin!$A$3:$B$258,2,0))&gt;4," -",VLOOKUP(C171,Výsledky_skupin!$A$3:$B$258,2,0))</f>
        <v/>
      </c>
      <c r="E171" s="2">
        <v>169</v>
      </c>
      <c r="F171">
        <f t="shared" ca="1" si="15"/>
        <v>0</v>
      </c>
    </row>
    <row r="172" spans="1:6">
      <c r="A172" s="2">
        <f t="shared" ca="1" si="13"/>
        <v>170</v>
      </c>
      <c r="B172" s="61" t="str">
        <f t="shared" ca="1" si="14"/>
        <v xml:space="preserve"> - </v>
      </c>
      <c r="C172" s="62" t="str">
        <f ca="1">IF(E172&gt;$G$2,"",Nasazení!B172)</f>
        <v/>
      </c>
      <c r="D172" s="61" t="str">
        <f ca="1">IF(TYPE(VLOOKUP(C172,Výsledky_skupin!$A$3:$B$258,2,0))&gt;4," -",VLOOKUP(C172,Výsledky_skupin!$A$3:$B$258,2,0))</f>
        <v/>
      </c>
      <c r="E172" s="2">
        <v>170</v>
      </c>
      <c r="F172">
        <f t="shared" ca="1" si="15"/>
        <v>0</v>
      </c>
    </row>
    <row r="173" spans="1:6">
      <c r="A173" s="2">
        <f t="shared" ca="1" si="13"/>
        <v>171</v>
      </c>
      <c r="B173" s="61" t="str">
        <f t="shared" ca="1" si="14"/>
        <v xml:space="preserve"> - </v>
      </c>
      <c r="C173" s="62" t="str">
        <f ca="1">IF(E173&gt;$G$2,"",Nasazení!B173)</f>
        <v/>
      </c>
      <c r="D173" s="61" t="str">
        <f ca="1">IF(TYPE(VLOOKUP(C173,Výsledky_skupin!$A$3:$B$258,2,0))&gt;4," -",VLOOKUP(C173,Výsledky_skupin!$A$3:$B$258,2,0))</f>
        <v/>
      </c>
      <c r="E173" s="2">
        <v>171</v>
      </c>
      <c r="F173">
        <f t="shared" ca="1" si="15"/>
        <v>0</v>
      </c>
    </row>
    <row r="174" spans="1:6">
      <c r="A174" s="2">
        <f t="shared" ca="1" si="13"/>
        <v>172</v>
      </c>
      <c r="B174" s="61" t="str">
        <f t="shared" ca="1" si="14"/>
        <v xml:space="preserve"> - </v>
      </c>
      <c r="C174" s="62" t="str">
        <f ca="1">IF(E174&gt;$G$2,"",Nasazení!B174)</f>
        <v/>
      </c>
      <c r="D174" s="61" t="str">
        <f ca="1">IF(TYPE(VLOOKUP(C174,Výsledky_skupin!$A$3:$B$258,2,0))&gt;4," -",VLOOKUP(C174,Výsledky_skupin!$A$3:$B$258,2,0))</f>
        <v/>
      </c>
      <c r="E174" s="2">
        <v>172</v>
      </c>
      <c r="F174">
        <f t="shared" ca="1" si="15"/>
        <v>0</v>
      </c>
    </row>
    <row r="175" spans="1:6">
      <c r="A175" s="2">
        <f t="shared" ca="1" si="13"/>
        <v>173</v>
      </c>
      <c r="B175" s="61" t="str">
        <f t="shared" ca="1" si="14"/>
        <v xml:space="preserve"> - </v>
      </c>
      <c r="C175" s="62" t="str">
        <f ca="1">IF(E175&gt;$G$2,"",Nasazení!B175)</f>
        <v/>
      </c>
      <c r="D175" s="61" t="str">
        <f ca="1">IF(TYPE(VLOOKUP(C175,Výsledky_skupin!$A$3:$B$258,2,0))&gt;4," -",VLOOKUP(C175,Výsledky_skupin!$A$3:$B$258,2,0))</f>
        <v/>
      </c>
      <c r="E175" s="2">
        <v>173</v>
      </c>
      <c r="F175">
        <f t="shared" ca="1" si="15"/>
        <v>0</v>
      </c>
    </row>
    <row r="176" spans="1:6">
      <c r="A176" s="2">
        <f t="shared" ca="1" si="13"/>
        <v>174</v>
      </c>
      <c r="B176" s="61" t="str">
        <f t="shared" ca="1" si="14"/>
        <v xml:space="preserve"> - </v>
      </c>
      <c r="C176" s="62" t="str">
        <f ca="1">IF(E176&gt;$G$2,"",Nasazení!B176)</f>
        <v/>
      </c>
      <c r="D176" s="61" t="str">
        <f ca="1">IF(TYPE(VLOOKUP(C176,Výsledky_skupin!$A$3:$B$258,2,0))&gt;4," -",VLOOKUP(C176,Výsledky_skupin!$A$3:$B$258,2,0))</f>
        <v/>
      </c>
      <c r="E176" s="2">
        <v>174</v>
      </c>
      <c r="F176">
        <f t="shared" ca="1" si="15"/>
        <v>0</v>
      </c>
    </row>
    <row r="177" spans="1:6">
      <c r="A177" s="2">
        <f t="shared" ca="1" si="13"/>
        <v>175</v>
      </c>
      <c r="B177" s="61" t="str">
        <f t="shared" ca="1" si="14"/>
        <v xml:space="preserve"> - </v>
      </c>
      <c r="C177" s="62" t="str">
        <f ca="1">IF(E177&gt;$G$2,"",Nasazení!B177)</f>
        <v/>
      </c>
      <c r="D177" s="61" t="str">
        <f ca="1">IF(TYPE(VLOOKUP(C177,Výsledky_skupin!$A$3:$B$258,2,0))&gt;4," -",VLOOKUP(C177,Výsledky_skupin!$A$3:$B$258,2,0))</f>
        <v/>
      </c>
      <c r="E177" s="2">
        <v>175</v>
      </c>
      <c r="F177">
        <f t="shared" ca="1" si="15"/>
        <v>0</v>
      </c>
    </row>
    <row r="178" spans="1:6">
      <c r="A178" s="2">
        <f t="shared" ca="1" si="13"/>
        <v>176</v>
      </c>
      <c r="B178" s="61" t="str">
        <f t="shared" ca="1" si="14"/>
        <v xml:space="preserve"> - </v>
      </c>
      <c r="C178" s="62" t="str">
        <f ca="1">IF(E178&gt;$G$2,"",Nasazení!B178)</f>
        <v/>
      </c>
      <c r="D178" s="61" t="str">
        <f ca="1">IF(TYPE(VLOOKUP(C178,Výsledky_skupin!$A$3:$B$258,2,0))&gt;4," -",VLOOKUP(C178,Výsledky_skupin!$A$3:$B$258,2,0))</f>
        <v/>
      </c>
      <c r="E178" s="2">
        <v>176</v>
      </c>
      <c r="F178">
        <f t="shared" ca="1" si="15"/>
        <v>0</v>
      </c>
    </row>
    <row r="179" spans="1:6">
      <c r="A179" s="2">
        <f t="shared" ca="1" si="13"/>
        <v>177</v>
      </c>
      <c r="B179" s="61" t="str">
        <f t="shared" ca="1" si="14"/>
        <v xml:space="preserve"> - </v>
      </c>
      <c r="C179" s="62" t="str">
        <f ca="1">IF(E179&gt;$G$2,"",Nasazení!B179)</f>
        <v/>
      </c>
      <c r="D179" s="61" t="str">
        <f ca="1">IF(TYPE(VLOOKUP(C179,Výsledky_skupin!$A$3:$B$258,2,0))&gt;4," -",VLOOKUP(C179,Výsledky_skupin!$A$3:$B$258,2,0))</f>
        <v/>
      </c>
      <c r="E179" s="2">
        <v>177</v>
      </c>
      <c r="F179">
        <f t="shared" ca="1" si="15"/>
        <v>0</v>
      </c>
    </row>
    <row r="180" spans="1:6">
      <c r="A180" s="2">
        <f t="shared" ca="1" si="13"/>
        <v>178</v>
      </c>
      <c r="B180" s="61" t="str">
        <f t="shared" ca="1" si="14"/>
        <v xml:space="preserve"> - </v>
      </c>
      <c r="C180" s="62" t="str">
        <f ca="1">IF(E180&gt;$G$2,"",Nasazení!B180)</f>
        <v/>
      </c>
      <c r="D180" s="61" t="str">
        <f ca="1">IF(TYPE(VLOOKUP(C180,Výsledky_skupin!$A$3:$B$258,2,0))&gt;4," -",VLOOKUP(C180,Výsledky_skupin!$A$3:$B$258,2,0))</f>
        <v/>
      </c>
      <c r="E180" s="2">
        <v>178</v>
      </c>
      <c r="F180">
        <f t="shared" ca="1" si="15"/>
        <v>0</v>
      </c>
    </row>
    <row r="181" spans="1:6">
      <c r="A181" s="2">
        <f t="shared" ca="1" si="13"/>
        <v>179</v>
      </c>
      <c r="B181" s="61" t="str">
        <f t="shared" ca="1" si="14"/>
        <v xml:space="preserve"> - </v>
      </c>
      <c r="C181" s="62" t="str">
        <f ca="1">IF(E181&gt;$G$2,"",Nasazení!B181)</f>
        <v/>
      </c>
      <c r="D181" s="61" t="str">
        <f ca="1">IF(TYPE(VLOOKUP(C181,Výsledky_skupin!$A$3:$B$258,2,0))&gt;4," -",VLOOKUP(C181,Výsledky_skupin!$A$3:$B$258,2,0))</f>
        <v/>
      </c>
      <c r="E181" s="2">
        <v>179</v>
      </c>
      <c r="F181">
        <f t="shared" ca="1" si="15"/>
        <v>0</v>
      </c>
    </row>
    <row r="182" spans="1:6">
      <c r="A182" s="2">
        <f t="shared" ca="1" si="13"/>
        <v>180</v>
      </c>
      <c r="B182" s="61" t="str">
        <f t="shared" ca="1" si="14"/>
        <v xml:space="preserve"> - </v>
      </c>
      <c r="C182" s="62" t="str">
        <f ca="1">IF(E182&gt;$G$2,"",Nasazení!B182)</f>
        <v/>
      </c>
      <c r="D182" s="61" t="str">
        <f ca="1">IF(TYPE(VLOOKUP(C182,Výsledky_skupin!$A$3:$B$258,2,0))&gt;4," -",VLOOKUP(C182,Výsledky_skupin!$A$3:$B$258,2,0))</f>
        <v/>
      </c>
      <c r="E182" s="2">
        <v>180</v>
      </c>
      <c r="F182">
        <f t="shared" ca="1" si="15"/>
        <v>0</v>
      </c>
    </row>
    <row r="183" spans="1:6">
      <c r="A183" s="2">
        <f t="shared" ca="1" si="13"/>
        <v>181</v>
      </c>
      <c r="B183" s="61" t="str">
        <f t="shared" ca="1" si="14"/>
        <v xml:space="preserve"> - </v>
      </c>
      <c r="C183" s="62" t="str">
        <f ca="1">IF(E183&gt;$G$2,"",Nasazení!B183)</f>
        <v/>
      </c>
      <c r="D183" s="61" t="str">
        <f ca="1">IF(TYPE(VLOOKUP(C183,Výsledky_skupin!$A$3:$B$258,2,0))&gt;4," -",VLOOKUP(C183,Výsledky_skupin!$A$3:$B$258,2,0))</f>
        <v/>
      </c>
      <c r="E183" s="2">
        <v>181</v>
      </c>
      <c r="F183">
        <f t="shared" ca="1" si="15"/>
        <v>0</v>
      </c>
    </row>
    <row r="184" spans="1:6">
      <c r="A184" s="2">
        <f t="shared" ca="1" si="13"/>
        <v>182</v>
      </c>
      <c r="B184" s="61" t="str">
        <f t="shared" ca="1" si="14"/>
        <v xml:space="preserve"> - </v>
      </c>
      <c r="C184" s="62" t="str">
        <f ca="1">IF(E184&gt;$G$2,"",Nasazení!B184)</f>
        <v/>
      </c>
      <c r="D184" s="61" t="str">
        <f ca="1">IF(TYPE(VLOOKUP(C184,Výsledky_skupin!$A$3:$B$258,2,0))&gt;4," -",VLOOKUP(C184,Výsledky_skupin!$A$3:$B$258,2,0))</f>
        <v/>
      </c>
      <c r="E184" s="2">
        <v>182</v>
      </c>
      <c r="F184">
        <f t="shared" ca="1" si="15"/>
        <v>0</v>
      </c>
    </row>
    <row r="185" spans="1:6">
      <c r="A185" s="2">
        <f t="shared" ca="1" si="13"/>
        <v>183</v>
      </c>
      <c r="B185" s="61" t="str">
        <f t="shared" ca="1" si="14"/>
        <v xml:space="preserve"> - </v>
      </c>
      <c r="C185" s="62" t="str">
        <f ca="1">IF(E185&gt;$G$2,"",Nasazení!B185)</f>
        <v/>
      </c>
      <c r="D185" s="61" t="str">
        <f ca="1">IF(TYPE(VLOOKUP(C185,Výsledky_skupin!$A$3:$B$258,2,0))&gt;4," -",VLOOKUP(C185,Výsledky_skupin!$A$3:$B$258,2,0))</f>
        <v/>
      </c>
      <c r="E185" s="2">
        <v>183</v>
      </c>
      <c r="F185">
        <f t="shared" ca="1" si="15"/>
        <v>0</v>
      </c>
    </row>
    <row r="186" spans="1:6">
      <c r="A186" s="2">
        <f t="shared" ca="1" si="13"/>
        <v>184</v>
      </c>
      <c r="B186" s="61" t="str">
        <f t="shared" ca="1" si="14"/>
        <v xml:space="preserve"> - </v>
      </c>
      <c r="C186" s="62" t="str">
        <f ca="1">IF(E186&gt;$G$2,"",Nasazení!B186)</f>
        <v/>
      </c>
      <c r="D186" s="61" t="str">
        <f ca="1">IF(TYPE(VLOOKUP(C186,Výsledky_skupin!$A$3:$B$258,2,0))&gt;4," -",VLOOKUP(C186,Výsledky_skupin!$A$3:$B$258,2,0))</f>
        <v/>
      </c>
      <c r="E186" s="2">
        <v>184</v>
      </c>
      <c r="F186">
        <f t="shared" ca="1" si="15"/>
        <v>0</v>
      </c>
    </row>
    <row r="187" spans="1:6">
      <c r="A187" s="2">
        <f t="shared" ca="1" si="13"/>
        <v>185</v>
      </c>
      <c r="B187" s="61" t="str">
        <f t="shared" ca="1" si="14"/>
        <v xml:space="preserve"> - </v>
      </c>
      <c r="C187" s="62" t="str">
        <f ca="1">IF(E187&gt;$G$2,"",Nasazení!B187)</f>
        <v/>
      </c>
      <c r="D187" s="61" t="str">
        <f ca="1">IF(TYPE(VLOOKUP(C187,Výsledky_skupin!$A$3:$B$258,2,0))&gt;4," -",VLOOKUP(C187,Výsledky_skupin!$A$3:$B$258,2,0))</f>
        <v/>
      </c>
      <c r="E187" s="2">
        <v>185</v>
      </c>
      <c r="F187">
        <f t="shared" ca="1" si="15"/>
        <v>0</v>
      </c>
    </row>
    <row r="188" spans="1:6">
      <c r="A188" s="2">
        <f t="shared" ca="1" si="13"/>
        <v>186</v>
      </c>
      <c r="B188" s="61" t="str">
        <f t="shared" ca="1" si="14"/>
        <v xml:space="preserve"> - </v>
      </c>
      <c r="C188" s="62" t="str">
        <f ca="1">IF(E188&gt;$G$2,"",Nasazení!B188)</f>
        <v/>
      </c>
      <c r="D188" s="61" t="str">
        <f ca="1">IF(TYPE(VLOOKUP(C188,Výsledky_skupin!$A$3:$B$258,2,0))&gt;4," -",VLOOKUP(C188,Výsledky_skupin!$A$3:$B$258,2,0))</f>
        <v/>
      </c>
      <c r="E188" s="2">
        <v>186</v>
      </c>
      <c r="F188">
        <f t="shared" ca="1" si="15"/>
        <v>0</v>
      </c>
    </row>
    <row r="189" spans="1:6">
      <c r="A189" s="2">
        <f t="shared" ca="1" si="13"/>
        <v>187</v>
      </c>
      <c r="B189" s="61" t="str">
        <f t="shared" ca="1" si="14"/>
        <v xml:space="preserve"> - </v>
      </c>
      <c r="C189" s="62" t="str">
        <f ca="1">IF(E189&gt;$G$2,"",Nasazení!B189)</f>
        <v/>
      </c>
      <c r="D189" s="61" t="str">
        <f ca="1">IF(TYPE(VLOOKUP(C189,Výsledky_skupin!$A$3:$B$258,2,0))&gt;4," -",VLOOKUP(C189,Výsledky_skupin!$A$3:$B$258,2,0))</f>
        <v/>
      </c>
      <c r="E189" s="2">
        <v>187</v>
      </c>
      <c r="F189">
        <f t="shared" ca="1" si="15"/>
        <v>0</v>
      </c>
    </row>
    <row r="190" spans="1:6">
      <c r="A190" s="2">
        <f t="shared" ca="1" si="13"/>
        <v>188</v>
      </c>
      <c r="B190" s="61" t="str">
        <f t="shared" ca="1" si="14"/>
        <v xml:space="preserve"> - </v>
      </c>
      <c r="C190" s="62" t="str">
        <f ca="1">IF(E190&gt;$G$2,"",Nasazení!B190)</f>
        <v/>
      </c>
      <c r="D190" s="61" t="str">
        <f ca="1">IF(TYPE(VLOOKUP(C190,Výsledky_skupin!$A$3:$B$258,2,0))&gt;4," -",VLOOKUP(C190,Výsledky_skupin!$A$3:$B$258,2,0))</f>
        <v/>
      </c>
      <c r="E190" s="2">
        <v>188</v>
      </c>
      <c r="F190">
        <f t="shared" ca="1" si="15"/>
        <v>0</v>
      </c>
    </row>
    <row r="191" spans="1:6">
      <c r="A191" s="2">
        <f t="shared" ca="1" si="13"/>
        <v>189</v>
      </c>
      <c r="B191" s="61" t="str">
        <f t="shared" ca="1" si="14"/>
        <v xml:space="preserve"> - </v>
      </c>
      <c r="C191" s="62" t="str">
        <f ca="1">IF(E191&gt;$G$2,"",Nasazení!B191)</f>
        <v/>
      </c>
      <c r="D191" s="61" t="str">
        <f ca="1">IF(TYPE(VLOOKUP(C191,Výsledky_skupin!$A$3:$B$258,2,0))&gt;4," -",VLOOKUP(C191,Výsledky_skupin!$A$3:$B$258,2,0))</f>
        <v/>
      </c>
      <c r="E191" s="2">
        <v>189</v>
      </c>
      <c r="F191">
        <f t="shared" ca="1" si="15"/>
        <v>0</v>
      </c>
    </row>
    <row r="192" spans="1:6">
      <c r="A192" s="2">
        <f t="shared" ca="1" si="13"/>
        <v>190</v>
      </c>
      <c r="B192" s="61" t="str">
        <f t="shared" ca="1" si="14"/>
        <v xml:space="preserve"> - </v>
      </c>
      <c r="C192" s="62" t="str">
        <f ca="1">IF(E192&gt;$G$2,"",Nasazení!B192)</f>
        <v/>
      </c>
      <c r="D192" s="61" t="str">
        <f ca="1">IF(TYPE(VLOOKUP(C192,Výsledky_skupin!$A$3:$B$258,2,0))&gt;4," -",VLOOKUP(C192,Výsledky_skupin!$A$3:$B$258,2,0))</f>
        <v/>
      </c>
      <c r="E192" s="2">
        <v>190</v>
      </c>
      <c r="F192">
        <f t="shared" ca="1" si="15"/>
        <v>0</v>
      </c>
    </row>
    <row r="193" spans="1:6">
      <c r="A193" s="2">
        <f t="shared" ca="1" si="13"/>
        <v>191</v>
      </c>
      <c r="B193" s="61" t="str">
        <f t="shared" ca="1" si="14"/>
        <v xml:space="preserve"> - </v>
      </c>
      <c r="C193" s="62" t="str">
        <f ca="1">IF(E193&gt;$G$2,"",Nasazení!B193)</f>
        <v/>
      </c>
      <c r="D193" s="61" t="str">
        <f ca="1">IF(TYPE(VLOOKUP(C193,Výsledky_skupin!$A$3:$B$258,2,0))&gt;4," -",VLOOKUP(C193,Výsledky_skupin!$A$3:$B$258,2,0))</f>
        <v/>
      </c>
      <c r="E193" s="2">
        <v>191</v>
      </c>
      <c r="F193">
        <f t="shared" ca="1" si="15"/>
        <v>0</v>
      </c>
    </row>
    <row r="194" spans="1:6">
      <c r="A194" s="2">
        <f t="shared" ca="1" si="13"/>
        <v>192</v>
      </c>
      <c r="B194" s="61" t="str">
        <f t="shared" ca="1" si="14"/>
        <v xml:space="preserve"> - </v>
      </c>
      <c r="C194" s="62" t="str">
        <f ca="1">IF(E194&gt;$G$2,"",Nasazení!B194)</f>
        <v/>
      </c>
      <c r="D194" s="61" t="str">
        <f ca="1">IF(TYPE(VLOOKUP(C194,Výsledky_skupin!$A$3:$B$258,2,0))&gt;4," -",VLOOKUP(C194,Výsledky_skupin!$A$3:$B$258,2,0))</f>
        <v/>
      </c>
      <c r="E194" s="2">
        <v>192</v>
      </c>
      <c r="F194">
        <f t="shared" ca="1" si="15"/>
        <v>0</v>
      </c>
    </row>
    <row r="195" spans="1:6">
      <c r="A195" s="2">
        <f t="shared" ca="1" si="13"/>
        <v>193</v>
      </c>
      <c r="B195" s="61" t="str">
        <f ca="1">IF(E195&gt;$G$2," - ",D195)</f>
        <v xml:space="preserve"> - </v>
      </c>
      <c r="C195" s="62" t="str">
        <f ca="1">IF(E195&gt;$G$2,"",Nasazení!B195)</f>
        <v/>
      </c>
      <c r="D195" s="61" t="str">
        <f ca="1">IF(TYPE(VLOOKUP(C195,Výsledky_skupin!$A$3:$B$258,2,0))&gt;4," -",VLOOKUP(C195,Výsledky_skupin!$A$3:$B$258,2,0))</f>
        <v/>
      </c>
      <c r="E195" s="2">
        <v>193</v>
      </c>
      <c r="F195">
        <f t="shared" ca="1" si="15"/>
        <v>0</v>
      </c>
    </row>
    <row r="196" spans="1:6">
      <c r="A196" s="2">
        <f t="shared" ca="1" si="13"/>
        <v>194</v>
      </c>
      <c r="B196" s="61" t="str">
        <f ca="1">IF(E196&gt;$G$2," - ",D196)</f>
        <v xml:space="preserve"> - </v>
      </c>
      <c r="C196" s="62" t="str">
        <f ca="1">IF(E196&gt;$G$2,"",Nasazení!B196)</f>
        <v/>
      </c>
      <c r="D196" s="61" t="str">
        <f ca="1">IF(TYPE(VLOOKUP(C196,Výsledky_skupin!$A$3:$B$258,2,0))&gt;4," -",VLOOKUP(C196,Výsledky_skupin!$A$3:$B$258,2,0))</f>
        <v/>
      </c>
      <c r="E196" s="2">
        <v>194</v>
      </c>
      <c r="F196">
        <f t="shared" ca="1" si="15"/>
        <v>0</v>
      </c>
    </row>
    <row r="197" spans="1:6">
      <c r="A197" s="2">
        <f t="shared" ca="1" si="13"/>
        <v>195</v>
      </c>
      <c r="B197" s="61" t="str">
        <f t="shared" ref="B197:B204" ca="1" si="16">IF(E197&gt;$G$2," - ",D197)</f>
        <v xml:space="preserve"> - </v>
      </c>
      <c r="C197" s="62" t="str">
        <f ca="1">IF(E197&gt;$G$2,"",Nasazení!B197)</f>
        <v/>
      </c>
      <c r="D197" s="61" t="str">
        <f ca="1">IF(TYPE(VLOOKUP(C197,Výsledky_skupin!$A$3:$B$258,2,0))&gt;4," -",VLOOKUP(C197,Výsledky_skupin!$A$3:$B$258,2,0))</f>
        <v/>
      </c>
      <c r="E197" s="2">
        <v>195</v>
      </c>
      <c r="F197">
        <f t="shared" ca="1" si="15"/>
        <v>0</v>
      </c>
    </row>
    <row r="198" spans="1:6">
      <c r="A198" s="2">
        <f t="shared" ca="1" si="13"/>
        <v>196</v>
      </c>
      <c r="B198" s="61" t="str">
        <f t="shared" ca="1" si="16"/>
        <v xml:space="preserve"> - </v>
      </c>
      <c r="C198" s="62" t="str">
        <f ca="1">IF(E198&gt;$G$2,"",Nasazení!B198)</f>
        <v/>
      </c>
      <c r="D198" s="61" t="str">
        <f ca="1">IF(TYPE(VLOOKUP(C198,Výsledky_skupin!$A$3:$B$258,2,0))&gt;4," -",VLOOKUP(C198,Výsledky_skupin!$A$3:$B$258,2,0))</f>
        <v/>
      </c>
      <c r="E198" s="2">
        <v>196</v>
      </c>
      <c r="F198">
        <f t="shared" ca="1" si="15"/>
        <v>0</v>
      </c>
    </row>
    <row r="199" spans="1:6">
      <c r="A199" s="2">
        <f t="shared" ca="1" si="13"/>
        <v>197</v>
      </c>
      <c r="B199" s="61" t="str">
        <f t="shared" ca="1" si="16"/>
        <v xml:space="preserve"> - </v>
      </c>
      <c r="C199" s="62" t="str">
        <f ca="1">IF(E199&gt;$G$2,"",Nasazení!B199)</f>
        <v/>
      </c>
      <c r="D199" s="61" t="str">
        <f ca="1">IF(TYPE(VLOOKUP(C199,Výsledky_skupin!$A$3:$B$258,2,0))&gt;4," -",VLOOKUP(C199,Výsledky_skupin!$A$3:$B$258,2,0))</f>
        <v/>
      </c>
      <c r="E199" s="2">
        <v>197</v>
      </c>
      <c r="F199">
        <f t="shared" ca="1" si="15"/>
        <v>0</v>
      </c>
    </row>
    <row r="200" spans="1:6">
      <c r="A200" s="2">
        <f t="shared" ca="1" si="13"/>
        <v>198</v>
      </c>
      <c r="B200" s="61" t="str">
        <f t="shared" ca="1" si="16"/>
        <v xml:space="preserve"> - </v>
      </c>
      <c r="C200" s="62" t="str">
        <f ca="1">IF(E200&gt;$G$2,"",Nasazení!B200)</f>
        <v/>
      </c>
      <c r="D200" s="61" t="str">
        <f ca="1">IF(TYPE(VLOOKUP(C200,Výsledky_skupin!$A$3:$B$258,2,0))&gt;4," -",VLOOKUP(C200,Výsledky_skupin!$A$3:$B$258,2,0))</f>
        <v/>
      </c>
      <c r="E200" s="2">
        <v>198</v>
      </c>
      <c r="F200">
        <f t="shared" ca="1" si="15"/>
        <v>0</v>
      </c>
    </row>
    <row r="201" spans="1:6">
      <c r="A201" s="2">
        <f t="shared" ca="1" si="13"/>
        <v>199</v>
      </c>
      <c r="B201" s="61" t="str">
        <f t="shared" ca="1" si="16"/>
        <v xml:space="preserve"> - </v>
      </c>
      <c r="C201" s="62" t="str">
        <f ca="1">IF(E201&gt;$G$2,"",Nasazení!B201)</f>
        <v/>
      </c>
      <c r="D201" s="61" t="str">
        <f ca="1">IF(TYPE(VLOOKUP(C201,Výsledky_skupin!$A$3:$B$258,2,0))&gt;4," -",VLOOKUP(C201,Výsledky_skupin!$A$3:$B$258,2,0))</f>
        <v/>
      </c>
      <c r="E201" s="2">
        <v>199</v>
      </c>
      <c r="F201">
        <f t="shared" ca="1" si="15"/>
        <v>0</v>
      </c>
    </row>
    <row r="202" spans="1:6">
      <c r="A202" s="2">
        <f t="shared" ca="1" si="13"/>
        <v>200</v>
      </c>
      <c r="B202" s="61" t="str">
        <f t="shared" ca="1" si="16"/>
        <v xml:space="preserve"> - </v>
      </c>
      <c r="C202" s="62" t="str">
        <f ca="1">IF(E202&gt;$G$2,"",Nasazení!B202)</f>
        <v/>
      </c>
      <c r="D202" s="61" t="str">
        <f ca="1">IF(TYPE(VLOOKUP(C202,Výsledky_skupin!$A$3:$B$258,2,0))&gt;4," -",VLOOKUP(C202,Výsledky_skupin!$A$3:$B$258,2,0))</f>
        <v/>
      </c>
      <c r="E202" s="2">
        <v>200</v>
      </c>
      <c r="F202">
        <f t="shared" ca="1" si="15"/>
        <v>0</v>
      </c>
    </row>
    <row r="203" spans="1:6">
      <c r="A203" s="2">
        <f t="shared" ca="1" si="13"/>
        <v>201</v>
      </c>
      <c r="B203" s="61" t="str">
        <f t="shared" ca="1" si="16"/>
        <v xml:space="preserve"> - </v>
      </c>
      <c r="C203" s="62" t="str">
        <f ca="1">IF(E203&gt;$G$2,"",Nasazení!B203)</f>
        <v/>
      </c>
      <c r="D203" s="61" t="str">
        <f ca="1">IF(TYPE(VLOOKUP(C203,Výsledky_skupin!$A$3:$B$258,2,0))&gt;4," -",VLOOKUP(C203,Výsledky_skupin!$A$3:$B$258,2,0))</f>
        <v/>
      </c>
      <c r="E203" s="2">
        <v>201</v>
      </c>
      <c r="F203">
        <f t="shared" ca="1" si="15"/>
        <v>0</v>
      </c>
    </row>
    <row r="204" spans="1:6">
      <c r="A204" s="2">
        <f ca="1">E204+F204</f>
        <v>202</v>
      </c>
      <c r="B204" s="61" t="str">
        <f t="shared" ca="1" si="16"/>
        <v xml:space="preserve"> - </v>
      </c>
      <c r="C204" s="62" t="str">
        <f ca="1">IF(E204&gt;$G$2,"",Nasazení!B204)</f>
        <v/>
      </c>
      <c r="D204" s="61" t="str">
        <f ca="1">IF(TYPE(VLOOKUP(C204,Výsledky_skupin!$A$3:$B$258,2,0))&gt;4," -",VLOOKUP(C204,Výsledky_skupin!$A$3:$B$258,2,0))</f>
        <v/>
      </c>
      <c r="E204" s="2">
        <v>202</v>
      </c>
      <c r="F204">
        <f t="shared" ca="1" si="15"/>
        <v>0</v>
      </c>
    </row>
    <row r="205" spans="1:6">
      <c r="A205" s="2">
        <f t="shared" ref="A205:A258" ca="1" si="17">E205+F205</f>
        <v>203</v>
      </c>
      <c r="B205" s="61" t="str">
        <f ca="1">IF(E205&gt;$G$2," - ",D205)</f>
        <v xml:space="preserve"> - </v>
      </c>
      <c r="C205" s="62" t="str">
        <f ca="1">IF(E205&gt;$G$2,"",Nasazení!B205)</f>
        <v/>
      </c>
      <c r="D205" s="61" t="str">
        <f ca="1">IF(TYPE(VLOOKUP(C205,Výsledky_skupin!$A$3:$B$258,2,0))&gt;4," -",VLOOKUP(C205,Výsledky_skupin!$A$3:$B$258,2,0))</f>
        <v/>
      </c>
      <c r="E205" s="2">
        <v>203</v>
      </c>
      <c r="F205">
        <f t="shared" ca="1" si="15"/>
        <v>0</v>
      </c>
    </row>
    <row r="206" spans="1:6">
      <c r="A206" s="2">
        <f t="shared" ca="1" si="17"/>
        <v>204</v>
      </c>
      <c r="B206" s="61" t="str">
        <f t="shared" ref="B206:B258" ca="1" si="18">IF(E206&gt;$G$2," - ",D206)</f>
        <v xml:space="preserve"> - </v>
      </c>
      <c r="C206" s="62" t="str">
        <f ca="1">IF(E206&gt;$G$2,"",Nasazení!B206)</f>
        <v/>
      </c>
      <c r="D206" s="61" t="str">
        <f ca="1">IF(TYPE(VLOOKUP(C206,Výsledky_skupin!$A$3:$B$258,2,0))&gt;4," -",VLOOKUP(C206,Výsledky_skupin!$A$3:$B$258,2,0))</f>
        <v/>
      </c>
      <c r="E206" s="2">
        <v>204</v>
      </c>
      <c r="F206">
        <f t="shared" ca="1" si="15"/>
        <v>0</v>
      </c>
    </row>
    <row r="207" spans="1:6">
      <c r="A207" s="2">
        <f t="shared" ca="1" si="17"/>
        <v>205</v>
      </c>
      <c r="B207" s="61" t="str">
        <f t="shared" ca="1" si="18"/>
        <v xml:space="preserve"> - </v>
      </c>
      <c r="C207" s="62" t="str">
        <f ca="1">IF(E207&gt;$G$2,"",Nasazení!B207)</f>
        <v/>
      </c>
      <c r="D207" s="61" t="str">
        <f ca="1">IF(TYPE(VLOOKUP(C207,Výsledky_skupin!$A$3:$B$258,2,0))&gt;4," -",VLOOKUP(C207,Výsledky_skupin!$A$3:$B$258,2,0))</f>
        <v/>
      </c>
      <c r="E207" s="2">
        <v>205</v>
      </c>
      <c r="F207">
        <f t="shared" ca="1" si="15"/>
        <v>0</v>
      </c>
    </row>
    <row r="208" spans="1:6">
      <c r="A208" s="2">
        <f t="shared" ca="1" si="17"/>
        <v>206</v>
      </c>
      <c r="B208" s="61" t="str">
        <f t="shared" ca="1" si="18"/>
        <v xml:space="preserve"> - </v>
      </c>
      <c r="C208" s="62" t="str">
        <f ca="1">IF(E208&gt;$G$2,"",Nasazení!B208)</f>
        <v/>
      </c>
      <c r="D208" s="61" t="str">
        <f ca="1">IF(TYPE(VLOOKUP(C208,Výsledky_skupin!$A$3:$B$258,2,0))&gt;4," -",VLOOKUP(C208,Výsledky_skupin!$A$3:$B$258,2,0))</f>
        <v/>
      </c>
      <c r="E208" s="2">
        <v>206</v>
      </c>
      <c r="F208">
        <f t="shared" ca="1" si="15"/>
        <v>0</v>
      </c>
    </row>
    <row r="209" spans="1:6">
      <c r="A209" s="2">
        <f t="shared" ca="1" si="17"/>
        <v>207</v>
      </c>
      <c r="B209" s="61" t="str">
        <f t="shared" ca="1" si="18"/>
        <v xml:space="preserve"> - </v>
      </c>
      <c r="C209" s="62" t="str">
        <f ca="1">IF(E209&gt;$G$2,"",Nasazení!B209)</f>
        <v/>
      </c>
      <c r="D209" s="61" t="str">
        <f ca="1">IF(TYPE(VLOOKUP(C209,Výsledky_skupin!$A$3:$B$258,2,0))&gt;4," -",VLOOKUP(C209,Výsledky_skupin!$A$3:$B$258,2,0))</f>
        <v/>
      </c>
      <c r="E209" s="2">
        <v>207</v>
      </c>
      <c r="F209">
        <f t="shared" ca="1" si="15"/>
        <v>0</v>
      </c>
    </row>
    <row r="210" spans="1:6">
      <c r="A210" s="2">
        <f t="shared" ca="1" si="17"/>
        <v>208</v>
      </c>
      <c r="B210" s="61" t="str">
        <f t="shared" ca="1" si="18"/>
        <v xml:space="preserve"> - </v>
      </c>
      <c r="C210" s="62" t="str">
        <f ca="1">IF(E210&gt;$G$2,"",Nasazení!B210)</f>
        <v/>
      </c>
      <c r="D210" s="61" t="str">
        <f ca="1">IF(TYPE(VLOOKUP(C210,Výsledky_skupin!$A$3:$B$258,2,0))&gt;4," -",VLOOKUP(C210,Výsledky_skupin!$A$3:$B$258,2,0))</f>
        <v/>
      </c>
      <c r="E210" s="2">
        <v>208</v>
      </c>
      <c r="F210">
        <f t="shared" ca="1" si="15"/>
        <v>0</v>
      </c>
    </row>
    <row r="211" spans="1:6">
      <c r="A211" s="2">
        <f t="shared" ca="1" si="17"/>
        <v>209</v>
      </c>
      <c r="B211" s="61" t="str">
        <f t="shared" ca="1" si="18"/>
        <v xml:space="preserve"> - </v>
      </c>
      <c r="C211" s="62" t="str">
        <f ca="1">IF(E211&gt;$G$2,"",Nasazení!B211)</f>
        <v/>
      </c>
      <c r="D211" s="61" t="str">
        <f ca="1">IF(TYPE(VLOOKUP(C211,Výsledky_skupin!$A$3:$B$258,2,0))&gt;4," -",VLOOKUP(C211,Výsledky_skupin!$A$3:$B$258,2,0))</f>
        <v/>
      </c>
      <c r="E211" s="2">
        <v>209</v>
      </c>
      <c r="F211">
        <f t="shared" ca="1" si="15"/>
        <v>0</v>
      </c>
    </row>
    <row r="212" spans="1:6">
      <c r="A212" s="2">
        <f t="shared" ca="1" si="17"/>
        <v>210</v>
      </c>
      <c r="B212" s="61" t="str">
        <f t="shared" ca="1" si="18"/>
        <v xml:space="preserve"> - </v>
      </c>
      <c r="C212" s="62" t="str">
        <f ca="1">IF(E212&gt;$G$2,"",Nasazení!B212)</f>
        <v/>
      </c>
      <c r="D212" s="61" t="str">
        <f ca="1">IF(TYPE(VLOOKUP(C212,Výsledky_skupin!$A$3:$B$258,2,0))&gt;4," -",VLOOKUP(C212,Výsledky_skupin!$A$3:$B$258,2,0))</f>
        <v/>
      </c>
      <c r="E212" s="2">
        <v>210</v>
      </c>
      <c r="F212">
        <f t="shared" ca="1" si="15"/>
        <v>0</v>
      </c>
    </row>
    <row r="213" spans="1:6">
      <c r="A213" s="2">
        <f t="shared" ca="1" si="17"/>
        <v>211</v>
      </c>
      <c r="B213" s="61" t="str">
        <f t="shared" ca="1" si="18"/>
        <v xml:space="preserve"> - </v>
      </c>
      <c r="C213" s="62" t="str">
        <f ca="1">IF(E213&gt;$G$2,"",Nasazení!B213)</f>
        <v/>
      </c>
      <c r="D213" s="61" t="str">
        <f ca="1">IF(TYPE(VLOOKUP(C213,Výsledky_skupin!$A$3:$B$258,2,0))&gt;4," -",VLOOKUP(C213,Výsledky_skupin!$A$3:$B$258,2,0))</f>
        <v/>
      </c>
      <c r="E213" s="2">
        <v>211</v>
      </c>
      <c r="F213">
        <f t="shared" ca="1" si="15"/>
        <v>0</v>
      </c>
    </row>
    <row r="214" spans="1:6">
      <c r="A214" s="2">
        <f t="shared" ca="1" si="17"/>
        <v>212</v>
      </c>
      <c r="B214" s="61" t="str">
        <f t="shared" ca="1" si="18"/>
        <v xml:space="preserve"> - </v>
      </c>
      <c r="C214" s="62" t="str">
        <f ca="1">IF(E214&gt;$G$2,"",Nasazení!B214)</f>
        <v/>
      </c>
      <c r="D214" s="61" t="str">
        <f ca="1">IF(TYPE(VLOOKUP(C214,Výsledky_skupin!$A$3:$B$258,2,0))&gt;4," -",VLOOKUP(C214,Výsledky_skupin!$A$3:$B$258,2,0))</f>
        <v/>
      </c>
      <c r="E214" s="2">
        <v>212</v>
      </c>
      <c r="F214">
        <f t="shared" ca="1" si="15"/>
        <v>0</v>
      </c>
    </row>
    <row r="215" spans="1:6">
      <c r="A215" s="2">
        <f t="shared" ca="1" si="17"/>
        <v>213</v>
      </c>
      <c r="B215" s="61" t="str">
        <f t="shared" ca="1" si="18"/>
        <v xml:space="preserve"> - </v>
      </c>
      <c r="C215" s="62" t="str">
        <f ca="1">IF(E215&gt;$G$2,"",Nasazení!B215)</f>
        <v/>
      </c>
      <c r="D215" s="61" t="str">
        <f ca="1">IF(TYPE(VLOOKUP(C215,Výsledky_skupin!$A$3:$B$258,2,0))&gt;4," -",VLOOKUP(C215,Výsledky_skupin!$A$3:$B$258,2,0))</f>
        <v/>
      </c>
      <c r="E215" s="2">
        <v>213</v>
      </c>
      <c r="F215">
        <f t="shared" ca="1" si="15"/>
        <v>0</v>
      </c>
    </row>
    <row r="216" spans="1:6">
      <c r="A216" s="2">
        <f t="shared" ca="1" si="17"/>
        <v>214</v>
      </c>
      <c r="B216" s="61" t="str">
        <f t="shared" ca="1" si="18"/>
        <v xml:space="preserve"> - </v>
      </c>
      <c r="C216" s="62" t="str">
        <f ca="1">IF(E216&gt;$G$2,"",Nasazení!B216)</f>
        <v/>
      </c>
      <c r="D216" s="61" t="str">
        <f ca="1">IF(TYPE(VLOOKUP(C216,Výsledky_skupin!$A$3:$B$258,2,0))&gt;4," -",VLOOKUP(C216,Výsledky_skupin!$A$3:$B$258,2,0))</f>
        <v/>
      </c>
      <c r="E216" s="2">
        <v>214</v>
      </c>
      <c r="F216">
        <f t="shared" ca="1" si="15"/>
        <v>0</v>
      </c>
    </row>
    <row r="217" spans="1:6">
      <c r="A217" s="2">
        <f t="shared" ca="1" si="17"/>
        <v>215</v>
      </c>
      <c r="B217" s="61" t="str">
        <f t="shared" ca="1" si="18"/>
        <v xml:space="preserve"> - </v>
      </c>
      <c r="C217" s="62" t="str">
        <f ca="1">IF(E217&gt;$G$2,"",Nasazení!B217)</f>
        <v/>
      </c>
      <c r="D217" s="61" t="str">
        <f ca="1">IF(TYPE(VLOOKUP(C217,Výsledky_skupin!$A$3:$B$258,2,0))&gt;4," -",VLOOKUP(C217,Výsledky_skupin!$A$3:$B$258,2,0))</f>
        <v/>
      </c>
      <c r="E217" s="2">
        <v>215</v>
      </c>
      <c r="F217">
        <f t="shared" ca="1" si="15"/>
        <v>0</v>
      </c>
    </row>
    <row r="218" spans="1:6">
      <c r="A218" s="2">
        <f t="shared" ca="1" si="17"/>
        <v>216</v>
      </c>
      <c r="B218" s="61" t="str">
        <f t="shared" ca="1" si="18"/>
        <v xml:space="preserve"> - </v>
      </c>
      <c r="C218" s="62" t="str">
        <f ca="1">IF(E218&gt;$G$2,"",Nasazení!B218)</f>
        <v/>
      </c>
      <c r="D218" s="61" t="str">
        <f ca="1">IF(TYPE(VLOOKUP(C218,Výsledky_skupin!$A$3:$B$258,2,0))&gt;4," -",VLOOKUP(C218,Výsledky_skupin!$A$3:$B$258,2,0))</f>
        <v/>
      </c>
      <c r="E218" s="2">
        <v>216</v>
      </c>
      <c r="F218">
        <f t="shared" ca="1" si="15"/>
        <v>0</v>
      </c>
    </row>
    <row r="219" spans="1:6">
      <c r="A219" s="2">
        <f t="shared" ca="1" si="17"/>
        <v>217</v>
      </c>
      <c r="B219" s="61" t="str">
        <f t="shared" ca="1" si="18"/>
        <v xml:space="preserve"> - </v>
      </c>
      <c r="C219" s="62" t="str">
        <f ca="1">IF(E219&gt;$G$2,"",Nasazení!B219)</f>
        <v/>
      </c>
      <c r="D219" s="61" t="str">
        <f ca="1">IF(TYPE(VLOOKUP(C219,Výsledky_skupin!$A$3:$B$258,2,0))&gt;4," -",VLOOKUP(C219,Výsledky_skupin!$A$3:$B$258,2,0))</f>
        <v/>
      </c>
      <c r="E219" s="2">
        <v>217</v>
      </c>
      <c r="F219">
        <f t="shared" ca="1" si="15"/>
        <v>0</v>
      </c>
    </row>
    <row r="220" spans="1:6">
      <c r="A220" s="2">
        <f t="shared" ca="1" si="17"/>
        <v>218</v>
      </c>
      <c r="B220" s="61" t="str">
        <f t="shared" ca="1" si="18"/>
        <v xml:space="preserve"> - </v>
      </c>
      <c r="C220" s="62" t="str">
        <f ca="1">IF(E220&gt;$G$2,"",Nasazení!B220)</f>
        <v/>
      </c>
      <c r="D220" s="61" t="str">
        <f ca="1">IF(TYPE(VLOOKUP(C220,Výsledky_skupin!$A$3:$B$258,2,0))&gt;4," -",VLOOKUP(C220,Výsledky_skupin!$A$3:$B$258,2,0))</f>
        <v/>
      </c>
      <c r="E220" s="2">
        <v>218</v>
      </c>
      <c r="F220">
        <f t="shared" ca="1" si="15"/>
        <v>0</v>
      </c>
    </row>
    <row r="221" spans="1:6">
      <c r="A221" s="2">
        <f t="shared" ca="1" si="17"/>
        <v>219</v>
      </c>
      <c r="B221" s="61" t="str">
        <f t="shared" ca="1" si="18"/>
        <v xml:space="preserve"> - </v>
      </c>
      <c r="C221" s="62" t="str">
        <f ca="1">IF(E221&gt;$G$2,"",Nasazení!B221)</f>
        <v/>
      </c>
      <c r="D221" s="61" t="str">
        <f ca="1">IF(TYPE(VLOOKUP(C221,Výsledky_skupin!$A$3:$B$258,2,0))&gt;4," -",VLOOKUP(C221,Výsledky_skupin!$A$3:$B$258,2,0))</f>
        <v/>
      </c>
      <c r="E221" s="2">
        <v>219</v>
      </c>
      <c r="F221">
        <f t="shared" ca="1" si="15"/>
        <v>0</v>
      </c>
    </row>
    <row r="222" spans="1:6">
      <c r="A222" s="2">
        <f t="shared" ca="1" si="17"/>
        <v>220</v>
      </c>
      <c r="B222" s="61" t="str">
        <f t="shared" ca="1" si="18"/>
        <v xml:space="preserve"> - </v>
      </c>
      <c r="C222" s="62" t="str">
        <f ca="1">IF(E222&gt;$G$2,"",Nasazení!B222)</f>
        <v/>
      </c>
      <c r="D222" s="61" t="str">
        <f ca="1">IF(TYPE(VLOOKUP(C222,Výsledky_skupin!$A$3:$B$258,2,0))&gt;4," -",VLOOKUP(C222,Výsledky_skupin!$A$3:$B$258,2,0))</f>
        <v/>
      </c>
      <c r="E222" s="2">
        <v>220</v>
      </c>
      <c r="F222">
        <f t="shared" ca="1" si="15"/>
        <v>0</v>
      </c>
    </row>
    <row r="223" spans="1:6">
      <c r="A223" s="2">
        <f t="shared" ca="1" si="17"/>
        <v>221</v>
      </c>
      <c r="B223" s="61" t="str">
        <f t="shared" ca="1" si="18"/>
        <v xml:space="preserve"> - </v>
      </c>
      <c r="C223" s="62" t="str">
        <f ca="1">IF(E223&gt;$G$2,"",Nasazení!B223)</f>
        <v/>
      </c>
      <c r="D223" s="61" t="str">
        <f ca="1">IF(TYPE(VLOOKUP(C223,Výsledky_skupin!$A$3:$B$258,2,0))&gt;4," -",VLOOKUP(C223,Výsledky_skupin!$A$3:$B$258,2,0))</f>
        <v/>
      </c>
      <c r="E223" s="2">
        <v>221</v>
      </c>
      <c r="F223">
        <f t="shared" ca="1" si="15"/>
        <v>0</v>
      </c>
    </row>
    <row r="224" spans="1:6">
      <c r="A224" s="2">
        <f t="shared" ca="1" si="17"/>
        <v>222</v>
      </c>
      <c r="B224" s="61" t="str">
        <f t="shared" ca="1" si="18"/>
        <v xml:space="preserve"> - </v>
      </c>
      <c r="C224" s="62" t="str">
        <f ca="1">IF(E224&gt;$G$2,"",Nasazení!B224)</f>
        <v/>
      </c>
      <c r="D224" s="61" t="str">
        <f ca="1">IF(TYPE(VLOOKUP(C224,Výsledky_skupin!$A$3:$B$258,2,0))&gt;4," -",VLOOKUP(C224,Výsledky_skupin!$A$3:$B$258,2,0))</f>
        <v/>
      </c>
      <c r="E224" s="2">
        <v>222</v>
      </c>
      <c r="F224">
        <f t="shared" ca="1" si="15"/>
        <v>0</v>
      </c>
    </row>
    <row r="225" spans="1:6">
      <c r="A225" s="2">
        <f t="shared" ca="1" si="17"/>
        <v>223</v>
      </c>
      <c r="B225" s="61" t="str">
        <f t="shared" ca="1" si="18"/>
        <v xml:space="preserve"> - </v>
      </c>
      <c r="C225" s="62" t="str">
        <f ca="1">IF(E225&gt;$G$2,"",Nasazení!B225)</f>
        <v/>
      </c>
      <c r="D225" s="61" t="str">
        <f ca="1">IF(TYPE(VLOOKUP(C225,Výsledky_skupin!$A$3:$B$258,2,0))&gt;4," -",VLOOKUP(C225,Výsledky_skupin!$A$3:$B$258,2,0))</f>
        <v/>
      </c>
      <c r="E225" s="2">
        <v>223</v>
      </c>
      <c r="F225">
        <f t="shared" ca="1" si="15"/>
        <v>0</v>
      </c>
    </row>
    <row r="226" spans="1:6">
      <c r="A226" s="2">
        <f t="shared" ca="1" si="17"/>
        <v>224</v>
      </c>
      <c r="B226" s="61" t="str">
        <f t="shared" ca="1" si="18"/>
        <v xml:space="preserve"> - </v>
      </c>
      <c r="C226" s="62" t="str">
        <f ca="1">IF(E226&gt;$G$2,"",Nasazení!B226)</f>
        <v/>
      </c>
      <c r="D226" s="61" t="str">
        <f ca="1">IF(TYPE(VLOOKUP(C226,Výsledky_skupin!$A$3:$B$258,2,0))&gt;4," -",VLOOKUP(C226,Výsledky_skupin!$A$3:$B$258,2,0))</f>
        <v/>
      </c>
      <c r="E226" s="2">
        <v>224</v>
      </c>
      <c r="F226">
        <f t="shared" ca="1" si="15"/>
        <v>0</v>
      </c>
    </row>
    <row r="227" spans="1:6">
      <c r="A227" s="2">
        <f t="shared" ca="1" si="17"/>
        <v>225</v>
      </c>
      <c r="B227" s="61" t="str">
        <f t="shared" ca="1" si="18"/>
        <v xml:space="preserve"> - </v>
      </c>
      <c r="C227" s="62" t="str">
        <f ca="1">IF(E227&gt;$G$2,"",Nasazení!B227)</f>
        <v/>
      </c>
      <c r="D227" s="61" t="str">
        <f ca="1">IF(TYPE(VLOOKUP(C227,Výsledky_skupin!$A$3:$B$258,2,0))&gt;4," -",VLOOKUP(C227,Výsledky_skupin!$A$3:$B$258,2,0))</f>
        <v/>
      </c>
      <c r="E227" s="2">
        <v>225</v>
      </c>
      <c r="F227">
        <f t="shared" ref="F227:F258" ca="1" si="19">IF(E227&gt;$E$2,IF($F$2&gt;0,IF(MOD(E227,2)=0,-1,1),0),0)</f>
        <v>0</v>
      </c>
    </row>
    <row r="228" spans="1:6">
      <c r="A228" s="2">
        <f t="shared" ca="1" si="17"/>
        <v>226</v>
      </c>
      <c r="B228" s="61" t="str">
        <f t="shared" ca="1" si="18"/>
        <v xml:space="preserve"> - </v>
      </c>
      <c r="C228" s="62" t="str">
        <f ca="1">IF(E228&gt;$G$2,"",Nasazení!B228)</f>
        <v/>
      </c>
      <c r="D228" s="61" t="str">
        <f ca="1">IF(TYPE(VLOOKUP(C228,Výsledky_skupin!$A$3:$B$258,2,0))&gt;4," -",VLOOKUP(C228,Výsledky_skupin!$A$3:$B$258,2,0))</f>
        <v/>
      </c>
      <c r="E228" s="2">
        <v>226</v>
      </c>
      <c r="F228">
        <f t="shared" ca="1" si="19"/>
        <v>0</v>
      </c>
    </row>
    <row r="229" spans="1:6">
      <c r="A229" s="2">
        <f t="shared" ca="1" si="17"/>
        <v>227</v>
      </c>
      <c r="B229" s="61" t="str">
        <f t="shared" ca="1" si="18"/>
        <v xml:space="preserve"> - </v>
      </c>
      <c r="C229" s="62" t="str">
        <f ca="1">IF(E229&gt;$G$2,"",Nasazení!B229)</f>
        <v/>
      </c>
      <c r="D229" s="61" t="str">
        <f ca="1">IF(TYPE(VLOOKUP(C229,Výsledky_skupin!$A$3:$B$258,2,0))&gt;4," -",VLOOKUP(C229,Výsledky_skupin!$A$3:$B$258,2,0))</f>
        <v/>
      </c>
      <c r="E229" s="2">
        <v>227</v>
      </c>
      <c r="F229">
        <f t="shared" ca="1" si="19"/>
        <v>0</v>
      </c>
    </row>
    <row r="230" spans="1:6">
      <c r="A230" s="2">
        <f t="shared" ca="1" si="17"/>
        <v>228</v>
      </c>
      <c r="B230" s="61" t="str">
        <f t="shared" ca="1" si="18"/>
        <v xml:space="preserve"> - </v>
      </c>
      <c r="C230" s="62" t="str">
        <f ca="1">IF(E230&gt;$G$2,"",Nasazení!B230)</f>
        <v/>
      </c>
      <c r="D230" s="61" t="str">
        <f ca="1">IF(TYPE(VLOOKUP(C230,Výsledky_skupin!$A$3:$B$258,2,0))&gt;4," -",VLOOKUP(C230,Výsledky_skupin!$A$3:$B$258,2,0))</f>
        <v/>
      </c>
      <c r="E230" s="2">
        <v>228</v>
      </c>
      <c r="F230">
        <f t="shared" ca="1" si="19"/>
        <v>0</v>
      </c>
    </row>
    <row r="231" spans="1:6">
      <c r="A231" s="2">
        <f t="shared" ca="1" si="17"/>
        <v>229</v>
      </c>
      <c r="B231" s="61" t="str">
        <f t="shared" ca="1" si="18"/>
        <v xml:space="preserve"> - </v>
      </c>
      <c r="C231" s="62" t="str">
        <f ca="1">IF(E231&gt;$G$2,"",Nasazení!B231)</f>
        <v/>
      </c>
      <c r="D231" s="61" t="str">
        <f ca="1">IF(TYPE(VLOOKUP(C231,Výsledky_skupin!$A$3:$B$258,2,0))&gt;4," -",VLOOKUP(C231,Výsledky_skupin!$A$3:$B$258,2,0))</f>
        <v/>
      </c>
      <c r="E231" s="2">
        <v>229</v>
      </c>
      <c r="F231">
        <f t="shared" ca="1" si="19"/>
        <v>0</v>
      </c>
    </row>
    <row r="232" spans="1:6">
      <c r="A232" s="2">
        <f t="shared" ca="1" si="17"/>
        <v>230</v>
      </c>
      <c r="B232" s="61" t="str">
        <f t="shared" ca="1" si="18"/>
        <v xml:space="preserve"> - </v>
      </c>
      <c r="C232" s="62" t="str">
        <f ca="1">IF(E232&gt;$G$2,"",Nasazení!B232)</f>
        <v/>
      </c>
      <c r="D232" s="61" t="str">
        <f ca="1">IF(TYPE(VLOOKUP(C232,Výsledky_skupin!$A$3:$B$258,2,0))&gt;4," -",VLOOKUP(C232,Výsledky_skupin!$A$3:$B$258,2,0))</f>
        <v/>
      </c>
      <c r="E232" s="2">
        <v>230</v>
      </c>
      <c r="F232">
        <f t="shared" ca="1" si="19"/>
        <v>0</v>
      </c>
    </row>
    <row r="233" spans="1:6">
      <c r="A233" s="2">
        <f t="shared" ca="1" si="17"/>
        <v>231</v>
      </c>
      <c r="B233" s="61" t="str">
        <f t="shared" ca="1" si="18"/>
        <v xml:space="preserve"> - </v>
      </c>
      <c r="C233" s="62" t="str">
        <f ca="1">IF(E233&gt;$G$2,"",Nasazení!B233)</f>
        <v/>
      </c>
      <c r="D233" s="61" t="str">
        <f ca="1">IF(TYPE(VLOOKUP(C233,Výsledky_skupin!$A$3:$B$258,2,0))&gt;4," -",VLOOKUP(C233,Výsledky_skupin!$A$3:$B$258,2,0))</f>
        <v/>
      </c>
      <c r="E233" s="2">
        <v>231</v>
      </c>
      <c r="F233">
        <f t="shared" ca="1" si="19"/>
        <v>0</v>
      </c>
    </row>
    <row r="234" spans="1:6">
      <c r="A234" s="2">
        <f t="shared" ca="1" si="17"/>
        <v>232</v>
      </c>
      <c r="B234" s="61" t="str">
        <f t="shared" ca="1" si="18"/>
        <v xml:space="preserve"> - </v>
      </c>
      <c r="C234" s="62" t="str">
        <f ca="1">IF(E234&gt;$G$2,"",Nasazení!B234)</f>
        <v/>
      </c>
      <c r="D234" s="61" t="str">
        <f ca="1">IF(TYPE(VLOOKUP(C234,Výsledky_skupin!$A$3:$B$258,2,0))&gt;4," -",VLOOKUP(C234,Výsledky_skupin!$A$3:$B$258,2,0))</f>
        <v/>
      </c>
      <c r="E234" s="2">
        <v>232</v>
      </c>
      <c r="F234">
        <f t="shared" ca="1" si="19"/>
        <v>0</v>
      </c>
    </row>
    <row r="235" spans="1:6">
      <c r="A235" s="2">
        <f t="shared" ca="1" si="17"/>
        <v>233</v>
      </c>
      <c r="B235" s="61" t="str">
        <f t="shared" ca="1" si="18"/>
        <v xml:space="preserve"> - </v>
      </c>
      <c r="C235" s="62" t="str">
        <f ca="1">IF(E235&gt;$G$2,"",Nasazení!B235)</f>
        <v/>
      </c>
      <c r="D235" s="61" t="str">
        <f ca="1">IF(TYPE(VLOOKUP(C235,Výsledky_skupin!$A$3:$B$258,2,0))&gt;4," -",VLOOKUP(C235,Výsledky_skupin!$A$3:$B$258,2,0))</f>
        <v/>
      </c>
      <c r="E235" s="2">
        <v>233</v>
      </c>
      <c r="F235">
        <f t="shared" ca="1" si="19"/>
        <v>0</v>
      </c>
    </row>
    <row r="236" spans="1:6">
      <c r="A236" s="2">
        <f t="shared" ca="1" si="17"/>
        <v>234</v>
      </c>
      <c r="B236" s="61" t="str">
        <f t="shared" ca="1" si="18"/>
        <v xml:space="preserve"> - </v>
      </c>
      <c r="C236" s="62" t="str">
        <f ca="1">IF(E236&gt;$G$2,"",Nasazení!B236)</f>
        <v/>
      </c>
      <c r="D236" s="61" t="str">
        <f ca="1">IF(TYPE(VLOOKUP(C236,Výsledky_skupin!$A$3:$B$258,2,0))&gt;4," -",VLOOKUP(C236,Výsledky_skupin!$A$3:$B$258,2,0))</f>
        <v/>
      </c>
      <c r="E236" s="2">
        <v>234</v>
      </c>
      <c r="F236">
        <f t="shared" ca="1" si="19"/>
        <v>0</v>
      </c>
    </row>
    <row r="237" spans="1:6">
      <c r="A237" s="2">
        <f t="shared" ca="1" si="17"/>
        <v>235</v>
      </c>
      <c r="B237" s="61" t="str">
        <f t="shared" ca="1" si="18"/>
        <v xml:space="preserve"> - </v>
      </c>
      <c r="C237" s="62" t="str">
        <f ca="1">IF(E237&gt;$G$2,"",Nasazení!B237)</f>
        <v/>
      </c>
      <c r="D237" s="61" t="str">
        <f ca="1">IF(TYPE(VLOOKUP(C237,Výsledky_skupin!$A$3:$B$258,2,0))&gt;4," -",VLOOKUP(C237,Výsledky_skupin!$A$3:$B$258,2,0))</f>
        <v/>
      </c>
      <c r="E237" s="2">
        <v>235</v>
      </c>
      <c r="F237">
        <f t="shared" ca="1" si="19"/>
        <v>0</v>
      </c>
    </row>
    <row r="238" spans="1:6">
      <c r="A238" s="2">
        <f t="shared" ca="1" si="17"/>
        <v>236</v>
      </c>
      <c r="B238" s="61" t="str">
        <f t="shared" ca="1" si="18"/>
        <v xml:space="preserve"> - </v>
      </c>
      <c r="C238" s="62" t="str">
        <f ca="1">IF(E238&gt;$G$2,"",Nasazení!B238)</f>
        <v/>
      </c>
      <c r="D238" s="61" t="str">
        <f ca="1">IF(TYPE(VLOOKUP(C238,Výsledky_skupin!$A$3:$B$258,2,0))&gt;4," -",VLOOKUP(C238,Výsledky_skupin!$A$3:$B$258,2,0))</f>
        <v/>
      </c>
      <c r="E238" s="2">
        <v>236</v>
      </c>
      <c r="F238">
        <f t="shared" ca="1" si="19"/>
        <v>0</v>
      </c>
    </row>
    <row r="239" spans="1:6">
      <c r="A239" s="2">
        <f t="shared" ca="1" si="17"/>
        <v>237</v>
      </c>
      <c r="B239" s="61" t="str">
        <f t="shared" ca="1" si="18"/>
        <v xml:space="preserve"> - </v>
      </c>
      <c r="C239" s="62" t="str">
        <f ca="1">IF(E239&gt;$G$2,"",Nasazení!B239)</f>
        <v/>
      </c>
      <c r="D239" s="61" t="str">
        <f ca="1">IF(TYPE(VLOOKUP(C239,Výsledky_skupin!$A$3:$B$258,2,0))&gt;4," -",VLOOKUP(C239,Výsledky_skupin!$A$3:$B$258,2,0))</f>
        <v/>
      </c>
      <c r="E239" s="2">
        <v>237</v>
      </c>
      <c r="F239">
        <f t="shared" ca="1" si="19"/>
        <v>0</v>
      </c>
    </row>
    <row r="240" spans="1:6">
      <c r="A240" s="2">
        <f t="shared" ca="1" si="17"/>
        <v>238</v>
      </c>
      <c r="B240" s="61" t="str">
        <f t="shared" ca="1" si="18"/>
        <v xml:space="preserve"> - </v>
      </c>
      <c r="C240" s="62" t="str">
        <f ca="1">IF(E240&gt;$G$2,"",Nasazení!B240)</f>
        <v/>
      </c>
      <c r="D240" s="61" t="str">
        <f ca="1">IF(TYPE(VLOOKUP(C240,Výsledky_skupin!$A$3:$B$258,2,0))&gt;4," -",VLOOKUP(C240,Výsledky_skupin!$A$3:$B$258,2,0))</f>
        <v/>
      </c>
      <c r="E240" s="2">
        <v>238</v>
      </c>
      <c r="F240">
        <f t="shared" ca="1" si="19"/>
        <v>0</v>
      </c>
    </row>
    <row r="241" spans="1:6">
      <c r="A241" s="2">
        <f t="shared" ca="1" si="17"/>
        <v>239</v>
      </c>
      <c r="B241" s="61" t="str">
        <f t="shared" ca="1" si="18"/>
        <v xml:space="preserve"> - </v>
      </c>
      <c r="C241" s="62" t="str">
        <f ca="1">IF(E241&gt;$G$2,"",Nasazení!B241)</f>
        <v/>
      </c>
      <c r="D241" s="61" t="str">
        <f ca="1">IF(TYPE(VLOOKUP(C241,Výsledky_skupin!$A$3:$B$258,2,0))&gt;4," -",VLOOKUP(C241,Výsledky_skupin!$A$3:$B$258,2,0))</f>
        <v/>
      </c>
      <c r="E241" s="2">
        <v>239</v>
      </c>
      <c r="F241">
        <f t="shared" ca="1" si="19"/>
        <v>0</v>
      </c>
    </row>
    <row r="242" spans="1:6">
      <c r="A242" s="2">
        <f t="shared" ca="1" si="17"/>
        <v>240</v>
      </c>
      <c r="B242" s="61" t="str">
        <f t="shared" ca="1" si="18"/>
        <v xml:space="preserve"> - </v>
      </c>
      <c r="C242" s="62" t="str">
        <f ca="1">IF(E242&gt;$G$2,"",Nasazení!B242)</f>
        <v/>
      </c>
      <c r="D242" s="61" t="str">
        <f ca="1">IF(TYPE(VLOOKUP(C242,Výsledky_skupin!$A$3:$B$258,2,0))&gt;4," -",VLOOKUP(C242,Výsledky_skupin!$A$3:$B$258,2,0))</f>
        <v/>
      </c>
      <c r="E242" s="2">
        <v>240</v>
      </c>
      <c r="F242">
        <f t="shared" ca="1" si="19"/>
        <v>0</v>
      </c>
    </row>
    <row r="243" spans="1:6">
      <c r="A243" s="2">
        <f t="shared" ca="1" si="17"/>
        <v>241</v>
      </c>
      <c r="B243" s="61" t="str">
        <f t="shared" ca="1" si="18"/>
        <v xml:space="preserve"> - </v>
      </c>
      <c r="C243" s="62" t="str">
        <f ca="1">IF(E243&gt;$G$2,"",Nasazení!B243)</f>
        <v/>
      </c>
      <c r="D243" s="61" t="str">
        <f ca="1">IF(TYPE(VLOOKUP(C243,Výsledky_skupin!$A$3:$B$258,2,0))&gt;4," -",VLOOKUP(C243,Výsledky_skupin!$A$3:$B$258,2,0))</f>
        <v/>
      </c>
      <c r="E243" s="2">
        <v>241</v>
      </c>
      <c r="F243">
        <f t="shared" ca="1" si="19"/>
        <v>0</v>
      </c>
    </row>
    <row r="244" spans="1:6">
      <c r="A244" s="2">
        <f t="shared" ca="1" si="17"/>
        <v>242</v>
      </c>
      <c r="B244" s="61" t="str">
        <f t="shared" ca="1" si="18"/>
        <v xml:space="preserve"> - </v>
      </c>
      <c r="C244" s="62" t="str">
        <f ca="1">IF(E244&gt;$G$2,"",Nasazení!B244)</f>
        <v/>
      </c>
      <c r="D244" s="61" t="str">
        <f ca="1">IF(TYPE(VLOOKUP(C244,Výsledky_skupin!$A$3:$B$258,2,0))&gt;4," -",VLOOKUP(C244,Výsledky_skupin!$A$3:$B$258,2,0))</f>
        <v/>
      </c>
      <c r="E244" s="2">
        <v>242</v>
      </c>
      <c r="F244">
        <f t="shared" ca="1" si="19"/>
        <v>0</v>
      </c>
    </row>
    <row r="245" spans="1:6">
      <c r="A245" s="2">
        <f t="shared" ca="1" si="17"/>
        <v>243</v>
      </c>
      <c r="B245" s="61" t="str">
        <f t="shared" ca="1" si="18"/>
        <v xml:space="preserve"> - </v>
      </c>
      <c r="C245" s="62" t="str">
        <f ca="1">IF(E245&gt;$G$2,"",Nasazení!B245)</f>
        <v/>
      </c>
      <c r="D245" s="61" t="str">
        <f ca="1">IF(TYPE(VLOOKUP(C245,Výsledky_skupin!$A$3:$B$258,2,0))&gt;4," -",VLOOKUP(C245,Výsledky_skupin!$A$3:$B$258,2,0))</f>
        <v/>
      </c>
      <c r="E245" s="2">
        <v>243</v>
      </c>
      <c r="F245">
        <f t="shared" ca="1" si="19"/>
        <v>0</v>
      </c>
    </row>
    <row r="246" spans="1:6">
      <c r="A246" s="2">
        <f t="shared" ca="1" si="17"/>
        <v>244</v>
      </c>
      <c r="B246" s="61" t="str">
        <f t="shared" ca="1" si="18"/>
        <v xml:space="preserve"> - </v>
      </c>
      <c r="C246" s="62" t="str">
        <f ca="1">IF(E246&gt;$G$2,"",Nasazení!B246)</f>
        <v/>
      </c>
      <c r="D246" s="61" t="str">
        <f ca="1">IF(TYPE(VLOOKUP(C246,Výsledky_skupin!$A$3:$B$258,2,0))&gt;4," -",VLOOKUP(C246,Výsledky_skupin!$A$3:$B$258,2,0))</f>
        <v/>
      </c>
      <c r="E246" s="2">
        <v>244</v>
      </c>
      <c r="F246">
        <f t="shared" ca="1" si="19"/>
        <v>0</v>
      </c>
    </row>
    <row r="247" spans="1:6">
      <c r="A247" s="2">
        <f t="shared" ca="1" si="17"/>
        <v>245</v>
      </c>
      <c r="B247" s="61" t="str">
        <f t="shared" ca="1" si="18"/>
        <v xml:space="preserve"> - </v>
      </c>
      <c r="C247" s="62" t="str">
        <f ca="1">IF(E247&gt;$G$2,"",Nasazení!B247)</f>
        <v/>
      </c>
      <c r="D247" s="61" t="str">
        <f ca="1">IF(TYPE(VLOOKUP(C247,Výsledky_skupin!$A$3:$B$258,2,0))&gt;4," -",VLOOKUP(C247,Výsledky_skupin!$A$3:$B$258,2,0))</f>
        <v/>
      </c>
      <c r="E247" s="2">
        <v>245</v>
      </c>
      <c r="F247">
        <f t="shared" ca="1" si="19"/>
        <v>0</v>
      </c>
    </row>
    <row r="248" spans="1:6">
      <c r="A248" s="2">
        <f t="shared" ca="1" si="17"/>
        <v>246</v>
      </c>
      <c r="B248" s="61" t="str">
        <f t="shared" ca="1" si="18"/>
        <v xml:space="preserve"> - </v>
      </c>
      <c r="C248" s="62" t="str">
        <f ca="1">IF(E248&gt;$G$2,"",Nasazení!B248)</f>
        <v/>
      </c>
      <c r="D248" s="61" t="str">
        <f ca="1">IF(TYPE(VLOOKUP(C248,Výsledky_skupin!$A$3:$B$258,2,0))&gt;4," -",VLOOKUP(C248,Výsledky_skupin!$A$3:$B$258,2,0))</f>
        <v/>
      </c>
      <c r="E248" s="2">
        <v>246</v>
      </c>
      <c r="F248">
        <f t="shared" ca="1" si="19"/>
        <v>0</v>
      </c>
    </row>
    <row r="249" spans="1:6">
      <c r="A249" s="2">
        <f t="shared" ca="1" si="17"/>
        <v>247</v>
      </c>
      <c r="B249" s="61" t="str">
        <f t="shared" ca="1" si="18"/>
        <v xml:space="preserve"> - </v>
      </c>
      <c r="C249" s="62" t="str">
        <f ca="1">IF(E249&gt;$G$2,"",Nasazení!B249)</f>
        <v/>
      </c>
      <c r="D249" s="61" t="str">
        <f ca="1">IF(TYPE(VLOOKUP(C249,Výsledky_skupin!$A$3:$B$258,2,0))&gt;4," -",VLOOKUP(C249,Výsledky_skupin!$A$3:$B$258,2,0))</f>
        <v/>
      </c>
      <c r="E249" s="2">
        <v>247</v>
      </c>
      <c r="F249">
        <f t="shared" ca="1" si="19"/>
        <v>0</v>
      </c>
    </row>
    <row r="250" spans="1:6">
      <c r="A250" s="2">
        <f t="shared" ca="1" si="17"/>
        <v>248</v>
      </c>
      <c r="B250" s="61" t="str">
        <f t="shared" ca="1" si="18"/>
        <v xml:space="preserve"> - </v>
      </c>
      <c r="C250" s="62" t="str">
        <f ca="1">IF(E250&gt;$G$2,"",Nasazení!B250)</f>
        <v/>
      </c>
      <c r="D250" s="61" t="str">
        <f ca="1">IF(TYPE(VLOOKUP(C250,Výsledky_skupin!$A$3:$B$258,2,0))&gt;4," -",VLOOKUP(C250,Výsledky_skupin!$A$3:$B$258,2,0))</f>
        <v/>
      </c>
      <c r="E250" s="2">
        <v>248</v>
      </c>
      <c r="F250">
        <f t="shared" ca="1" si="19"/>
        <v>0</v>
      </c>
    </row>
    <row r="251" spans="1:6">
      <c r="A251" s="2">
        <f t="shared" ca="1" si="17"/>
        <v>249</v>
      </c>
      <c r="B251" s="61" t="str">
        <f t="shared" ca="1" si="18"/>
        <v xml:space="preserve"> - </v>
      </c>
      <c r="C251" s="62" t="str">
        <f ca="1">IF(E251&gt;$G$2,"",Nasazení!B251)</f>
        <v/>
      </c>
      <c r="D251" s="61" t="str">
        <f ca="1">IF(TYPE(VLOOKUP(C251,Výsledky_skupin!$A$3:$B$258,2,0))&gt;4," -",VLOOKUP(C251,Výsledky_skupin!$A$3:$B$258,2,0))</f>
        <v/>
      </c>
      <c r="E251" s="2">
        <v>249</v>
      </c>
      <c r="F251">
        <f t="shared" ca="1" si="19"/>
        <v>0</v>
      </c>
    </row>
    <row r="252" spans="1:6">
      <c r="A252" s="2">
        <f t="shared" ca="1" si="17"/>
        <v>250</v>
      </c>
      <c r="B252" s="61" t="str">
        <f t="shared" ca="1" si="18"/>
        <v xml:space="preserve"> - </v>
      </c>
      <c r="C252" s="62" t="str">
        <f ca="1">IF(E252&gt;$G$2,"",Nasazení!B252)</f>
        <v/>
      </c>
      <c r="D252" s="61" t="str">
        <f ca="1">IF(TYPE(VLOOKUP(C252,Výsledky_skupin!$A$3:$B$258,2,0))&gt;4," -",VLOOKUP(C252,Výsledky_skupin!$A$3:$B$258,2,0))</f>
        <v/>
      </c>
      <c r="E252" s="2">
        <v>250</v>
      </c>
      <c r="F252">
        <f t="shared" ca="1" si="19"/>
        <v>0</v>
      </c>
    </row>
    <row r="253" spans="1:6">
      <c r="A253" s="2">
        <f t="shared" ca="1" si="17"/>
        <v>251</v>
      </c>
      <c r="B253" s="61" t="str">
        <f t="shared" ca="1" si="18"/>
        <v xml:space="preserve"> - </v>
      </c>
      <c r="C253" s="62" t="str">
        <f ca="1">IF(E253&gt;$G$2,"",Nasazení!B253)</f>
        <v/>
      </c>
      <c r="D253" s="61" t="str">
        <f ca="1">IF(TYPE(VLOOKUP(C253,Výsledky_skupin!$A$3:$B$258,2,0))&gt;4," -",VLOOKUP(C253,Výsledky_skupin!$A$3:$B$258,2,0))</f>
        <v/>
      </c>
      <c r="E253" s="2">
        <v>251</v>
      </c>
      <c r="F253">
        <f t="shared" ca="1" si="19"/>
        <v>0</v>
      </c>
    </row>
    <row r="254" spans="1:6">
      <c r="A254" s="2">
        <f t="shared" ca="1" si="17"/>
        <v>252</v>
      </c>
      <c r="B254" s="61" t="str">
        <f t="shared" ca="1" si="18"/>
        <v xml:space="preserve"> - </v>
      </c>
      <c r="C254" s="62" t="str">
        <f ca="1">IF(E254&gt;$G$2,"",Nasazení!B254)</f>
        <v/>
      </c>
      <c r="D254" s="61" t="str">
        <f ca="1">IF(TYPE(VLOOKUP(C254,Výsledky_skupin!$A$3:$B$258,2,0))&gt;4," -",VLOOKUP(C254,Výsledky_skupin!$A$3:$B$258,2,0))</f>
        <v/>
      </c>
      <c r="E254" s="2">
        <v>252</v>
      </c>
      <c r="F254">
        <f t="shared" ca="1" si="19"/>
        <v>0</v>
      </c>
    </row>
    <row r="255" spans="1:6">
      <c r="A255" s="2">
        <f t="shared" ca="1" si="17"/>
        <v>253</v>
      </c>
      <c r="B255" s="61" t="str">
        <f t="shared" ca="1" si="18"/>
        <v xml:space="preserve"> - </v>
      </c>
      <c r="C255" s="62" t="str">
        <f ca="1">IF(E255&gt;$G$2,"",Nasazení!B255)</f>
        <v/>
      </c>
      <c r="D255" s="61" t="str">
        <f ca="1">IF(TYPE(VLOOKUP(C255,Výsledky_skupin!$A$3:$B$258,2,0))&gt;4," -",VLOOKUP(C255,Výsledky_skupin!$A$3:$B$258,2,0))</f>
        <v/>
      </c>
      <c r="E255" s="2">
        <v>253</v>
      </c>
      <c r="F255">
        <f t="shared" ca="1" si="19"/>
        <v>0</v>
      </c>
    </row>
    <row r="256" spans="1:6">
      <c r="A256" s="2">
        <f t="shared" ca="1" si="17"/>
        <v>254</v>
      </c>
      <c r="B256" s="61" t="str">
        <f t="shared" ca="1" si="18"/>
        <v xml:space="preserve"> - </v>
      </c>
      <c r="C256" s="62" t="str">
        <f ca="1">IF(E256&gt;$G$2,"",Nasazení!B256)</f>
        <v/>
      </c>
      <c r="D256" s="61" t="str">
        <f ca="1">IF(TYPE(VLOOKUP(C256,Výsledky_skupin!$A$3:$B$258,2,0))&gt;4," -",VLOOKUP(C256,Výsledky_skupin!$A$3:$B$258,2,0))</f>
        <v/>
      </c>
      <c r="E256" s="2">
        <v>254</v>
      </c>
      <c r="F256">
        <f t="shared" ca="1" si="19"/>
        <v>0</v>
      </c>
    </row>
    <row r="257" spans="1:6">
      <c r="A257" s="2">
        <f t="shared" ca="1" si="17"/>
        <v>255</v>
      </c>
      <c r="B257" s="61" t="str">
        <f t="shared" ca="1" si="18"/>
        <v xml:space="preserve"> - </v>
      </c>
      <c r="C257" s="62" t="str">
        <f ca="1">IF(E257&gt;$G$2,"",Nasazení!B257)</f>
        <v/>
      </c>
      <c r="D257" s="61" t="str">
        <f ca="1">IF(TYPE(VLOOKUP(C257,Výsledky_skupin!$A$3:$B$258,2,0))&gt;4," -",VLOOKUP(C257,Výsledky_skupin!$A$3:$B$258,2,0))</f>
        <v/>
      </c>
      <c r="E257" s="2">
        <v>255</v>
      </c>
      <c r="F257">
        <f t="shared" ca="1" si="19"/>
        <v>0</v>
      </c>
    </row>
    <row r="258" spans="1:6">
      <c r="A258" s="2">
        <f t="shared" ca="1" si="17"/>
        <v>256</v>
      </c>
      <c r="B258" s="61" t="str">
        <f t="shared" ca="1" si="18"/>
        <v xml:space="preserve"> - </v>
      </c>
      <c r="C258" s="62" t="str">
        <f ca="1">IF(E258&gt;$G$2,"",Nasazení!B258)</f>
        <v/>
      </c>
      <c r="D258" s="61" t="str">
        <f ca="1">IF(TYPE(VLOOKUP(C258,Výsledky_skupin!$A$3:$B$258,2,0))&gt;4," -",VLOOKUP(C258,Výsledky_skupin!$A$3:$B$258,2,0))</f>
        <v/>
      </c>
      <c r="E258" s="2">
        <v>256</v>
      </c>
      <c r="F258">
        <f t="shared" ca="1" si="19"/>
        <v>0</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sheetPr codeName="List61"/>
  <dimension ref="A1:BL385"/>
  <sheetViews>
    <sheetView workbookViewId="0"/>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3</v>
      </c>
      <c r="S2">
        <f t="shared" ca="1" si="1"/>
        <v>3</v>
      </c>
      <c r="T2">
        <f t="shared" ca="1" si="1"/>
        <v>3</v>
      </c>
      <c r="U2">
        <f t="shared" ca="1" si="1"/>
        <v>3</v>
      </c>
      <c r="V2">
        <f t="shared" ca="1" si="1"/>
        <v>3</v>
      </c>
      <c r="W2">
        <f t="shared" ca="1" si="1"/>
        <v>3</v>
      </c>
      <c r="X2">
        <f t="shared" ca="1" si="1"/>
        <v>3</v>
      </c>
      <c r="Y2">
        <f t="shared" ca="1" si="1"/>
        <v>3</v>
      </c>
      <c r="Z2">
        <f t="shared" ca="1" si="1"/>
        <v>3</v>
      </c>
      <c r="AA2">
        <f t="shared" ca="1" si="1"/>
        <v>3</v>
      </c>
      <c r="AB2">
        <f t="shared" ca="1" si="1"/>
        <v>3</v>
      </c>
      <c r="AC2">
        <f t="shared" ca="1" si="1"/>
        <v>3</v>
      </c>
      <c r="AD2">
        <f t="shared" ca="1" si="1"/>
        <v>4</v>
      </c>
      <c r="AE2">
        <f t="shared" ca="1" si="1"/>
        <v>4</v>
      </c>
      <c r="AF2">
        <f t="shared" ca="1" si="1"/>
        <v>4</v>
      </c>
      <c r="AG2">
        <f t="shared" ref="AG2:BG2" ca="1" si="2">INDIRECT(ADDRESS(1,12,1,1,AG1))</f>
        <v>4</v>
      </c>
      <c r="AH2">
        <f t="shared" ca="1" si="2"/>
        <v>4</v>
      </c>
      <c r="AI2">
        <f t="shared" ca="1" si="2"/>
        <v>4</v>
      </c>
      <c r="AJ2">
        <f t="shared" ca="1" si="2"/>
        <v>4</v>
      </c>
      <c r="AK2">
        <f t="shared" ca="1" si="2"/>
        <v>4</v>
      </c>
      <c r="AL2">
        <f t="shared" ca="1" si="2"/>
        <v>4</v>
      </c>
      <c r="AM2">
        <f t="shared" ca="1" si="2"/>
        <v>4</v>
      </c>
      <c r="AN2">
        <f t="shared" ca="1" si="2"/>
        <v>4</v>
      </c>
      <c r="AO2">
        <f t="shared" ca="1" si="2"/>
        <v>4</v>
      </c>
      <c r="AP2">
        <f t="shared" ca="1" si="2"/>
        <v>4</v>
      </c>
      <c r="AQ2">
        <f t="shared" ca="1" si="2"/>
        <v>4</v>
      </c>
      <c r="AR2">
        <f t="shared" ca="1" si="2"/>
        <v>0</v>
      </c>
      <c r="AS2">
        <f t="shared" ca="1" si="2"/>
        <v>0</v>
      </c>
      <c r="AT2">
        <f t="shared" ca="1" si="2"/>
        <v>0</v>
      </c>
      <c r="AU2">
        <f t="shared" ca="1" si="2"/>
        <v>0</v>
      </c>
      <c r="AV2">
        <f t="shared" ca="1" si="2"/>
        <v>0</v>
      </c>
      <c r="AW2">
        <f t="shared" ca="1" si="2"/>
        <v>0</v>
      </c>
      <c r="AX2">
        <f t="shared" ca="1" si="2"/>
        <v>0</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1</v>
      </c>
      <c r="C3">
        <f t="shared" ca="1" si="3"/>
        <v>1</v>
      </c>
      <c r="D3">
        <f t="shared" ca="1" si="3"/>
        <v>1</v>
      </c>
      <c r="E3">
        <f t="shared" ca="1" si="3"/>
        <v>1</v>
      </c>
      <c r="F3">
        <f t="shared" ca="1" si="3"/>
        <v>1</v>
      </c>
      <c r="G3">
        <f t="shared" ca="1" si="3"/>
        <v>1</v>
      </c>
      <c r="H3">
        <f t="shared" ca="1" si="3"/>
        <v>1</v>
      </c>
      <c r="I3">
        <f t="shared" ca="1" si="3"/>
        <v>1</v>
      </c>
      <c r="J3">
        <f t="shared" ca="1" si="3"/>
        <v>1</v>
      </c>
      <c r="K3">
        <f t="shared" ca="1" si="3"/>
        <v>1</v>
      </c>
      <c r="L3">
        <f t="shared" ca="1" si="3"/>
        <v>1</v>
      </c>
      <c r="M3">
        <f t="shared" ca="1" si="3"/>
        <v>1</v>
      </c>
      <c r="N3">
        <f t="shared" ca="1" si="3"/>
        <v>1</v>
      </c>
      <c r="O3">
        <f t="shared" ca="1" si="3"/>
        <v>1</v>
      </c>
      <c r="P3">
        <f t="shared" ca="1" si="3"/>
        <v>1</v>
      </c>
      <c r="Q3">
        <f t="shared" ca="1" si="3"/>
        <v>1</v>
      </c>
      <c r="R3">
        <f t="shared" ca="1" si="3"/>
        <v>1</v>
      </c>
      <c r="S3">
        <f t="shared" ca="1" si="3"/>
        <v>1</v>
      </c>
      <c r="T3">
        <f t="shared" ca="1" si="3"/>
        <v>1</v>
      </c>
      <c r="U3">
        <f t="shared" ca="1" si="3"/>
        <v>1</v>
      </c>
      <c r="V3">
        <f t="shared" ca="1" si="3"/>
        <v>1</v>
      </c>
      <c r="W3">
        <f t="shared" ca="1" si="3"/>
        <v>1</v>
      </c>
      <c r="X3">
        <f t="shared" ca="1" si="3"/>
        <v>1</v>
      </c>
      <c r="Y3">
        <f t="shared" ca="1" si="3"/>
        <v>1</v>
      </c>
      <c r="Z3">
        <f t="shared" ca="1" si="3"/>
        <v>1</v>
      </c>
      <c r="AA3">
        <f t="shared" ca="1" si="3"/>
        <v>1</v>
      </c>
      <c r="AB3">
        <f t="shared" ca="1" si="3"/>
        <v>1</v>
      </c>
      <c r="AC3">
        <f t="shared" ca="1" si="3"/>
        <v>1</v>
      </c>
      <c r="AD3">
        <f t="shared" ca="1" si="3"/>
        <v>2</v>
      </c>
      <c r="AE3">
        <f t="shared" ca="1" si="3"/>
        <v>2</v>
      </c>
      <c r="AF3">
        <f t="shared" ca="1" si="3"/>
        <v>2</v>
      </c>
      <c r="AG3">
        <f t="shared" ref="AG3:BG3" ca="1" si="4">IF(AG2=0,0,CHOOSE(AG2,0,1,1,2,2,3))</f>
        <v>2</v>
      </c>
      <c r="AH3">
        <f t="shared" ca="1" si="4"/>
        <v>2</v>
      </c>
      <c r="AI3">
        <f t="shared" ca="1" si="4"/>
        <v>2</v>
      </c>
      <c r="AJ3">
        <f t="shared" ca="1" si="4"/>
        <v>2</v>
      </c>
      <c r="AK3">
        <f t="shared" ca="1" si="4"/>
        <v>2</v>
      </c>
      <c r="AL3">
        <f t="shared" ca="1" si="4"/>
        <v>2</v>
      </c>
      <c r="AM3">
        <f t="shared" ca="1" si="4"/>
        <v>2</v>
      </c>
      <c r="AN3">
        <f t="shared" ca="1" si="4"/>
        <v>2</v>
      </c>
      <c r="AO3">
        <f t="shared" ca="1" si="4"/>
        <v>2</v>
      </c>
      <c r="AP3">
        <f t="shared" ca="1" si="4"/>
        <v>2</v>
      </c>
      <c r="AQ3">
        <f t="shared" ca="1" si="4"/>
        <v>2</v>
      </c>
      <c r="AR3">
        <f t="shared" ca="1" si="4"/>
        <v>0</v>
      </c>
      <c r="AS3">
        <f t="shared" ca="1" si="4"/>
        <v>0</v>
      </c>
      <c r="AT3">
        <f t="shared" ca="1" si="4"/>
        <v>0</v>
      </c>
      <c r="AU3">
        <f t="shared" ca="1" si="4"/>
        <v>0</v>
      </c>
      <c r="AV3">
        <f t="shared" ca="1" si="4"/>
        <v>0</v>
      </c>
      <c r="AW3">
        <f t="shared" ca="1" si="4"/>
        <v>0</v>
      </c>
      <c r="AX3">
        <f t="shared" ca="1" si="4"/>
        <v>0</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3</v>
      </c>
      <c r="D4">
        <f t="shared" ca="1" si="5"/>
        <v>4</v>
      </c>
      <c r="E4">
        <f t="shared" ca="1" si="5"/>
        <v>5</v>
      </c>
      <c r="F4">
        <f t="shared" ca="1" si="5"/>
        <v>6</v>
      </c>
      <c r="G4">
        <f t="shared" ca="1" si="5"/>
        <v>7</v>
      </c>
      <c r="H4">
        <f t="shared" ca="1" si="5"/>
        <v>8</v>
      </c>
      <c r="I4">
        <f t="shared" ca="1" si="5"/>
        <v>9</v>
      </c>
      <c r="J4">
        <f t="shared" ca="1" si="5"/>
        <v>10</v>
      </c>
      <c r="K4">
        <f ca="1">IF(OR(K2=0,J5=0),0,J5+1)</f>
        <v>11</v>
      </c>
      <c r="L4">
        <f t="shared" ref="L4:AF4" ca="1" si="6">IF(OR(L2=0,K5=0),0,K5+1)</f>
        <v>12</v>
      </c>
      <c r="M4">
        <f t="shared" ca="1" si="6"/>
        <v>13</v>
      </c>
      <c r="N4">
        <f t="shared" ca="1" si="6"/>
        <v>14</v>
      </c>
      <c r="O4">
        <f t="shared" ca="1" si="6"/>
        <v>15</v>
      </c>
      <c r="P4">
        <f t="shared" ca="1" si="6"/>
        <v>16</v>
      </c>
      <c r="Q4">
        <f t="shared" ca="1" si="6"/>
        <v>17</v>
      </c>
      <c r="R4">
        <f t="shared" ca="1" si="6"/>
        <v>18</v>
      </c>
      <c r="S4">
        <f t="shared" ca="1" si="6"/>
        <v>19</v>
      </c>
      <c r="T4">
        <f t="shared" ca="1" si="6"/>
        <v>20</v>
      </c>
      <c r="U4">
        <f t="shared" ca="1" si="6"/>
        <v>21</v>
      </c>
      <c r="V4">
        <f t="shared" ca="1" si="6"/>
        <v>22</v>
      </c>
      <c r="W4">
        <f t="shared" ca="1" si="6"/>
        <v>23</v>
      </c>
      <c r="X4">
        <f t="shared" ca="1" si="6"/>
        <v>24</v>
      </c>
      <c r="Y4">
        <f t="shared" ca="1" si="6"/>
        <v>25</v>
      </c>
      <c r="Z4">
        <f t="shared" ca="1" si="6"/>
        <v>26</v>
      </c>
      <c r="AA4">
        <f t="shared" ca="1" si="6"/>
        <v>27</v>
      </c>
      <c r="AB4">
        <f t="shared" ca="1" si="6"/>
        <v>28</v>
      </c>
      <c r="AC4">
        <f t="shared" ca="1" si="6"/>
        <v>29</v>
      </c>
      <c r="AD4">
        <f t="shared" ca="1" si="6"/>
        <v>30</v>
      </c>
      <c r="AE4">
        <f t="shared" ca="1" si="6"/>
        <v>32</v>
      </c>
      <c r="AF4">
        <f t="shared" ca="1" si="6"/>
        <v>34</v>
      </c>
      <c r="AG4">
        <f t="shared" ref="AG4:BL4" ca="1" si="7">IF(OR(AG2=0,AF5=0),0,AF5+1)</f>
        <v>36</v>
      </c>
      <c r="AH4">
        <f t="shared" ca="1" si="7"/>
        <v>38</v>
      </c>
      <c r="AI4">
        <f t="shared" ca="1" si="7"/>
        <v>40</v>
      </c>
      <c r="AJ4">
        <f t="shared" ca="1" si="7"/>
        <v>42</v>
      </c>
      <c r="AK4">
        <f t="shared" ca="1" si="7"/>
        <v>44</v>
      </c>
      <c r="AL4">
        <f t="shared" ca="1" si="7"/>
        <v>46</v>
      </c>
      <c r="AM4">
        <f t="shared" ca="1" si="7"/>
        <v>48</v>
      </c>
      <c r="AN4">
        <f t="shared" ca="1" si="7"/>
        <v>50</v>
      </c>
      <c r="AO4">
        <f t="shared" ca="1" si="7"/>
        <v>52</v>
      </c>
      <c r="AP4">
        <f t="shared" ca="1" si="7"/>
        <v>54</v>
      </c>
      <c r="AQ4">
        <f t="shared" ca="1" si="7"/>
        <v>56</v>
      </c>
      <c r="AR4">
        <f t="shared" ca="1" si="7"/>
        <v>0</v>
      </c>
      <c r="AS4">
        <f t="shared" ca="1" si="7"/>
        <v>0</v>
      </c>
      <c r="AT4">
        <f t="shared" ca="1" si="7"/>
        <v>0</v>
      </c>
      <c r="AU4">
        <f t="shared" ca="1" si="7"/>
        <v>0</v>
      </c>
      <c r="AV4">
        <f t="shared" ca="1" si="7"/>
        <v>0</v>
      </c>
      <c r="AW4">
        <f t="shared" ca="1" si="7"/>
        <v>0</v>
      </c>
      <c r="AX4">
        <f t="shared" ca="1" si="7"/>
        <v>0</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2</v>
      </c>
      <c r="C5">
        <f t="shared" ca="1" si="8"/>
        <v>3</v>
      </c>
      <c r="D5">
        <f t="shared" ca="1" si="8"/>
        <v>4</v>
      </c>
      <c r="E5">
        <f t="shared" ca="1" si="8"/>
        <v>5</v>
      </c>
      <c r="F5">
        <f t="shared" ca="1" si="8"/>
        <v>6</v>
      </c>
      <c r="G5">
        <f t="shared" ca="1" si="8"/>
        <v>7</v>
      </c>
      <c r="H5">
        <f t="shared" ca="1" si="8"/>
        <v>8</v>
      </c>
      <c r="I5">
        <f t="shared" ca="1" si="8"/>
        <v>9</v>
      </c>
      <c r="J5">
        <f t="shared" ca="1" si="8"/>
        <v>10</v>
      </c>
      <c r="K5">
        <f t="shared" ca="1" si="8"/>
        <v>11</v>
      </c>
      <c r="L5">
        <f t="shared" ca="1" si="8"/>
        <v>12</v>
      </c>
      <c r="M5">
        <f t="shared" ca="1" si="8"/>
        <v>13</v>
      </c>
      <c r="N5">
        <f t="shared" ca="1" si="8"/>
        <v>14</v>
      </c>
      <c r="O5">
        <f t="shared" ca="1" si="8"/>
        <v>15</v>
      </c>
      <c r="P5">
        <f t="shared" ca="1" si="8"/>
        <v>16</v>
      </c>
      <c r="Q5">
        <f t="shared" ca="1" si="8"/>
        <v>17</v>
      </c>
      <c r="R5">
        <f t="shared" ca="1" si="8"/>
        <v>18</v>
      </c>
      <c r="S5">
        <f t="shared" ca="1" si="8"/>
        <v>19</v>
      </c>
      <c r="T5">
        <f t="shared" ca="1" si="8"/>
        <v>20</v>
      </c>
      <c r="U5">
        <f t="shared" ca="1" si="8"/>
        <v>21</v>
      </c>
      <c r="V5">
        <f t="shared" ca="1" si="8"/>
        <v>22</v>
      </c>
      <c r="W5">
        <f t="shared" ca="1" si="8"/>
        <v>23</v>
      </c>
      <c r="X5">
        <f t="shared" ca="1" si="8"/>
        <v>24</v>
      </c>
      <c r="Y5">
        <f t="shared" ca="1" si="8"/>
        <v>25</v>
      </c>
      <c r="Z5">
        <f t="shared" ca="1" si="8"/>
        <v>26</v>
      </c>
      <c r="AA5">
        <f t="shared" ca="1" si="8"/>
        <v>27</v>
      </c>
      <c r="AB5">
        <f t="shared" ca="1" si="8"/>
        <v>28</v>
      </c>
      <c r="AC5">
        <f t="shared" ca="1" si="8"/>
        <v>29</v>
      </c>
      <c r="AD5">
        <f t="shared" ca="1" si="8"/>
        <v>31</v>
      </c>
      <c r="AE5">
        <f t="shared" ca="1" si="8"/>
        <v>33</v>
      </c>
      <c r="AF5">
        <f t="shared" ca="1" si="8"/>
        <v>35</v>
      </c>
      <c r="AG5">
        <f t="shared" ref="AG5:BG5" ca="1" si="9">IF(AG2=0,0,AG4+AG3-1)</f>
        <v>37</v>
      </c>
      <c r="AH5">
        <f t="shared" ca="1" si="9"/>
        <v>39</v>
      </c>
      <c r="AI5">
        <f t="shared" ca="1" si="9"/>
        <v>41</v>
      </c>
      <c r="AJ5">
        <f t="shared" ca="1" si="9"/>
        <v>43</v>
      </c>
      <c r="AK5">
        <f t="shared" ca="1" si="9"/>
        <v>45</v>
      </c>
      <c r="AL5">
        <f t="shared" ca="1" si="9"/>
        <v>47</v>
      </c>
      <c r="AM5">
        <f t="shared" ca="1" si="9"/>
        <v>49</v>
      </c>
      <c r="AN5">
        <f t="shared" ca="1" si="9"/>
        <v>51</v>
      </c>
      <c r="AO5">
        <f t="shared" ca="1" si="9"/>
        <v>53</v>
      </c>
      <c r="AP5">
        <f t="shared" ca="1" si="9"/>
        <v>55</v>
      </c>
      <c r="AQ5">
        <f t="shared" ca="1" si="9"/>
        <v>57</v>
      </c>
      <c r="AR5">
        <f t="shared" ca="1" si="9"/>
        <v>0</v>
      </c>
      <c r="AS5">
        <f t="shared" ca="1" si="9"/>
        <v>0</v>
      </c>
      <c r="AT5">
        <f t="shared" ca="1" si="9"/>
        <v>0</v>
      </c>
      <c r="AU5">
        <f t="shared" ca="1" si="9"/>
        <v>0</v>
      </c>
      <c r="AV5">
        <f t="shared" ca="1" si="9"/>
        <v>0</v>
      </c>
      <c r="AW5">
        <f t="shared" ca="1" si="9"/>
        <v>0</v>
      </c>
      <c r="AX5">
        <f t="shared" ca="1" si="9"/>
        <v>0</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4" t="s">
        <v>446</v>
      </c>
      <c r="D9" s="514"/>
      <c r="E9" s="515"/>
    </row>
    <row r="10" spans="1:64">
      <c r="A10" s="2" t="s">
        <v>444</v>
      </c>
      <c r="B10" s="2" t="s">
        <v>445</v>
      </c>
    </row>
    <row r="11" spans="1:64">
      <c r="A11" s="2" t="s">
        <v>83</v>
      </c>
      <c r="B11" s="2">
        <v>1</v>
      </c>
      <c r="C11" s="383">
        <f t="shared" ref="C11:C74" ca="1" si="10">999999*RAND()</f>
        <v>677873.52100543154</v>
      </c>
      <c r="D11" s="2"/>
      <c r="E11" s="382" t="str">
        <f t="shared" ref="E11:E42" si="11">IF(D11+$E$8-1=0,"",D11+$E$8-1)</f>
        <v/>
      </c>
    </row>
    <row r="12" spans="1:64">
      <c r="A12" s="2" t="s">
        <v>84</v>
      </c>
      <c r="B12" s="2">
        <v>2</v>
      </c>
      <c r="C12" s="383">
        <f t="shared" ca="1" si="10"/>
        <v>571039.97927740205</v>
      </c>
      <c r="D12" s="2"/>
      <c r="E12" s="382" t="str">
        <f t="shared" si="11"/>
        <v/>
      </c>
    </row>
    <row r="13" spans="1:64">
      <c r="A13" s="2" t="s">
        <v>118</v>
      </c>
      <c r="B13" s="2">
        <v>3</v>
      </c>
      <c r="C13" s="383">
        <f t="shared" ca="1" si="10"/>
        <v>390718.15727256995</v>
      </c>
      <c r="D13" s="2"/>
      <c r="E13" s="382" t="str">
        <f t="shared" si="11"/>
        <v/>
      </c>
    </row>
    <row r="14" spans="1:64">
      <c r="A14" s="2" t="s">
        <v>85</v>
      </c>
      <c r="B14" s="2">
        <v>4</v>
      </c>
      <c r="C14" s="383">
        <f t="shared" ca="1" si="10"/>
        <v>916786.6634879054</v>
      </c>
      <c r="D14" s="2"/>
      <c r="E14" s="382" t="str">
        <f t="shared" si="11"/>
        <v/>
      </c>
    </row>
    <row r="15" spans="1:64">
      <c r="A15" s="2" t="s">
        <v>86</v>
      </c>
      <c r="B15" s="2">
        <v>5</v>
      </c>
      <c r="C15" s="383">
        <f t="shared" ca="1" si="10"/>
        <v>236475.89316358857</v>
      </c>
      <c r="D15" s="2"/>
      <c r="E15" s="382" t="str">
        <f t="shared" si="11"/>
        <v/>
      </c>
    </row>
    <row r="16" spans="1:64">
      <c r="A16" s="2" t="s">
        <v>87</v>
      </c>
      <c r="B16" s="2">
        <v>6</v>
      </c>
      <c r="C16" s="383">
        <f t="shared" ca="1" si="10"/>
        <v>93548.256861296191</v>
      </c>
      <c r="D16" s="2"/>
      <c r="E16" s="382" t="str">
        <f t="shared" si="11"/>
        <v/>
      </c>
    </row>
    <row r="17" spans="1:5">
      <c r="A17" s="2" t="s">
        <v>88</v>
      </c>
      <c r="B17" s="2">
        <v>7</v>
      </c>
      <c r="C17" s="383">
        <f t="shared" ca="1" si="10"/>
        <v>860318.25593076728</v>
      </c>
      <c r="D17" s="2"/>
      <c r="E17" s="382" t="str">
        <f t="shared" si="11"/>
        <v/>
      </c>
    </row>
    <row r="18" spans="1:5">
      <c r="A18" s="2" t="s">
        <v>89</v>
      </c>
      <c r="B18" s="2">
        <v>8</v>
      </c>
      <c r="C18" s="383">
        <f t="shared" ca="1" si="10"/>
        <v>623657.15700950788</v>
      </c>
      <c r="D18" s="2"/>
      <c r="E18" s="382" t="str">
        <f t="shared" si="11"/>
        <v/>
      </c>
    </row>
    <row r="19" spans="1:5">
      <c r="A19" s="2" t="s">
        <v>90</v>
      </c>
      <c r="B19" s="2">
        <v>9</v>
      </c>
      <c r="C19" s="383">
        <f t="shared" ca="1" si="10"/>
        <v>183433.18395428799</v>
      </c>
      <c r="D19" s="2"/>
      <c r="E19" s="382" t="str">
        <f t="shared" si="11"/>
        <v/>
      </c>
    </row>
    <row r="20" spans="1:5">
      <c r="A20" s="2" t="s">
        <v>91</v>
      </c>
      <c r="B20" s="2">
        <v>10</v>
      </c>
      <c r="C20" s="383">
        <f t="shared" ca="1" si="10"/>
        <v>758586.33275697846</v>
      </c>
      <c r="D20" s="2"/>
      <c r="E20" s="382" t="str">
        <f t="shared" si="11"/>
        <v/>
      </c>
    </row>
    <row r="21" spans="1:5">
      <c r="A21" s="2" t="s">
        <v>92</v>
      </c>
      <c r="B21" s="2">
        <v>11</v>
      </c>
      <c r="C21" s="383">
        <f t="shared" ca="1" si="10"/>
        <v>642070.58067495131</v>
      </c>
      <c r="D21" s="2"/>
      <c r="E21" s="382" t="str">
        <f t="shared" si="11"/>
        <v/>
      </c>
    </row>
    <row r="22" spans="1:5">
      <c r="A22" s="2" t="s">
        <v>93</v>
      </c>
      <c r="B22" s="2">
        <v>12</v>
      </c>
      <c r="C22" s="383">
        <f t="shared" ca="1" si="10"/>
        <v>593470.80442753842</v>
      </c>
      <c r="D22" s="2"/>
      <c r="E22" s="382" t="str">
        <f t="shared" si="11"/>
        <v/>
      </c>
    </row>
    <row r="23" spans="1:5">
      <c r="A23" s="2" t="s">
        <v>94</v>
      </c>
      <c r="B23" s="2">
        <v>13</v>
      </c>
      <c r="C23" s="383">
        <f t="shared" ca="1" si="10"/>
        <v>641010.74341450538</v>
      </c>
      <c r="D23" s="2"/>
      <c r="E23" s="382" t="str">
        <f t="shared" si="11"/>
        <v/>
      </c>
    </row>
    <row r="24" spans="1:5">
      <c r="A24" s="2" t="s">
        <v>95</v>
      </c>
      <c r="B24" s="2">
        <v>14</v>
      </c>
      <c r="C24" s="383">
        <f t="shared" ca="1" si="10"/>
        <v>678959.10837914795</v>
      </c>
      <c r="D24" s="2"/>
      <c r="E24" s="382" t="str">
        <f t="shared" si="11"/>
        <v/>
      </c>
    </row>
    <row r="25" spans="1:5">
      <c r="A25" s="2" t="s">
        <v>96</v>
      </c>
      <c r="B25" s="2">
        <v>15</v>
      </c>
      <c r="C25" s="383">
        <f t="shared" ca="1" si="10"/>
        <v>556596.51988221752</v>
      </c>
      <c r="D25" s="2"/>
      <c r="E25" s="382" t="str">
        <f t="shared" si="11"/>
        <v/>
      </c>
    </row>
    <row r="26" spans="1:5">
      <c r="A26" s="2" t="s">
        <v>97</v>
      </c>
      <c r="B26" s="2">
        <v>16</v>
      </c>
      <c r="C26" s="383">
        <f t="shared" ca="1" si="10"/>
        <v>600311.26596868015</v>
      </c>
      <c r="D26" s="2"/>
      <c r="E26" s="382" t="str">
        <f t="shared" si="11"/>
        <v/>
      </c>
    </row>
    <row r="27" spans="1:5">
      <c r="A27" s="2" t="s">
        <v>98</v>
      </c>
      <c r="B27" s="2">
        <v>17</v>
      </c>
      <c r="C27" s="383">
        <f t="shared" ca="1" si="10"/>
        <v>251614.82329933325</v>
      </c>
      <c r="D27" s="2"/>
      <c r="E27" s="382" t="str">
        <f t="shared" si="11"/>
        <v/>
      </c>
    </row>
    <row r="28" spans="1:5">
      <c r="A28" s="2" t="s">
        <v>99</v>
      </c>
      <c r="B28" s="2">
        <v>18</v>
      </c>
      <c r="C28" s="383">
        <f t="shared" ca="1" si="10"/>
        <v>652371.18412720575</v>
      </c>
      <c r="D28" s="2"/>
      <c r="E28" s="382" t="str">
        <f t="shared" si="11"/>
        <v/>
      </c>
    </row>
    <row r="29" spans="1:5">
      <c r="A29" s="2" t="s">
        <v>100</v>
      </c>
      <c r="B29" s="2">
        <v>19</v>
      </c>
      <c r="C29" s="383">
        <f t="shared" ca="1" si="10"/>
        <v>941095.61288803665</v>
      </c>
      <c r="D29" s="2"/>
      <c r="E29" s="382" t="str">
        <f t="shared" si="11"/>
        <v/>
      </c>
    </row>
    <row r="30" spans="1:5">
      <c r="A30" s="2" t="s">
        <v>101</v>
      </c>
      <c r="B30" s="2">
        <v>20</v>
      </c>
      <c r="C30" s="383">
        <f t="shared" ca="1" si="10"/>
        <v>279924.47577550542</v>
      </c>
      <c r="D30" s="2"/>
      <c r="E30" s="382" t="str">
        <f t="shared" si="11"/>
        <v/>
      </c>
    </row>
    <row r="31" spans="1:5">
      <c r="A31" s="2" t="s">
        <v>102</v>
      </c>
      <c r="B31" s="2">
        <v>21</v>
      </c>
      <c r="C31" s="383">
        <f t="shared" ca="1" si="10"/>
        <v>430779.79505623697</v>
      </c>
      <c r="D31" s="2"/>
      <c r="E31" s="382" t="str">
        <f t="shared" si="11"/>
        <v/>
      </c>
    </row>
    <row r="32" spans="1:5">
      <c r="A32" s="2" t="s">
        <v>103</v>
      </c>
      <c r="B32" s="2">
        <v>22</v>
      </c>
      <c r="C32" s="383">
        <f t="shared" ca="1" si="10"/>
        <v>502833.63630488759</v>
      </c>
      <c r="D32" s="2"/>
      <c r="E32" s="382" t="str">
        <f t="shared" si="11"/>
        <v/>
      </c>
    </row>
    <row r="33" spans="1:5">
      <c r="A33" s="2" t="s">
        <v>104</v>
      </c>
      <c r="B33" s="2">
        <v>23</v>
      </c>
      <c r="C33" s="383">
        <f t="shared" ca="1" si="10"/>
        <v>583060.10909992922</v>
      </c>
      <c r="D33" s="2"/>
      <c r="E33" s="382" t="str">
        <f t="shared" si="11"/>
        <v/>
      </c>
    </row>
    <row r="34" spans="1:5">
      <c r="A34" s="2" t="s">
        <v>105</v>
      </c>
      <c r="B34" s="2">
        <v>24</v>
      </c>
      <c r="C34" s="383">
        <f t="shared" ca="1" si="10"/>
        <v>883881.96972966241</v>
      </c>
      <c r="D34" s="2"/>
      <c r="E34" s="382" t="str">
        <f t="shared" si="11"/>
        <v/>
      </c>
    </row>
    <row r="35" spans="1:5">
      <c r="A35" s="2" t="s">
        <v>106</v>
      </c>
      <c r="B35" s="2">
        <v>25</v>
      </c>
      <c r="C35" s="383">
        <f t="shared" ca="1" si="10"/>
        <v>619230.13653190003</v>
      </c>
      <c r="D35" s="2"/>
      <c r="E35" s="382" t="str">
        <f t="shared" si="11"/>
        <v/>
      </c>
    </row>
    <row r="36" spans="1:5">
      <c r="A36" s="2" t="s">
        <v>107</v>
      </c>
      <c r="B36" s="2">
        <v>26</v>
      </c>
      <c r="C36" s="383">
        <f t="shared" ca="1" si="10"/>
        <v>423345.24189324881</v>
      </c>
      <c r="D36" s="2"/>
      <c r="E36" s="382" t="str">
        <f t="shared" si="11"/>
        <v/>
      </c>
    </row>
    <row r="37" spans="1:5">
      <c r="A37" s="2" t="s">
        <v>81</v>
      </c>
      <c r="B37" s="2">
        <v>27</v>
      </c>
      <c r="C37" s="383">
        <f t="shared" ca="1" si="10"/>
        <v>808098.11043927143</v>
      </c>
      <c r="D37" s="2"/>
      <c r="E37" s="382" t="str">
        <f t="shared" si="11"/>
        <v/>
      </c>
    </row>
    <row r="38" spans="1:5">
      <c r="A38" s="2" t="s">
        <v>108</v>
      </c>
      <c r="B38" s="2">
        <v>28</v>
      </c>
      <c r="C38" s="383">
        <f t="shared" ca="1" si="10"/>
        <v>824512.24575977598</v>
      </c>
      <c r="D38" s="2"/>
      <c r="E38" s="382" t="str">
        <f t="shared" si="11"/>
        <v/>
      </c>
    </row>
    <row r="39" spans="1:5">
      <c r="A39" s="2" t="s">
        <v>109</v>
      </c>
      <c r="B39" s="2">
        <v>29</v>
      </c>
      <c r="C39" s="383">
        <f t="shared" ca="1" si="10"/>
        <v>763434.26030785579</v>
      </c>
      <c r="D39" s="2"/>
      <c r="E39" s="382" t="str">
        <f t="shared" si="11"/>
        <v/>
      </c>
    </row>
    <row r="40" spans="1:5">
      <c r="A40" s="2" t="s">
        <v>110</v>
      </c>
      <c r="B40" s="2">
        <v>30</v>
      </c>
      <c r="C40" s="383">
        <f t="shared" ca="1" si="10"/>
        <v>544340.84765229945</v>
      </c>
      <c r="D40" s="2"/>
      <c r="E40" s="382" t="str">
        <f t="shared" si="11"/>
        <v/>
      </c>
    </row>
    <row r="41" spans="1:5">
      <c r="A41" s="2" t="s">
        <v>111</v>
      </c>
      <c r="B41" s="2">
        <v>31</v>
      </c>
      <c r="C41" s="383">
        <f t="shared" ca="1" si="10"/>
        <v>719555.21195471508</v>
      </c>
      <c r="D41" s="2"/>
      <c r="E41" s="382" t="str">
        <f t="shared" si="11"/>
        <v/>
      </c>
    </row>
    <row r="42" spans="1:5">
      <c r="A42" s="2" t="s">
        <v>112</v>
      </c>
      <c r="B42" s="2">
        <v>32</v>
      </c>
      <c r="C42" s="383">
        <f t="shared" ca="1" si="10"/>
        <v>730000.52286131121</v>
      </c>
      <c r="D42" s="2"/>
      <c r="E42" s="382" t="str">
        <f t="shared" si="11"/>
        <v/>
      </c>
    </row>
    <row r="43" spans="1:5">
      <c r="A43" s="2" t="s">
        <v>1174</v>
      </c>
      <c r="B43" s="2">
        <v>33</v>
      </c>
      <c r="C43" s="383">
        <f t="shared" ca="1" si="10"/>
        <v>432876.45160480542</v>
      </c>
      <c r="D43" s="2"/>
      <c r="E43" s="382" t="str">
        <f t="shared" ref="E43:E106" si="12">IF(D43+$E$8-1=0,"",D43+$E$8-1)</f>
        <v/>
      </c>
    </row>
    <row r="44" spans="1:5">
      <c r="A44" s="2" t="s">
        <v>1173</v>
      </c>
      <c r="B44" s="2">
        <v>34</v>
      </c>
      <c r="C44" s="383">
        <f t="shared" ca="1" si="10"/>
        <v>75055.79217627563</v>
      </c>
      <c r="D44" s="2"/>
      <c r="E44" s="382" t="str">
        <f t="shared" si="12"/>
        <v/>
      </c>
    </row>
    <row r="45" spans="1:5">
      <c r="A45" s="2" t="s">
        <v>1172</v>
      </c>
      <c r="B45" s="2">
        <v>35</v>
      </c>
      <c r="C45" s="383">
        <f t="shared" ca="1" si="10"/>
        <v>716261.90980745095</v>
      </c>
      <c r="D45" s="2"/>
      <c r="E45" s="382" t="str">
        <f t="shared" si="12"/>
        <v/>
      </c>
    </row>
    <row r="46" spans="1:5">
      <c r="A46" s="2" t="s">
        <v>1171</v>
      </c>
      <c r="B46" s="2">
        <v>36</v>
      </c>
      <c r="C46" s="383">
        <f t="shared" ca="1" si="10"/>
        <v>857550.72074326745</v>
      </c>
      <c r="D46" s="2"/>
      <c r="E46" s="382" t="str">
        <f t="shared" si="12"/>
        <v/>
      </c>
    </row>
    <row r="47" spans="1:5">
      <c r="A47" s="2" t="s">
        <v>1170</v>
      </c>
      <c r="B47" s="2">
        <v>37</v>
      </c>
      <c r="C47" s="383">
        <f t="shared" ca="1" si="10"/>
        <v>922810.2656705738</v>
      </c>
      <c r="D47" s="2"/>
      <c r="E47" s="382" t="str">
        <f t="shared" si="12"/>
        <v/>
      </c>
    </row>
    <row r="48" spans="1:5">
      <c r="A48" s="2" t="s">
        <v>1169</v>
      </c>
      <c r="B48" s="2">
        <v>38</v>
      </c>
      <c r="C48" s="383">
        <f t="shared" ca="1" si="10"/>
        <v>719057.27702652081</v>
      </c>
      <c r="D48" s="2"/>
      <c r="E48" s="382" t="str">
        <f t="shared" si="12"/>
        <v/>
      </c>
    </row>
    <row r="49" spans="1:5">
      <c r="A49" s="2" t="s">
        <v>1168</v>
      </c>
      <c r="B49" s="2">
        <v>39</v>
      </c>
      <c r="C49" s="383">
        <f t="shared" ca="1" si="10"/>
        <v>254696.65882791008</v>
      </c>
      <c r="D49" s="2"/>
      <c r="E49" s="382" t="str">
        <f t="shared" si="12"/>
        <v/>
      </c>
    </row>
    <row r="50" spans="1:5">
      <c r="A50" s="2" t="s">
        <v>1167</v>
      </c>
      <c r="B50" s="2">
        <v>40</v>
      </c>
      <c r="C50" s="383">
        <f t="shared" ca="1" si="10"/>
        <v>492907.69516177231</v>
      </c>
      <c r="D50" s="2"/>
      <c r="E50" s="382" t="str">
        <f t="shared" si="12"/>
        <v/>
      </c>
    </row>
    <row r="51" spans="1:5">
      <c r="A51" s="2" t="s">
        <v>1166</v>
      </c>
      <c r="B51" s="2">
        <v>41</v>
      </c>
      <c r="C51" s="383">
        <f t="shared" ca="1" si="10"/>
        <v>971773.5141250306</v>
      </c>
      <c r="D51" s="2"/>
      <c r="E51" s="382" t="str">
        <f t="shared" si="12"/>
        <v/>
      </c>
    </row>
    <row r="52" spans="1:5">
      <c r="A52" s="2" t="s">
        <v>1165</v>
      </c>
      <c r="B52" s="2">
        <v>42</v>
      </c>
      <c r="C52" s="383">
        <f t="shared" ca="1" si="10"/>
        <v>417045.61429575365</v>
      </c>
      <c r="D52" s="2"/>
      <c r="E52" s="382" t="str">
        <f t="shared" si="12"/>
        <v/>
      </c>
    </row>
    <row r="53" spans="1:5">
      <c r="A53" s="2" t="s">
        <v>1164</v>
      </c>
      <c r="B53" s="2">
        <v>43</v>
      </c>
      <c r="C53" s="383">
        <f t="shared" ca="1" si="10"/>
        <v>474603.78970619832</v>
      </c>
      <c r="D53" s="2"/>
      <c r="E53" s="382" t="str">
        <f t="shared" si="12"/>
        <v/>
      </c>
    </row>
    <row r="54" spans="1:5">
      <c r="A54" s="2" t="s">
        <v>1163</v>
      </c>
      <c r="B54" s="2">
        <v>44</v>
      </c>
      <c r="C54" s="383">
        <f t="shared" ca="1" si="10"/>
        <v>645123.12423877337</v>
      </c>
      <c r="D54" s="2"/>
      <c r="E54" s="382" t="str">
        <f t="shared" si="12"/>
        <v/>
      </c>
    </row>
    <row r="55" spans="1:5">
      <c r="A55" s="2" t="s">
        <v>1162</v>
      </c>
      <c r="B55" s="2">
        <v>45</v>
      </c>
      <c r="C55" s="383">
        <f t="shared" ca="1" si="10"/>
        <v>278839.05822638853</v>
      </c>
      <c r="D55" s="2"/>
      <c r="E55" s="382" t="str">
        <f t="shared" si="12"/>
        <v/>
      </c>
    </row>
    <row r="56" spans="1:5">
      <c r="A56" s="2" t="s">
        <v>1161</v>
      </c>
      <c r="B56" s="2">
        <v>46</v>
      </c>
      <c r="C56" s="383">
        <f t="shared" ca="1" si="10"/>
        <v>145291.66253859302</v>
      </c>
      <c r="D56" s="2"/>
      <c r="E56" s="382" t="str">
        <f t="shared" si="12"/>
        <v/>
      </c>
    </row>
    <row r="57" spans="1:5">
      <c r="A57" s="2" t="s">
        <v>1160</v>
      </c>
      <c r="B57" s="2">
        <v>47</v>
      </c>
      <c r="C57" s="383">
        <f t="shared" ca="1" si="10"/>
        <v>628368.60104853194</v>
      </c>
      <c r="D57" s="2"/>
      <c r="E57" s="382" t="str">
        <f t="shared" si="12"/>
        <v/>
      </c>
    </row>
    <row r="58" spans="1:5">
      <c r="A58" s="2" t="s">
        <v>1159</v>
      </c>
      <c r="B58" s="2">
        <v>48</v>
      </c>
      <c r="C58" s="383">
        <f t="shared" ca="1" si="10"/>
        <v>342678.99837108993</v>
      </c>
      <c r="D58" s="2"/>
      <c r="E58" s="382" t="str">
        <f t="shared" si="12"/>
        <v/>
      </c>
    </row>
    <row r="59" spans="1:5">
      <c r="A59" s="2" t="s">
        <v>1158</v>
      </c>
      <c r="B59" s="2">
        <v>49</v>
      </c>
      <c r="C59" s="383">
        <f t="shared" ca="1" si="10"/>
        <v>992858.4734081293</v>
      </c>
      <c r="D59" s="2"/>
      <c r="E59" s="382" t="str">
        <f t="shared" si="12"/>
        <v/>
      </c>
    </row>
    <row r="60" spans="1:5">
      <c r="A60" s="2" t="s">
        <v>1157</v>
      </c>
      <c r="B60" s="2">
        <v>50</v>
      </c>
      <c r="C60" s="383">
        <f t="shared" ca="1" si="10"/>
        <v>210698.08270409858</v>
      </c>
      <c r="D60" s="2"/>
      <c r="E60" s="382" t="str">
        <f t="shared" si="12"/>
        <v/>
      </c>
    </row>
    <row r="61" spans="1:5">
      <c r="A61" s="2" t="s">
        <v>1156</v>
      </c>
      <c r="B61" s="2">
        <v>51</v>
      </c>
      <c r="C61" s="383">
        <f t="shared" ca="1" si="10"/>
        <v>145969.76610883223</v>
      </c>
      <c r="D61" s="2"/>
      <c r="E61" s="382" t="str">
        <f t="shared" si="12"/>
        <v/>
      </c>
    </row>
    <row r="62" spans="1:5">
      <c r="A62" s="2" t="s">
        <v>1155</v>
      </c>
      <c r="B62" s="2">
        <v>52</v>
      </c>
      <c r="C62" s="383">
        <f t="shared" ca="1" si="10"/>
        <v>593634.12685793731</v>
      </c>
      <c r="D62" s="2"/>
      <c r="E62" s="382" t="str">
        <f t="shared" si="12"/>
        <v/>
      </c>
    </row>
    <row r="63" spans="1:5">
      <c r="A63" s="2" t="s">
        <v>1154</v>
      </c>
      <c r="B63" s="2">
        <v>53</v>
      </c>
      <c r="C63" s="383">
        <f t="shared" ca="1" si="10"/>
        <v>973079.92118082545</v>
      </c>
      <c r="D63" s="2"/>
      <c r="E63" s="382" t="str">
        <f t="shared" si="12"/>
        <v/>
      </c>
    </row>
    <row r="64" spans="1:5">
      <c r="A64" s="2" t="s">
        <v>1153</v>
      </c>
      <c r="B64" s="2">
        <v>54</v>
      </c>
      <c r="C64" s="383">
        <f t="shared" ca="1" si="10"/>
        <v>233652.29407273841</v>
      </c>
      <c r="D64" s="2"/>
      <c r="E64" s="382" t="str">
        <f t="shared" si="12"/>
        <v/>
      </c>
    </row>
    <row r="65" spans="1:5">
      <c r="A65" s="2" t="s">
        <v>1152</v>
      </c>
      <c r="B65" s="2">
        <v>55</v>
      </c>
      <c r="C65" s="383">
        <f t="shared" ca="1" si="10"/>
        <v>725213.08816909883</v>
      </c>
      <c r="D65" s="2"/>
      <c r="E65" s="382" t="str">
        <f t="shared" si="12"/>
        <v/>
      </c>
    </row>
    <row r="66" spans="1:5">
      <c r="A66" s="2" t="s">
        <v>1151</v>
      </c>
      <c r="B66" s="2">
        <v>56</v>
      </c>
      <c r="C66" s="383">
        <f t="shared" ca="1" si="10"/>
        <v>45605.96026821727</v>
      </c>
      <c r="D66" s="2"/>
      <c r="E66" s="382" t="str">
        <f t="shared" si="12"/>
        <v/>
      </c>
    </row>
    <row r="67" spans="1:5">
      <c r="A67" s="2" t="s">
        <v>1150</v>
      </c>
      <c r="B67" s="2">
        <v>57</v>
      </c>
      <c r="C67" s="383">
        <f t="shared" ca="1" si="10"/>
        <v>456719.11864658166</v>
      </c>
      <c r="D67" s="2"/>
      <c r="E67" s="382" t="str">
        <f t="shared" si="12"/>
        <v/>
      </c>
    </row>
    <row r="68" spans="1:5">
      <c r="A68" s="2" t="s">
        <v>1149</v>
      </c>
      <c r="B68" s="2">
        <v>58</v>
      </c>
      <c r="C68" s="383">
        <f t="shared" ca="1" si="10"/>
        <v>370609.88341533707</v>
      </c>
      <c r="D68" s="2"/>
      <c r="E68" s="382" t="str">
        <f t="shared" si="12"/>
        <v/>
      </c>
    </row>
    <row r="69" spans="1:5">
      <c r="A69" s="2" t="s">
        <v>1148</v>
      </c>
      <c r="B69" s="2">
        <v>59</v>
      </c>
      <c r="C69" s="383">
        <f t="shared" ca="1" si="10"/>
        <v>198318.6248370785</v>
      </c>
      <c r="D69" s="2"/>
      <c r="E69" s="382" t="str">
        <f t="shared" si="12"/>
        <v/>
      </c>
    </row>
    <row r="70" spans="1:5">
      <c r="A70" s="2" t="s">
        <v>1147</v>
      </c>
      <c r="B70" s="2">
        <v>60</v>
      </c>
      <c r="C70" s="383">
        <f t="shared" ca="1" si="10"/>
        <v>579236.95961890928</v>
      </c>
      <c r="D70" s="2"/>
      <c r="E70" s="382" t="str">
        <f t="shared" si="12"/>
        <v/>
      </c>
    </row>
    <row r="71" spans="1:5">
      <c r="A71" s="2" t="s">
        <v>1146</v>
      </c>
      <c r="B71" s="2">
        <v>61</v>
      </c>
      <c r="C71" s="383">
        <f t="shared" ca="1" si="10"/>
        <v>672738.46464172658</v>
      </c>
      <c r="D71" s="2"/>
      <c r="E71" s="382" t="str">
        <f t="shared" si="12"/>
        <v/>
      </c>
    </row>
    <row r="72" spans="1:5">
      <c r="A72" s="2" t="s">
        <v>1145</v>
      </c>
      <c r="B72" s="2">
        <v>62</v>
      </c>
      <c r="C72" s="383">
        <f t="shared" ca="1" si="10"/>
        <v>520427.01717954036</v>
      </c>
      <c r="D72" s="2"/>
      <c r="E72" s="382" t="str">
        <f t="shared" si="12"/>
        <v/>
      </c>
    </row>
    <row r="73" spans="1:5">
      <c r="A73" s="2" t="s">
        <v>1144</v>
      </c>
      <c r="B73" s="2">
        <v>63</v>
      </c>
      <c r="C73" s="383">
        <f t="shared" ca="1" si="10"/>
        <v>853636.96507089317</v>
      </c>
      <c r="D73" s="2"/>
      <c r="E73" s="382" t="str">
        <f t="shared" si="12"/>
        <v/>
      </c>
    </row>
    <row r="74" spans="1:5">
      <c r="A74" s="2" t="s">
        <v>1143</v>
      </c>
      <c r="B74" s="2">
        <v>64</v>
      </c>
      <c r="C74" s="383">
        <f t="shared" ca="1" si="10"/>
        <v>369130.46319989039</v>
      </c>
      <c r="D74" s="2"/>
      <c r="E74" s="382" t="str">
        <f t="shared" si="12"/>
        <v/>
      </c>
    </row>
    <row r="75" spans="1:5">
      <c r="A75" s="2"/>
      <c r="B75" s="2"/>
      <c r="C75" s="383">
        <f t="shared" ref="C75:C138" ca="1" si="13">999999*RAND()</f>
        <v>462035.64252835332</v>
      </c>
      <c r="D75" s="2"/>
      <c r="E75" s="382" t="str">
        <f t="shared" si="12"/>
        <v/>
      </c>
    </row>
    <row r="76" spans="1:5">
      <c r="A76" s="2"/>
      <c r="B76" s="2"/>
      <c r="C76" s="383">
        <f t="shared" ca="1" si="13"/>
        <v>238052.11955546902</v>
      </c>
      <c r="D76" s="2"/>
      <c r="E76" s="382" t="str">
        <f t="shared" si="12"/>
        <v/>
      </c>
    </row>
    <row r="77" spans="1:5">
      <c r="A77" s="2"/>
      <c r="B77" s="2"/>
      <c r="C77" s="383">
        <f t="shared" ca="1" si="13"/>
        <v>82583.278376722708</v>
      </c>
      <c r="D77" s="2"/>
      <c r="E77" s="382" t="str">
        <f t="shared" si="12"/>
        <v/>
      </c>
    </row>
    <row r="78" spans="1:5">
      <c r="A78" s="2"/>
      <c r="B78" s="2"/>
      <c r="C78" s="383">
        <f t="shared" ca="1" si="13"/>
        <v>335375.04355427227</v>
      </c>
      <c r="D78" s="2"/>
      <c r="E78" s="382" t="str">
        <f t="shared" si="12"/>
        <v/>
      </c>
    </row>
    <row r="79" spans="1:5">
      <c r="A79" s="2"/>
      <c r="B79" s="2"/>
      <c r="C79" s="383">
        <f t="shared" ca="1" si="13"/>
        <v>240056.57507639917</v>
      </c>
      <c r="D79" s="2"/>
      <c r="E79" s="382" t="str">
        <f t="shared" si="12"/>
        <v/>
      </c>
    </row>
    <row r="80" spans="1:5">
      <c r="A80" s="2"/>
      <c r="B80" s="2"/>
      <c r="C80" s="383">
        <f t="shared" ca="1" si="13"/>
        <v>843490.56674935424</v>
      </c>
      <c r="D80" s="2"/>
      <c r="E80" s="382" t="str">
        <f t="shared" si="12"/>
        <v/>
      </c>
    </row>
    <row r="81" spans="1:5">
      <c r="A81" s="2"/>
      <c r="B81" s="2"/>
      <c r="C81" s="383">
        <f t="shared" ca="1" si="13"/>
        <v>200121.29338818384</v>
      </c>
      <c r="D81" s="2"/>
      <c r="E81" s="382" t="str">
        <f t="shared" si="12"/>
        <v/>
      </c>
    </row>
    <row r="82" spans="1:5">
      <c r="A82" s="2"/>
      <c r="B82" s="2"/>
      <c r="C82" s="383">
        <f t="shared" ca="1" si="13"/>
        <v>797366.20681788155</v>
      </c>
      <c r="D82" s="2"/>
      <c r="E82" s="382" t="str">
        <f t="shared" si="12"/>
        <v/>
      </c>
    </row>
    <row r="83" spans="1:5">
      <c r="C83" s="383">
        <f t="shared" ca="1" si="13"/>
        <v>835551.6557868158</v>
      </c>
      <c r="D83" s="2"/>
      <c r="E83" s="382" t="str">
        <f t="shared" si="12"/>
        <v/>
      </c>
    </row>
    <row r="84" spans="1:5">
      <c r="C84" s="383">
        <f t="shared" ca="1" si="13"/>
        <v>831318.4681538674</v>
      </c>
      <c r="D84" s="2"/>
      <c r="E84" s="382" t="str">
        <f t="shared" si="12"/>
        <v/>
      </c>
    </row>
    <row r="85" spans="1:5">
      <c r="C85" s="383">
        <f t="shared" ca="1" si="13"/>
        <v>308926.00975047518</v>
      </c>
      <c r="D85" s="2"/>
      <c r="E85" s="382" t="str">
        <f t="shared" si="12"/>
        <v/>
      </c>
    </row>
    <row r="86" spans="1:5">
      <c r="C86" s="383">
        <f t="shared" ca="1" si="13"/>
        <v>160834.76443724064</v>
      </c>
      <c r="D86" s="2"/>
      <c r="E86" s="382" t="str">
        <f t="shared" si="12"/>
        <v/>
      </c>
    </row>
    <row r="87" spans="1:5">
      <c r="C87" s="383">
        <f t="shared" ca="1" si="13"/>
        <v>149448.01684710506</v>
      </c>
      <c r="D87" s="2"/>
      <c r="E87" s="382" t="str">
        <f t="shared" si="12"/>
        <v/>
      </c>
    </row>
    <row r="88" spans="1:5">
      <c r="C88" s="383">
        <f t="shared" ca="1" si="13"/>
        <v>807793.50274981977</v>
      </c>
      <c r="D88" s="2"/>
      <c r="E88" s="382" t="str">
        <f t="shared" si="12"/>
        <v/>
      </c>
    </row>
    <row r="89" spans="1:5">
      <c r="C89" s="383">
        <f t="shared" ca="1" si="13"/>
        <v>547579.16553409293</v>
      </c>
      <c r="D89" s="2"/>
      <c r="E89" s="382" t="str">
        <f t="shared" si="12"/>
        <v/>
      </c>
    </row>
    <row r="90" spans="1:5">
      <c r="C90" s="383">
        <f t="shared" ca="1" si="13"/>
        <v>59376.331809246127</v>
      </c>
      <c r="D90" s="2"/>
      <c r="E90" s="382" t="str">
        <f t="shared" si="12"/>
        <v/>
      </c>
    </row>
    <row r="91" spans="1:5">
      <c r="C91" s="383">
        <f t="shared" ca="1" si="13"/>
        <v>589704.57921193261</v>
      </c>
      <c r="D91" s="2"/>
      <c r="E91" s="382" t="str">
        <f t="shared" si="12"/>
        <v/>
      </c>
    </row>
    <row r="92" spans="1:5">
      <c r="C92" s="383">
        <f t="shared" ca="1" si="13"/>
        <v>180920.94128086089</v>
      </c>
      <c r="D92" s="2"/>
      <c r="E92" s="382" t="str">
        <f t="shared" si="12"/>
        <v/>
      </c>
    </row>
    <row r="93" spans="1:5">
      <c r="C93" s="383">
        <f t="shared" ca="1" si="13"/>
        <v>665589.68720262242</v>
      </c>
      <c r="D93" s="2"/>
      <c r="E93" s="382" t="str">
        <f t="shared" si="12"/>
        <v/>
      </c>
    </row>
    <row r="94" spans="1:5">
      <c r="C94" s="383">
        <f t="shared" ca="1" si="13"/>
        <v>446829.02971325774</v>
      </c>
      <c r="D94" s="2"/>
      <c r="E94" s="382" t="str">
        <f t="shared" si="12"/>
        <v/>
      </c>
    </row>
    <row r="95" spans="1:5">
      <c r="C95" s="383">
        <f t="shared" ca="1" si="13"/>
        <v>988660.44063848944</v>
      </c>
      <c r="D95" s="2"/>
      <c r="E95" s="382" t="str">
        <f t="shared" si="12"/>
        <v/>
      </c>
    </row>
    <row r="96" spans="1:5">
      <c r="C96" s="383">
        <f t="shared" ca="1" si="13"/>
        <v>42680.570861124594</v>
      </c>
      <c r="D96" s="2"/>
      <c r="E96" s="382" t="str">
        <f t="shared" si="12"/>
        <v/>
      </c>
    </row>
    <row r="97" spans="3:5">
      <c r="C97" s="383">
        <f t="shared" ca="1" si="13"/>
        <v>575823.85848587507</v>
      </c>
      <c r="D97" s="2"/>
      <c r="E97" s="382" t="str">
        <f t="shared" si="12"/>
        <v/>
      </c>
    </row>
    <row r="98" spans="3:5">
      <c r="C98" s="383">
        <f t="shared" ca="1" si="13"/>
        <v>669242.86952432629</v>
      </c>
      <c r="D98" s="2"/>
      <c r="E98" s="382" t="str">
        <f t="shared" si="12"/>
        <v/>
      </c>
    </row>
    <row r="99" spans="3:5">
      <c r="C99" s="383">
        <f t="shared" ca="1" si="13"/>
        <v>682371.35648624168</v>
      </c>
      <c r="D99" s="2"/>
      <c r="E99" s="382" t="str">
        <f t="shared" si="12"/>
        <v/>
      </c>
    </row>
    <row r="100" spans="3:5">
      <c r="C100" s="383">
        <f t="shared" ca="1" si="13"/>
        <v>634207.01860823832</v>
      </c>
      <c r="D100" s="2"/>
      <c r="E100" s="382" t="str">
        <f t="shared" si="12"/>
        <v/>
      </c>
    </row>
    <row r="101" spans="3:5">
      <c r="C101" s="383">
        <f t="shared" ca="1" si="13"/>
        <v>399246.56352498627</v>
      </c>
      <c r="D101" s="2"/>
      <c r="E101" s="382" t="str">
        <f t="shared" si="12"/>
        <v/>
      </c>
    </row>
    <row r="102" spans="3:5">
      <c r="C102" s="383">
        <f t="shared" ca="1" si="13"/>
        <v>481804.97557607311</v>
      </c>
      <c r="D102" s="2"/>
      <c r="E102" s="382" t="str">
        <f t="shared" si="12"/>
        <v/>
      </c>
    </row>
    <row r="103" spans="3:5">
      <c r="C103" s="383">
        <f t="shared" ca="1" si="13"/>
        <v>506384.19516766549</v>
      </c>
      <c r="D103" s="2"/>
      <c r="E103" s="382" t="str">
        <f t="shared" si="12"/>
        <v/>
      </c>
    </row>
    <row r="104" spans="3:5">
      <c r="C104" s="383">
        <f t="shared" ca="1" si="13"/>
        <v>810271.81311819877</v>
      </c>
      <c r="D104" s="2"/>
      <c r="E104" s="382" t="str">
        <f t="shared" si="12"/>
        <v/>
      </c>
    </row>
    <row r="105" spans="3:5">
      <c r="C105" s="383">
        <f t="shared" ca="1" si="13"/>
        <v>598610.16453420266</v>
      </c>
      <c r="D105" s="2"/>
      <c r="E105" s="382" t="str">
        <f t="shared" si="12"/>
        <v/>
      </c>
    </row>
    <row r="106" spans="3:5">
      <c r="C106" s="383">
        <f t="shared" ca="1" si="13"/>
        <v>412000.00905743678</v>
      </c>
      <c r="D106" s="2"/>
      <c r="E106" s="382" t="str">
        <f t="shared" si="12"/>
        <v/>
      </c>
    </row>
    <row r="107" spans="3:5">
      <c r="C107" s="383">
        <f t="shared" ca="1" si="13"/>
        <v>405389.55679789855</v>
      </c>
      <c r="D107" s="2"/>
      <c r="E107" s="382" t="str">
        <f t="shared" ref="E107:E130" si="14">IF(D107+$E$8-1=0,"",D107+$E$8-1)</f>
        <v/>
      </c>
    </row>
    <row r="108" spans="3:5">
      <c r="C108" s="383">
        <f t="shared" ca="1" si="13"/>
        <v>669163.94876135897</v>
      </c>
      <c r="D108" s="2"/>
      <c r="E108" s="382" t="str">
        <f t="shared" si="14"/>
        <v/>
      </c>
    </row>
    <row r="109" spans="3:5">
      <c r="C109" s="383">
        <f t="shared" ca="1" si="13"/>
        <v>991263.57170160464</v>
      </c>
      <c r="D109" s="2"/>
      <c r="E109" s="382" t="str">
        <f t="shared" si="14"/>
        <v/>
      </c>
    </row>
    <row r="110" spans="3:5">
      <c r="C110" s="383">
        <f t="shared" ca="1" si="13"/>
        <v>528934.90149522992</v>
      </c>
      <c r="D110" s="2"/>
      <c r="E110" s="382" t="str">
        <f t="shared" si="14"/>
        <v/>
      </c>
    </row>
    <row r="111" spans="3:5">
      <c r="C111" s="383">
        <f t="shared" ca="1" si="13"/>
        <v>852326.27833466791</v>
      </c>
      <c r="D111" s="2"/>
      <c r="E111" s="382" t="str">
        <f t="shared" si="14"/>
        <v/>
      </c>
    </row>
    <row r="112" spans="3:5">
      <c r="C112" s="383">
        <f t="shared" ca="1" si="13"/>
        <v>605549.46507238131</v>
      </c>
      <c r="D112" s="2"/>
      <c r="E112" s="382" t="str">
        <f t="shared" si="14"/>
        <v/>
      </c>
    </row>
    <row r="113" spans="3:5">
      <c r="C113" s="383">
        <f t="shared" ca="1" si="13"/>
        <v>423535.3993277353</v>
      </c>
      <c r="D113" s="2"/>
      <c r="E113" s="382" t="str">
        <f t="shared" si="14"/>
        <v/>
      </c>
    </row>
    <row r="114" spans="3:5">
      <c r="C114" s="383">
        <f t="shared" ca="1" si="13"/>
        <v>25898.031357350468</v>
      </c>
      <c r="D114" s="2"/>
      <c r="E114" s="382" t="str">
        <f t="shared" si="14"/>
        <v/>
      </c>
    </row>
    <row r="115" spans="3:5">
      <c r="C115" s="383">
        <f t="shared" ca="1" si="13"/>
        <v>847292.46822639648</v>
      </c>
      <c r="D115" s="2"/>
      <c r="E115" s="382" t="str">
        <f t="shared" si="14"/>
        <v/>
      </c>
    </row>
    <row r="116" spans="3:5">
      <c r="C116" s="383">
        <f t="shared" ca="1" si="13"/>
        <v>62860.839067054978</v>
      </c>
      <c r="D116" s="2"/>
      <c r="E116" s="382" t="str">
        <f t="shared" si="14"/>
        <v/>
      </c>
    </row>
    <row r="117" spans="3:5">
      <c r="C117" s="383">
        <f t="shared" ca="1" si="13"/>
        <v>7560.1757681583013</v>
      </c>
      <c r="D117" s="2"/>
      <c r="E117" s="382" t="str">
        <f t="shared" si="14"/>
        <v/>
      </c>
    </row>
    <row r="118" spans="3:5">
      <c r="C118" s="383">
        <f t="shared" ca="1" si="13"/>
        <v>501150.21898914489</v>
      </c>
      <c r="D118" s="2"/>
      <c r="E118" s="382" t="str">
        <f t="shared" si="14"/>
        <v/>
      </c>
    </row>
    <row r="119" spans="3:5">
      <c r="C119" s="383">
        <f t="shared" ca="1" si="13"/>
        <v>842075.7613995045</v>
      </c>
      <c r="D119" s="2"/>
      <c r="E119" s="382" t="str">
        <f t="shared" si="14"/>
        <v/>
      </c>
    </row>
    <row r="120" spans="3:5">
      <c r="C120" s="383">
        <f t="shared" ca="1" si="13"/>
        <v>918096.35317499249</v>
      </c>
      <c r="D120" s="2"/>
      <c r="E120" s="382" t="str">
        <f t="shared" si="14"/>
        <v/>
      </c>
    </row>
    <row r="121" spans="3:5">
      <c r="C121" s="383">
        <f t="shared" ca="1" si="13"/>
        <v>196885.60718572704</v>
      </c>
      <c r="D121" s="2"/>
      <c r="E121" s="382" t="str">
        <f t="shared" si="14"/>
        <v/>
      </c>
    </row>
    <row r="122" spans="3:5">
      <c r="C122" s="383">
        <f t="shared" ca="1" si="13"/>
        <v>630604.11942807247</v>
      </c>
      <c r="D122" s="2"/>
      <c r="E122" s="382" t="str">
        <f t="shared" si="14"/>
        <v/>
      </c>
    </row>
    <row r="123" spans="3:5">
      <c r="C123" s="383">
        <f t="shared" ca="1" si="13"/>
        <v>969185.53037653549</v>
      </c>
      <c r="D123" s="2"/>
      <c r="E123" s="382" t="str">
        <f t="shared" si="14"/>
        <v/>
      </c>
    </row>
    <row r="124" spans="3:5">
      <c r="C124" s="383">
        <f t="shared" ca="1" si="13"/>
        <v>484640.67757550708</v>
      </c>
      <c r="D124" s="2"/>
      <c r="E124" s="382" t="str">
        <f t="shared" si="14"/>
        <v/>
      </c>
    </row>
    <row r="125" spans="3:5">
      <c r="C125" s="383">
        <f t="shared" ca="1" si="13"/>
        <v>782810.00698961085</v>
      </c>
      <c r="D125" s="2"/>
      <c r="E125" s="382" t="str">
        <f t="shared" si="14"/>
        <v/>
      </c>
    </row>
    <row r="126" spans="3:5">
      <c r="C126" s="383">
        <f t="shared" ca="1" si="13"/>
        <v>493630.55232336558</v>
      </c>
      <c r="D126" s="2"/>
      <c r="E126" s="382" t="str">
        <f t="shared" si="14"/>
        <v/>
      </c>
    </row>
    <row r="127" spans="3:5">
      <c r="C127" s="383">
        <f t="shared" ca="1" si="13"/>
        <v>630811.71182214434</v>
      </c>
      <c r="D127" s="2"/>
      <c r="E127" s="382" t="str">
        <f t="shared" si="14"/>
        <v/>
      </c>
    </row>
    <row r="128" spans="3:5">
      <c r="C128" s="383">
        <f t="shared" ca="1" si="13"/>
        <v>400361.94756097591</v>
      </c>
      <c r="D128" s="2"/>
      <c r="E128" s="382" t="str">
        <f t="shared" si="14"/>
        <v/>
      </c>
    </row>
    <row r="129" spans="3:5">
      <c r="C129" s="383">
        <f t="shared" ca="1" si="13"/>
        <v>223015.71089964715</v>
      </c>
      <c r="D129" s="2"/>
      <c r="E129" s="382" t="str">
        <f t="shared" si="14"/>
        <v/>
      </c>
    </row>
    <row r="130" spans="3:5">
      <c r="C130" s="383">
        <f t="shared" ca="1" si="13"/>
        <v>987872.87062302709</v>
      </c>
      <c r="D130" s="2"/>
      <c r="E130" s="382" t="str">
        <f t="shared" si="14"/>
        <v/>
      </c>
    </row>
    <row r="131" spans="3:5">
      <c r="C131" s="383">
        <f t="shared" ca="1" si="13"/>
        <v>720642.36449441453</v>
      </c>
      <c r="D131" s="2"/>
      <c r="E131" s="382" t="str">
        <f t="shared" ref="E131:E194" si="15">IF(D131+$E$8-1=0,"",D131+$E$8-1)</f>
        <v/>
      </c>
    </row>
    <row r="132" spans="3:5">
      <c r="C132" s="383">
        <f t="shared" ca="1" si="13"/>
        <v>484512.20959178254</v>
      </c>
      <c r="D132" s="2"/>
      <c r="E132" s="382" t="str">
        <f t="shared" si="15"/>
        <v/>
      </c>
    </row>
    <row r="133" spans="3:5">
      <c r="C133" s="383">
        <f t="shared" ca="1" si="13"/>
        <v>64213.215845932726</v>
      </c>
      <c r="D133" s="2"/>
      <c r="E133" s="382" t="str">
        <f t="shared" si="15"/>
        <v/>
      </c>
    </row>
    <row r="134" spans="3:5">
      <c r="C134" s="383">
        <f t="shared" ca="1" si="13"/>
        <v>674282.88413383567</v>
      </c>
      <c r="D134" s="2"/>
      <c r="E134" s="382" t="str">
        <f t="shared" si="15"/>
        <v/>
      </c>
    </row>
    <row r="135" spans="3:5">
      <c r="C135" s="383">
        <f t="shared" ca="1" si="13"/>
        <v>373936.79969189013</v>
      </c>
      <c r="D135" s="2"/>
      <c r="E135" s="382" t="str">
        <f t="shared" si="15"/>
        <v/>
      </c>
    </row>
    <row r="136" spans="3:5">
      <c r="C136" s="383">
        <f t="shared" ca="1" si="13"/>
        <v>558328.96044944995</v>
      </c>
      <c r="D136" s="2"/>
      <c r="E136" s="382" t="str">
        <f t="shared" si="15"/>
        <v/>
      </c>
    </row>
    <row r="137" spans="3:5">
      <c r="C137" s="383">
        <f t="shared" ca="1" si="13"/>
        <v>763137.77976587508</v>
      </c>
      <c r="D137" s="2"/>
      <c r="E137" s="382" t="str">
        <f t="shared" si="15"/>
        <v/>
      </c>
    </row>
    <row r="138" spans="3:5">
      <c r="C138" s="383">
        <f t="shared" ca="1" si="13"/>
        <v>957241.20605847274</v>
      </c>
      <c r="D138" s="2"/>
      <c r="E138" s="382" t="str">
        <f t="shared" si="15"/>
        <v/>
      </c>
    </row>
    <row r="139" spans="3:5">
      <c r="C139" s="383">
        <f t="shared" ref="C139:C202" ca="1" si="16">999999*RAND()</f>
        <v>231071.92935507745</v>
      </c>
      <c r="D139" s="2"/>
      <c r="E139" s="382" t="str">
        <f t="shared" si="15"/>
        <v/>
      </c>
    </row>
    <row r="140" spans="3:5">
      <c r="C140" s="383">
        <f t="shared" ca="1" si="16"/>
        <v>699493.10768527165</v>
      </c>
      <c r="D140" s="2"/>
      <c r="E140" s="382" t="str">
        <f t="shared" si="15"/>
        <v/>
      </c>
    </row>
    <row r="141" spans="3:5">
      <c r="C141" s="383">
        <f t="shared" ca="1" si="16"/>
        <v>880465.37469388719</v>
      </c>
      <c r="D141" s="2"/>
      <c r="E141" s="382" t="str">
        <f t="shared" si="15"/>
        <v/>
      </c>
    </row>
    <row r="142" spans="3:5">
      <c r="C142" s="383">
        <f t="shared" ca="1" si="16"/>
        <v>867451.53727081697</v>
      </c>
      <c r="D142" s="2"/>
      <c r="E142" s="382" t="str">
        <f t="shared" si="15"/>
        <v/>
      </c>
    </row>
    <row r="143" spans="3:5">
      <c r="C143" s="383">
        <f t="shared" ca="1" si="16"/>
        <v>554806.14026593301</v>
      </c>
      <c r="D143" s="2"/>
      <c r="E143" s="382" t="str">
        <f t="shared" si="15"/>
        <v/>
      </c>
    </row>
    <row r="144" spans="3:5">
      <c r="C144" s="383">
        <f t="shared" ca="1" si="16"/>
        <v>387269.23344736715</v>
      </c>
      <c r="D144" s="2"/>
      <c r="E144" s="382" t="str">
        <f t="shared" si="15"/>
        <v/>
      </c>
    </row>
    <row r="145" spans="3:5">
      <c r="C145" s="383">
        <f t="shared" ca="1" si="16"/>
        <v>116054.37218374838</v>
      </c>
      <c r="D145" s="2"/>
      <c r="E145" s="382" t="str">
        <f t="shared" si="15"/>
        <v/>
      </c>
    </row>
    <row r="146" spans="3:5">
      <c r="C146" s="383">
        <f t="shared" ca="1" si="16"/>
        <v>284828.09745150286</v>
      </c>
      <c r="D146" s="2"/>
      <c r="E146" s="382" t="str">
        <f t="shared" si="15"/>
        <v/>
      </c>
    </row>
    <row r="147" spans="3:5">
      <c r="C147" s="383">
        <f t="shared" ca="1" si="16"/>
        <v>23821.408560484648</v>
      </c>
      <c r="D147" s="2"/>
      <c r="E147" s="382" t="str">
        <f t="shared" si="15"/>
        <v/>
      </c>
    </row>
    <row r="148" spans="3:5">
      <c r="C148" s="383">
        <f t="shared" ca="1" si="16"/>
        <v>611464.35274184239</v>
      </c>
      <c r="D148" s="2"/>
      <c r="E148" s="382" t="str">
        <f t="shared" si="15"/>
        <v/>
      </c>
    </row>
    <row r="149" spans="3:5">
      <c r="C149" s="383">
        <f t="shared" ca="1" si="16"/>
        <v>132833.88922010126</v>
      </c>
      <c r="D149" s="2"/>
      <c r="E149" s="382" t="str">
        <f t="shared" si="15"/>
        <v/>
      </c>
    </row>
    <row r="150" spans="3:5">
      <c r="C150" s="383">
        <f t="shared" ca="1" si="16"/>
        <v>497901.85024213651</v>
      </c>
      <c r="D150" s="2"/>
      <c r="E150" s="382" t="str">
        <f t="shared" si="15"/>
        <v/>
      </c>
    </row>
    <row r="151" spans="3:5">
      <c r="C151" s="383">
        <f t="shared" ca="1" si="16"/>
        <v>704397.68247018615</v>
      </c>
      <c r="D151" s="2"/>
      <c r="E151" s="382" t="str">
        <f t="shared" si="15"/>
        <v/>
      </c>
    </row>
    <row r="152" spans="3:5">
      <c r="C152" s="383">
        <f t="shared" ca="1" si="16"/>
        <v>105615.54318204435</v>
      </c>
      <c r="D152" s="2"/>
      <c r="E152" s="382" t="str">
        <f t="shared" si="15"/>
        <v/>
      </c>
    </row>
    <row r="153" spans="3:5">
      <c r="C153" s="383">
        <f t="shared" ca="1" si="16"/>
        <v>610924.19865630788</v>
      </c>
      <c r="D153" s="2"/>
      <c r="E153" s="382" t="str">
        <f t="shared" si="15"/>
        <v/>
      </c>
    </row>
    <row r="154" spans="3:5">
      <c r="C154" s="383">
        <f t="shared" ca="1" si="16"/>
        <v>248609.64317918109</v>
      </c>
      <c r="D154" s="2"/>
      <c r="E154" s="382" t="str">
        <f t="shared" si="15"/>
        <v/>
      </c>
    </row>
    <row r="155" spans="3:5">
      <c r="C155" s="383">
        <f t="shared" ca="1" si="16"/>
        <v>235751.6917598568</v>
      </c>
      <c r="D155" s="2"/>
      <c r="E155" s="382" t="str">
        <f t="shared" si="15"/>
        <v/>
      </c>
    </row>
    <row r="156" spans="3:5">
      <c r="C156" s="383">
        <f t="shared" ca="1" si="16"/>
        <v>159795.72816279452</v>
      </c>
      <c r="D156" s="2"/>
      <c r="E156" s="382" t="str">
        <f t="shared" si="15"/>
        <v/>
      </c>
    </row>
    <row r="157" spans="3:5">
      <c r="C157" s="383">
        <f t="shared" ca="1" si="16"/>
        <v>237181.348888115</v>
      </c>
      <c r="D157" s="2"/>
      <c r="E157" s="382" t="str">
        <f t="shared" si="15"/>
        <v/>
      </c>
    </row>
    <row r="158" spans="3:5">
      <c r="C158" s="383">
        <f t="shared" ca="1" si="16"/>
        <v>500459.25847451936</v>
      </c>
      <c r="D158" s="2"/>
      <c r="E158" s="382" t="str">
        <f t="shared" si="15"/>
        <v/>
      </c>
    </row>
    <row r="159" spans="3:5">
      <c r="C159" s="383">
        <f t="shared" ca="1" si="16"/>
        <v>367669.89642381156</v>
      </c>
      <c r="D159" s="2"/>
      <c r="E159" s="382" t="str">
        <f t="shared" si="15"/>
        <v/>
      </c>
    </row>
    <row r="160" spans="3:5">
      <c r="C160" s="383">
        <f t="shared" ca="1" si="16"/>
        <v>384459.97195702611</v>
      </c>
      <c r="D160" s="2"/>
      <c r="E160" s="382" t="str">
        <f t="shared" si="15"/>
        <v/>
      </c>
    </row>
    <row r="161" spans="3:5">
      <c r="C161" s="383">
        <f t="shared" ca="1" si="16"/>
        <v>576889.84698138107</v>
      </c>
      <c r="D161" s="2"/>
      <c r="E161" s="382" t="str">
        <f t="shared" si="15"/>
        <v/>
      </c>
    </row>
    <row r="162" spans="3:5">
      <c r="C162" s="383">
        <f t="shared" ca="1" si="16"/>
        <v>67636.209655267347</v>
      </c>
      <c r="D162" s="2"/>
      <c r="E162" s="382" t="str">
        <f t="shared" si="15"/>
        <v/>
      </c>
    </row>
    <row r="163" spans="3:5">
      <c r="C163" s="383">
        <f t="shared" ca="1" si="16"/>
        <v>729586.90463855246</v>
      </c>
      <c r="D163" s="2"/>
      <c r="E163" s="382" t="str">
        <f t="shared" si="15"/>
        <v/>
      </c>
    </row>
    <row r="164" spans="3:5">
      <c r="C164" s="383">
        <f t="shared" ca="1" si="16"/>
        <v>90622.762446316876</v>
      </c>
      <c r="D164" s="2"/>
      <c r="E164" s="382" t="str">
        <f t="shared" si="15"/>
        <v/>
      </c>
    </row>
    <row r="165" spans="3:5">
      <c r="C165" s="383">
        <f t="shared" ca="1" si="16"/>
        <v>336432.59807350335</v>
      </c>
      <c r="D165" s="2"/>
      <c r="E165" s="382" t="str">
        <f t="shared" si="15"/>
        <v/>
      </c>
    </row>
    <row r="166" spans="3:5">
      <c r="C166" s="383">
        <f t="shared" ca="1" si="16"/>
        <v>749512.20289767813</v>
      </c>
      <c r="D166" s="2"/>
      <c r="E166" s="382" t="str">
        <f t="shared" si="15"/>
        <v/>
      </c>
    </row>
    <row r="167" spans="3:5">
      <c r="C167" s="383">
        <f t="shared" ca="1" si="16"/>
        <v>816699.57684927667</v>
      </c>
      <c r="D167" s="2"/>
      <c r="E167" s="382" t="str">
        <f t="shared" si="15"/>
        <v/>
      </c>
    </row>
    <row r="168" spans="3:5">
      <c r="C168" s="383">
        <f t="shared" ca="1" si="16"/>
        <v>152220.83017317631</v>
      </c>
      <c r="D168" s="2"/>
      <c r="E168" s="382" t="str">
        <f t="shared" si="15"/>
        <v/>
      </c>
    </row>
    <row r="169" spans="3:5">
      <c r="C169" s="383">
        <f t="shared" ca="1" si="16"/>
        <v>767289.20129140373</v>
      </c>
      <c r="D169" s="2"/>
      <c r="E169" s="382" t="str">
        <f t="shared" si="15"/>
        <v/>
      </c>
    </row>
    <row r="170" spans="3:5">
      <c r="C170" s="383">
        <f t="shared" ca="1" si="16"/>
        <v>65630.064914523289</v>
      </c>
      <c r="D170" s="2"/>
      <c r="E170" s="382" t="str">
        <f t="shared" si="15"/>
        <v/>
      </c>
    </row>
    <row r="171" spans="3:5">
      <c r="C171" s="383">
        <f t="shared" ca="1" si="16"/>
        <v>583189.1270700047</v>
      </c>
      <c r="D171" s="2"/>
      <c r="E171" s="382" t="str">
        <f t="shared" si="15"/>
        <v/>
      </c>
    </row>
    <row r="172" spans="3:5">
      <c r="C172" s="383">
        <f t="shared" ca="1" si="16"/>
        <v>518086.43737925141</v>
      </c>
      <c r="D172" s="2"/>
      <c r="E172" s="382" t="str">
        <f t="shared" si="15"/>
        <v/>
      </c>
    </row>
    <row r="173" spans="3:5">
      <c r="C173" s="383">
        <f t="shared" ca="1" si="16"/>
        <v>100351.03474453719</v>
      </c>
      <c r="D173" s="2"/>
      <c r="E173" s="382" t="str">
        <f t="shared" si="15"/>
        <v/>
      </c>
    </row>
    <row r="174" spans="3:5">
      <c r="C174" s="383">
        <f t="shared" ca="1" si="16"/>
        <v>856641.28938470071</v>
      </c>
      <c r="D174" s="2"/>
      <c r="E174" s="382" t="str">
        <f t="shared" si="15"/>
        <v/>
      </c>
    </row>
    <row r="175" spans="3:5">
      <c r="C175" s="383">
        <f t="shared" ca="1" si="16"/>
        <v>316699.86559526622</v>
      </c>
      <c r="D175" s="2"/>
      <c r="E175" s="382" t="str">
        <f t="shared" si="15"/>
        <v/>
      </c>
    </row>
    <row r="176" spans="3:5">
      <c r="C176" s="383">
        <f t="shared" ca="1" si="16"/>
        <v>25792.016013501259</v>
      </c>
      <c r="D176" s="2"/>
      <c r="E176" s="382" t="str">
        <f t="shared" si="15"/>
        <v/>
      </c>
    </row>
    <row r="177" spans="3:5">
      <c r="C177" s="383">
        <f t="shared" ca="1" si="16"/>
        <v>391364.02705718833</v>
      </c>
      <c r="D177" s="2"/>
      <c r="E177" s="382" t="str">
        <f t="shared" si="15"/>
        <v/>
      </c>
    </row>
    <row r="178" spans="3:5">
      <c r="C178" s="383">
        <f t="shared" ca="1" si="16"/>
        <v>200321.99537891729</v>
      </c>
      <c r="D178" s="2"/>
      <c r="E178" s="382" t="str">
        <f t="shared" si="15"/>
        <v/>
      </c>
    </row>
    <row r="179" spans="3:5">
      <c r="C179" s="383">
        <f t="shared" ca="1" si="16"/>
        <v>372047.11078266928</v>
      </c>
      <c r="D179" s="2"/>
      <c r="E179" s="382" t="str">
        <f t="shared" si="15"/>
        <v/>
      </c>
    </row>
    <row r="180" spans="3:5">
      <c r="C180" s="383">
        <f t="shared" ca="1" si="16"/>
        <v>645882.36319596181</v>
      </c>
      <c r="D180" s="2"/>
      <c r="E180" s="382" t="str">
        <f t="shared" si="15"/>
        <v/>
      </c>
    </row>
    <row r="181" spans="3:5">
      <c r="C181" s="383">
        <f t="shared" ca="1" si="16"/>
        <v>905506.65780120704</v>
      </c>
      <c r="D181" s="2"/>
      <c r="E181" s="382" t="str">
        <f t="shared" si="15"/>
        <v/>
      </c>
    </row>
    <row r="182" spans="3:5">
      <c r="C182" s="383">
        <f t="shared" ca="1" si="16"/>
        <v>131201.68640185506</v>
      </c>
      <c r="D182" s="2"/>
      <c r="E182" s="382" t="str">
        <f t="shared" si="15"/>
        <v/>
      </c>
    </row>
    <row r="183" spans="3:5">
      <c r="C183" s="383">
        <f t="shared" ca="1" si="16"/>
        <v>211233.35018462077</v>
      </c>
      <c r="D183" s="2"/>
      <c r="E183" s="382" t="str">
        <f t="shared" si="15"/>
        <v/>
      </c>
    </row>
    <row r="184" spans="3:5">
      <c r="C184" s="383">
        <f t="shared" ca="1" si="16"/>
        <v>557063.74027254665</v>
      </c>
      <c r="D184" s="2"/>
      <c r="E184" s="382" t="str">
        <f t="shared" si="15"/>
        <v/>
      </c>
    </row>
    <row r="185" spans="3:5">
      <c r="C185" s="383">
        <f t="shared" ca="1" si="16"/>
        <v>328505.41928342305</v>
      </c>
      <c r="D185" s="2"/>
      <c r="E185" s="382" t="str">
        <f t="shared" si="15"/>
        <v/>
      </c>
    </row>
    <row r="186" spans="3:5">
      <c r="C186" s="383">
        <f t="shared" ca="1" si="16"/>
        <v>536900.44458427269</v>
      </c>
      <c r="D186" s="2"/>
      <c r="E186" s="382" t="str">
        <f t="shared" si="15"/>
        <v/>
      </c>
    </row>
    <row r="187" spans="3:5">
      <c r="C187" s="383">
        <f t="shared" ca="1" si="16"/>
        <v>612507.80640159291</v>
      </c>
      <c r="D187" s="2"/>
      <c r="E187" s="382" t="str">
        <f t="shared" si="15"/>
        <v/>
      </c>
    </row>
    <row r="188" spans="3:5">
      <c r="C188" s="383">
        <f t="shared" ca="1" si="16"/>
        <v>116805.15085614476</v>
      </c>
      <c r="D188" s="2"/>
      <c r="E188" s="382" t="str">
        <f t="shared" si="15"/>
        <v/>
      </c>
    </row>
    <row r="189" spans="3:5">
      <c r="C189" s="383">
        <f t="shared" ca="1" si="16"/>
        <v>129737.12738733781</v>
      </c>
      <c r="D189" s="2"/>
      <c r="E189" s="382" t="str">
        <f t="shared" si="15"/>
        <v/>
      </c>
    </row>
    <row r="190" spans="3:5">
      <c r="C190" s="383">
        <f t="shared" ca="1" si="16"/>
        <v>56009.437796589082</v>
      </c>
      <c r="D190" s="2"/>
      <c r="E190" s="382" t="str">
        <f t="shared" si="15"/>
        <v/>
      </c>
    </row>
    <row r="191" spans="3:5">
      <c r="C191" s="383">
        <f t="shared" ca="1" si="16"/>
        <v>595405.36175484804</v>
      </c>
      <c r="D191" s="2"/>
      <c r="E191" s="382" t="str">
        <f t="shared" si="15"/>
        <v/>
      </c>
    </row>
    <row r="192" spans="3:5">
      <c r="C192" s="383">
        <f t="shared" ca="1" si="16"/>
        <v>91573.167068579874</v>
      </c>
      <c r="D192" s="2"/>
      <c r="E192" s="382" t="str">
        <f t="shared" si="15"/>
        <v/>
      </c>
    </row>
    <row r="193" spans="3:5">
      <c r="C193" s="383">
        <f t="shared" ca="1" si="16"/>
        <v>860463.46729570767</v>
      </c>
      <c r="D193" s="2"/>
      <c r="E193" s="382" t="str">
        <f t="shared" si="15"/>
        <v/>
      </c>
    </row>
    <row r="194" spans="3:5">
      <c r="C194" s="383">
        <f t="shared" ca="1" si="16"/>
        <v>760505.98478143825</v>
      </c>
      <c r="D194" s="2"/>
      <c r="E194" s="382" t="str">
        <f t="shared" si="15"/>
        <v/>
      </c>
    </row>
    <row r="195" spans="3:5">
      <c r="C195" s="383">
        <f t="shared" ca="1" si="16"/>
        <v>905821.0988170515</v>
      </c>
      <c r="D195" s="2"/>
      <c r="E195" s="382" t="str">
        <f t="shared" ref="E195:E258" si="17">IF(D195+$E$8-1=0,"",D195+$E$8-1)</f>
        <v/>
      </c>
    </row>
    <row r="196" spans="3:5">
      <c r="C196" s="383">
        <f t="shared" ca="1" si="16"/>
        <v>347906.32510327169</v>
      </c>
      <c r="D196" s="2"/>
      <c r="E196" s="382" t="str">
        <f t="shared" si="17"/>
        <v/>
      </c>
    </row>
    <row r="197" spans="3:5">
      <c r="C197" s="383">
        <f t="shared" ca="1" si="16"/>
        <v>565828.52885719587</v>
      </c>
      <c r="D197" s="2"/>
      <c r="E197" s="382" t="str">
        <f t="shared" si="17"/>
        <v/>
      </c>
    </row>
    <row r="198" spans="3:5">
      <c r="C198" s="383">
        <f t="shared" ca="1" si="16"/>
        <v>681053.00242603675</v>
      </c>
      <c r="D198" s="2"/>
      <c r="E198" s="382" t="str">
        <f t="shared" si="17"/>
        <v/>
      </c>
    </row>
    <row r="199" spans="3:5">
      <c r="C199" s="383">
        <f t="shared" ca="1" si="16"/>
        <v>668540.99922999984</v>
      </c>
      <c r="D199" s="2"/>
      <c r="E199" s="382" t="str">
        <f t="shared" si="17"/>
        <v/>
      </c>
    </row>
    <row r="200" spans="3:5">
      <c r="C200" s="383">
        <f t="shared" ca="1" si="16"/>
        <v>20269.983116860967</v>
      </c>
      <c r="D200" s="2"/>
      <c r="E200" s="382" t="str">
        <f t="shared" si="17"/>
        <v/>
      </c>
    </row>
    <row r="201" spans="3:5">
      <c r="C201" s="383">
        <f t="shared" ca="1" si="16"/>
        <v>332865.33822109725</v>
      </c>
      <c r="D201" s="2"/>
      <c r="E201" s="382" t="str">
        <f t="shared" si="17"/>
        <v/>
      </c>
    </row>
    <row r="202" spans="3:5">
      <c r="C202" s="383">
        <f t="shared" ca="1" si="16"/>
        <v>422996.19317228277</v>
      </c>
      <c r="D202" s="2"/>
      <c r="E202" s="382" t="str">
        <f t="shared" si="17"/>
        <v/>
      </c>
    </row>
    <row r="203" spans="3:5">
      <c r="C203" s="383">
        <f t="shared" ref="C203:C267" ca="1" si="18">999999*RAND()</f>
        <v>73982.037543475672</v>
      </c>
      <c r="D203" s="2"/>
      <c r="E203" s="382" t="str">
        <f t="shared" si="17"/>
        <v/>
      </c>
    </row>
    <row r="204" spans="3:5">
      <c r="C204" s="383">
        <f t="shared" ca="1" si="18"/>
        <v>260809.93788243787</v>
      </c>
      <c r="D204" s="2"/>
      <c r="E204" s="382" t="str">
        <f t="shared" si="17"/>
        <v/>
      </c>
    </row>
    <row r="205" spans="3:5">
      <c r="C205" s="383">
        <f t="shared" ca="1" si="18"/>
        <v>34200.238558754834</v>
      </c>
      <c r="D205" s="2"/>
      <c r="E205" s="382" t="str">
        <f t="shared" si="17"/>
        <v/>
      </c>
    </row>
    <row r="206" spans="3:5">
      <c r="C206" s="383">
        <f t="shared" ca="1" si="18"/>
        <v>170676.07754283468</v>
      </c>
      <c r="D206" s="2"/>
      <c r="E206" s="382" t="str">
        <f t="shared" si="17"/>
        <v/>
      </c>
    </row>
    <row r="207" spans="3:5">
      <c r="C207" s="383">
        <f t="shared" ca="1" si="18"/>
        <v>598142.77459573187</v>
      </c>
      <c r="D207" s="2"/>
      <c r="E207" s="382" t="str">
        <f t="shared" si="17"/>
        <v/>
      </c>
    </row>
    <row r="208" spans="3:5">
      <c r="C208" s="383">
        <f t="shared" ca="1" si="18"/>
        <v>884539.54399985971</v>
      </c>
      <c r="D208" s="2"/>
      <c r="E208" s="382" t="str">
        <f t="shared" si="17"/>
        <v/>
      </c>
    </row>
    <row r="209" spans="3:5">
      <c r="C209" s="383">
        <f t="shared" ca="1" si="18"/>
        <v>50115.852528947682</v>
      </c>
      <c r="D209" s="2"/>
      <c r="E209" s="382" t="str">
        <f t="shared" si="17"/>
        <v/>
      </c>
    </row>
    <row r="210" spans="3:5">
      <c r="C210" s="383">
        <f t="shared" ca="1" si="18"/>
        <v>601509.21527116175</v>
      </c>
      <c r="D210" s="2"/>
      <c r="E210" s="382" t="str">
        <f t="shared" si="17"/>
        <v/>
      </c>
    </row>
    <row r="211" spans="3:5">
      <c r="C211" s="383">
        <f t="shared" ca="1" si="18"/>
        <v>705459.77511782432</v>
      </c>
      <c r="D211" s="2"/>
      <c r="E211" s="382" t="str">
        <f t="shared" si="17"/>
        <v/>
      </c>
    </row>
    <row r="212" spans="3:5">
      <c r="C212" s="383">
        <f t="shared" ca="1" si="18"/>
        <v>140662.3441628358</v>
      </c>
      <c r="D212" s="2"/>
      <c r="E212" s="382" t="str">
        <f t="shared" si="17"/>
        <v/>
      </c>
    </row>
    <row r="213" spans="3:5">
      <c r="C213" s="383">
        <f t="shared" ca="1" si="18"/>
        <v>754713.94412479049</v>
      </c>
      <c r="D213" s="2"/>
      <c r="E213" s="382" t="str">
        <f t="shared" si="17"/>
        <v/>
      </c>
    </row>
    <row r="214" spans="3:5">
      <c r="C214" s="383">
        <f t="shared" ca="1" si="18"/>
        <v>86438.142997677962</v>
      </c>
      <c r="D214" s="2"/>
      <c r="E214" s="382" t="str">
        <f t="shared" si="17"/>
        <v/>
      </c>
    </row>
    <row r="215" spans="3:5">
      <c r="C215" s="383">
        <f t="shared" ca="1" si="18"/>
        <v>184592.28904169411</v>
      </c>
      <c r="D215" s="2"/>
      <c r="E215" s="382" t="str">
        <f t="shared" si="17"/>
        <v/>
      </c>
    </row>
    <row r="216" spans="3:5">
      <c r="C216" s="383">
        <f t="shared" ca="1" si="18"/>
        <v>115990.39439105999</v>
      </c>
      <c r="D216" s="2"/>
      <c r="E216" s="382" t="str">
        <f t="shared" si="17"/>
        <v/>
      </c>
    </row>
    <row r="217" spans="3:5">
      <c r="C217" s="383">
        <f t="shared" ca="1" si="18"/>
        <v>986064.26887181646</v>
      </c>
      <c r="D217" s="2"/>
      <c r="E217" s="382" t="str">
        <f t="shared" si="17"/>
        <v/>
      </c>
    </row>
    <row r="218" spans="3:5">
      <c r="C218" s="383">
        <f t="shared" ca="1" si="18"/>
        <v>708312.51235506649</v>
      </c>
      <c r="D218" s="2"/>
      <c r="E218" s="382" t="str">
        <f t="shared" si="17"/>
        <v/>
      </c>
    </row>
    <row r="219" spans="3:5">
      <c r="C219" s="383">
        <f t="shared" ca="1" si="18"/>
        <v>923177.58567340649</v>
      </c>
      <c r="D219" s="2"/>
      <c r="E219" s="382" t="str">
        <f t="shared" si="17"/>
        <v/>
      </c>
    </row>
    <row r="220" spans="3:5">
      <c r="C220" s="383">
        <f t="shared" ca="1" si="18"/>
        <v>275770.05550919037</v>
      </c>
      <c r="D220" s="2"/>
      <c r="E220" s="382" t="str">
        <f t="shared" si="17"/>
        <v/>
      </c>
    </row>
    <row r="221" spans="3:5">
      <c r="C221" s="383">
        <f t="shared" ca="1" si="18"/>
        <v>200003.46676580812</v>
      </c>
      <c r="D221" s="2"/>
      <c r="E221" s="382" t="str">
        <f t="shared" si="17"/>
        <v/>
      </c>
    </row>
    <row r="222" spans="3:5">
      <c r="C222" s="383">
        <f t="shared" ca="1" si="18"/>
        <v>812743.61115285906</v>
      </c>
      <c r="D222" s="2"/>
      <c r="E222" s="382" t="str">
        <f t="shared" si="17"/>
        <v/>
      </c>
    </row>
    <row r="223" spans="3:5">
      <c r="C223" s="383">
        <f t="shared" ca="1" si="18"/>
        <v>977616.88256887114</v>
      </c>
      <c r="D223" s="2"/>
      <c r="E223" s="382" t="str">
        <f t="shared" si="17"/>
        <v/>
      </c>
    </row>
    <row r="224" spans="3:5">
      <c r="C224" s="383">
        <f t="shared" ca="1" si="18"/>
        <v>987746.4864033733</v>
      </c>
      <c r="D224" s="2"/>
      <c r="E224" s="382" t="str">
        <f t="shared" si="17"/>
        <v/>
      </c>
    </row>
    <row r="225" spans="3:5">
      <c r="C225" s="383">
        <f t="shared" ca="1" si="18"/>
        <v>229754.26535716123</v>
      </c>
      <c r="D225" s="2"/>
      <c r="E225" s="382" t="str">
        <f t="shared" si="17"/>
        <v/>
      </c>
    </row>
    <row r="226" spans="3:5">
      <c r="C226" s="383">
        <f t="shared" ca="1" si="18"/>
        <v>895185.8195684033</v>
      </c>
      <c r="D226" s="2"/>
      <c r="E226" s="382" t="str">
        <f t="shared" si="17"/>
        <v/>
      </c>
    </row>
    <row r="227" spans="3:5">
      <c r="C227" s="383">
        <f t="shared" ca="1" si="18"/>
        <v>873236.53673945181</v>
      </c>
      <c r="D227" s="2"/>
      <c r="E227" s="382" t="str">
        <f t="shared" si="17"/>
        <v/>
      </c>
    </row>
    <row r="228" spans="3:5">
      <c r="C228" s="383">
        <f t="shared" ca="1" si="18"/>
        <v>545447.79291540349</v>
      </c>
      <c r="D228" s="2"/>
      <c r="E228" s="382" t="str">
        <f t="shared" si="17"/>
        <v/>
      </c>
    </row>
    <row r="229" spans="3:5">
      <c r="C229" s="383">
        <f t="shared" ca="1" si="18"/>
        <v>923880.46576802153</v>
      </c>
      <c r="D229" s="2"/>
      <c r="E229" s="382" t="str">
        <f t="shared" si="17"/>
        <v/>
      </c>
    </row>
    <row r="230" spans="3:5">
      <c r="C230" s="383">
        <f t="shared" ca="1" si="18"/>
        <v>191668.99757602857</v>
      </c>
      <c r="D230" s="2"/>
      <c r="E230" s="382" t="str">
        <f t="shared" si="17"/>
        <v/>
      </c>
    </row>
    <row r="231" spans="3:5">
      <c r="C231" s="383">
        <f t="shared" ca="1" si="18"/>
        <v>81397.677706529605</v>
      </c>
      <c r="D231" s="2"/>
      <c r="E231" s="382" t="str">
        <f t="shared" si="17"/>
        <v/>
      </c>
    </row>
    <row r="232" spans="3:5">
      <c r="C232" s="383">
        <f t="shared" ca="1" si="18"/>
        <v>59554.159004088331</v>
      </c>
      <c r="D232" s="2"/>
      <c r="E232" s="382" t="str">
        <f t="shared" si="17"/>
        <v/>
      </c>
    </row>
    <row r="233" spans="3:5">
      <c r="C233" s="383">
        <f t="shared" ca="1" si="18"/>
        <v>145234.02500422235</v>
      </c>
      <c r="D233" s="2"/>
      <c r="E233" s="382" t="str">
        <f t="shared" si="17"/>
        <v/>
      </c>
    </row>
    <row r="234" spans="3:5">
      <c r="C234" s="383">
        <f t="shared" ca="1" si="18"/>
        <v>310168.28372858907</v>
      </c>
      <c r="D234" s="2"/>
      <c r="E234" s="382" t="str">
        <f t="shared" si="17"/>
        <v/>
      </c>
    </row>
    <row r="235" spans="3:5">
      <c r="C235" s="383">
        <f t="shared" ca="1" si="18"/>
        <v>922127.78102000349</v>
      </c>
      <c r="D235" s="2"/>
      <c r="E235" s="382" t="str">
        <f t="shared" si="17"/>
        <v/>
      </c>
    </row>
    <row r="236" spans="3:5">
      <c r="C236" s="383">
        <f t="shared" ca="1" si="18"/>
        <v>147239.63016190709</v>
      </c>
      <c r="D236" s="2"/>
      <c r="E236" s="382" t="str">
        <f t="shared" si="17"/>
        <v/>
      </c>
    </row>
    <row r="237" spans="3:5">
      <c r="C237" s="383">
        <f t="shared" ca="1" si="18"/>
        <v>190955.79428270159</v>
      </c>
      <c r="D237" s="2"/>
      <c r="E237" s="382" t="str">
        <f t="shared" si="17"/>
        <v/>
      </c>
    </row>
    <row r="238" spans="3:5">
      <c r="C238" s="383">
        <f t="shared" ca="1" si="18"/>
        <v>418154.10532510094</v>
      </c>
      <c r="D238" s="2"/>
      <c r="E238" s="382" t="str">
        <f t="shared" si="17"/>
        <v/>
      </c>
    </row>
    <row r="239" spans="3:5">
      <c r="C239" s="383">
        <f t="shared" ca="1" si="18"/>
        <v>632993.46790288412</v>
      </c>
      <c r="D239" s="2"/>
      <c r="E239" s="382" t="str">
        <f t="shared" si="17"/>
        <v/>
      </c>
    </row>
    <row r="240" spans="3:5">
      <c r="C240" s="383">
        <f t="shared" ca="1" si="18"/>
        <v>194045.94026730623</v>
      </c>
      <c r="D240" s="2"/>
      <c r="E240" s="382" t="str">
        <f t="shared" si="17"/>
        <v/>
      </c>
    </row>
    <row r="241" spans="3:5">
      <c r="C241" s="383">
        <f t="shared" ca="1" si="18"/>
        <v>486365.00399472448</v>
      </c>
      <c r="D241" s="2"/>
      <c r="E241" s="382" t="str">
        <f t="shared" si="17"/>
        <v/>
      </c>
    </row>
    <row r="242" spans="3:5">
      <c r="C242" s="383">
        <f t="shared" ca="1" si="18"/>
        <v>935064.19670837861</v>
      </c>
      <c r="D242" s="2"/>
      <c r="E242" s="382" t="str">
        <f t="shared" si="17"/>
        <v/>
      </c>
    </row>
    <row r="243" spans="3:5">
      <c r="C243" s="383">
        <f t="shared" ca="1" si="18"/>
        <v>919934.54794989876</v>
      </c>
      <c r="D243" s="2"/>
      <c r="E243" s="382" t="str">
        <f t="shared" si="17"/>
        <v/>
      </c>
    </row>
    <row r="244" spans="3:5">
      <c r="C244" s="383">
        <f t="shared" ca="1" si="18"/>
        <v>105626.34765711251</v>
      </c>
      <c r="D244" s="2"/>
      <c r="E244" s="382" t="str">
        <f t="shared" si="17"/>
        <v/>
      </c>
    </row>
    <row r="245" spans="3:5">
      <c r="C245" s="383">
        <f t="shared" ca="1" si="18"/>
        <v>352949.89968412201</v>
      </c>
      <c r="D245" s="2"/>
      <c r="E245" s="382" t="str">
        <f t="shared" si="17"/>
        <v/>
      </c>
    </row>
    <row r="246" spans="3:5">
      <c r="C246" s="383">
        <f t="shared" ca="1" si="18"/>
        <v>692534.13297514839</v>
      </c>
      <c r="D246" s="2"/>
      <c r="E246" s="382" t="str">
        <f t="shared" si="17"/>
        <v/>
      </c>
    </row>
    <row r="247" spans="3:5">
      <c r="C247" s="383">
        <f t="shared" ca="1" si="18"/>
        <v>678057.47062635957</v>
      </c>
      <c r="D247" s="2"/>
      <c r="E247" s="382" t="str">
        <f t="shared" si="17"/>
        <v/>
      </c>
    </row>
    <row r="248" spans="3:5">
      <c r="C248" s="383">
        <f t="shared" ca="1" si="18"/>
        <v>182983.76972094327</v>
      </c>
      <c r="D248" s="2"/>
      <c r="E248" s="382" t="str">
        <f t="shared" si="17"/>
        <v/>
      </c>
    </row>
    <row r="249" spans="3:5">
      <c r="C249" s="383">
        <f t="shared" ca="1" si="18"/>
        <v>156532.56978907782</v>
      </c>
      <c r="D249" s="2"/>
      <c r="E249" s="382" t="str">
        <f t="shared" si="17"/>
        <v/>
      </c>
    </row>
    <row r="250" spans="3:5">
      <c r="C250" s="383">
        <f t="shared" ca="1" si="18"/>
        <v>651992.64245130564</v>
      </c>
      <c r="D250" s="2"/>
      <c r="E250" s="382" t="str">
        <f t="shared" si="17"/>
        <v/>
      </c>
    </row>
    <row r="251" spans="3:5">
      <c r="C251" s="383">
        <f t="shared" ca="1" si="18"/>
        <v>595360.68994232127</v>
      </c>
      <c r="D251" s="2"/>
      <c r="E251" s="382" t="str">
        <f t="shared" si="17"/>
        <v/>
      </c>
    </row>
    <row r="252" spans="3:5">
      <c r="C252" s="383">
        <f t="shared" ca="1" si="18"/>
        <v>804553.32307219657</v>
      </c>
      <c r="D252" s="2"/>
      <c r="E252" s="382" t="str">
        <f t="shared" si="17"/>
        <v/>
      </c>
    </row>
    <row r="253" spans="3:5">
      <c r="C253" s="383">
        <f t="shared" ca="1" si="18"/>
        <v>133224.0969348432</v>
      </c>
      <c r="D253" s="2"/>
      <c r="E253" s="382" t="str">
        <f t="shared" si="17"/>
        <v/>
      </c>
    </row>
    <row r="254" spans="3:5">
      <c r="C254" s="383">
        <f t="shared" ca="1" si="18"/>
        <v>986843.99831079715</v>
      </c>
      <c r="D254" s="2"/>
      <c r="E254" s="382" t="str">
        <f t="shared" si="17"/>
        <v/>
      </c>
    </row>
    <row r="255" spans="3:5">
      <c r="C255" s="383">
        <f t="shared" ca="1" si="18"/>
        <v>806999.83542290342</v>
      </c>
      <c r="D255" s="2"/>
      <c r="E255" s="382" t="str">
        <f t="shared" si="17"/>
        <v/>
      </c>
    </row>
    <row r="256" spans="3:5">
      <c r="C256" s="383">
        <f t="shared" ca="1" si="18"/>
        <v>652322.41773117497</v>
      </c>
      <c r="D256" s="2"/>
      <c r="E256" s="382" t="str">
        <f t="shared" si="17"/>
        <v/>
      </c>
    </row>
    <row r="257" spans="3:5">
      <c r="C257" s="383">
        <f t="shared" ca="1" si="18"/>
        <v>479530.77210928046</v>
      </c>
      <c r="D257" s="2"/>
      <c r="E257" s="382" t="str">
        <f t="shared" si="17"/>
        <v/>
      </c>
    </row>
    <row r="258" spans="3:5">
      <c r="C258" s="383">
        <f t="shared" ca="1" si="18"/>
        <v>573694.21873975219</v>
      </c>
      <c r="D258" s="2"/>
      <c r="E258" s="382" t="str">
        <f t="shared" si="17"/>
        <v/>
      </c>
    </row>
    <row r="259" spans="3:5">
      <c r="C259" s="383">
        <f t="shared" ca="1" si="18"/>
        <v>568178.18057978246</v>
      </c>
      <c r="D259" s="2"/>
      <c r="E259" s="382" t="str">
        <f t="shared" ref="E259:E266" si="19">IF(D259+$E$8-1=0,"",D259+$E$8-1)</f>
        <v/>
      </c>
    </row>
    <row r="260" spans="3:5">
      <c r="C260" s="383">
        <f t="shared" ca="1" si="18"/>
        <v>715234.69930393796</v>
      </c>
      <c r="D260" s="2"/>
      <c r="E260" s="382" t="str">
        <f t="shared" si="19"/>
        <v/>
      </c>
    </row>
    <row r="261" spans="3:5">
      <c r="C261" s="383">
        <f t="shared" ca="1" si="18"/>
        <v>38936.970670530936</v>
      </c>
      <c r="D261" s="2"/>
      <c r="E261" s="382" t="str">
        <f t="shared" si="19"/>
        <v/>
      </c>
    </row>
    <row r="262" spans="3:5">
      <c r="C262" s="383">
        <f t="shared" ca="1" si="18"/>
        <v>177600.83680560073</v>
      </c>
      <c r="D262" s="2"/>
      <c r="E262" s="382" t="str">
        <f t="shared" si="19"/>
        <v/>
      </c>
    </row>
    <row r="263" spans="3:5">
      <c r="C263" s="383">
        <f t="shared" ca="1" si="18"/>
        <v>316711.55250884057</v>
      </c>
      <c r="D263" s="2"/>
      <c r="E263" s="382" t="str">
        <f t="shared" si="19"/>
        <v/>
      </c>
    </row>
    <row r="264" spans="3:5">
      <c r="C264" s="383">
        <f t="shared" ca="1" si="18"/>
        <v>129437.18314714509</v>
      </c>
      <c r="D264" s="2"/>
      <c r="E264" s="382" t="str">
        <f t="shared" si="19"/>
        <v/>
      </c>
    </row>
    <row r="265" spans="3:5">
      <c r="C265" s="383">
        <f t="shared" ca="1" si="18"/>
        <v>455875.64531890821</v>
      </c>
      <c r="D265" s="2"/>
      <c r="E265" s="382" t="str">
        <f t="shared" si="19"/>
        <v/>
      </c>
    </row>
    <row r="266" spans="3:5">
      <c r="C266" s="383">
        <f t="shared" ca="1" si="18"/>
        <v>887400.20542348397</v>
      </c>
      <c r="D266" s="2"/>
      <c r="E266" s="382" t="str">
        <f t="shared" si="19"/>
        <v/>
      </c>
    </row>
    <row r="267" spans="3:5">
      <c r="C267" s="383">
        <f t="shared" ca="1" si="18"/>
        <v>647421.92267978424</v>
      </c>
      <c r="D267" s="2"/>
      <c r="E267" s="382" t="str">
        <f t="shared" ref="E267:E330" si="20">IF(D267+$E$8-1=0,"",D267+$E$8-1)</f>
        <v/>
      </c>
    </row>
    <row r="268" spans="3:5">
      <c r="C268" s="383">
        <f t="shared" ref="C268:C331" ca="1" si="21">999999*RAND()</f>
        <v>22573.261276511774</v>
      </c>
      <c r="D268" s="2"/>
      <c r="E268" s="382" t="str">
        <f t="shared" si="20"/>
        <v/>
      </c>
    </row>
    <row r="269" spans="3:5">
      <c r="C269" s="383">
        <f t="shared" ca="1" si="21"/>
        <v>908955.32145219448</v>
      </c>
      <c r="D269" s="2"/>
      <c r="E269" s="382" t="str">
        <f t="shared" si="20"/>
        <v/>
      </c>
    </row>
    <row r="270" spans="3:5">
      <c r="C270" s="383">
        <f t="shared" ca="1" si="21"/>
        <v>133292.28793029857</v>
      </c>
      <c r="D270" s="2"/>
      <c r="E270" s="382" t="str">
        <f t="shared" si="20"/>
        <v/>
      </c>
    </row>
    <row r="271" spans="3:5">
      <c r="C271" s="383">
        <f t="shared" ca="1" si="21"/>
        <v>670844.24987614376</v>
      </c>
      <c r="D271" s="2"/>
      <c r="E271" s="382" t="str">
        <f t="shared" si="20"/>
        <v/>
      </c>
    </row>
    <row r="272" spans="3:5">
      <c r="C272" s="383">
        <f t="shared" ca="1" si="21"/>
        <v>604731.67446375801</v>
      </c>
      <c r="D272" s="2"/>
      <c r="E272" s="382" t="str">
        <f t="shared" si="20"/>
        <v/>
      </c>
    </row>
    <row r="273" spans="3:5">
      <c r="C273" s="383">
        <f t="shared" ca="1" si="21"/>
        <v>981030.08071296569</v>
      </c>
      <c r="D273" s="2"/>
      <c r="E273" s="382" t="str">
        <f t="shared" si="20"/>
        <v/>
      </c>
    </row>
    <row r="274" spans="3:5">
      <c r="C274" s="383">
        <f t="shared" ca="1" si="21"/>
        <v>669443.92697383766</v>
      </c>
      <c r="D274" s="2"/>
      <c r="E274" s="382" t="str">
        <f t="shared" si="20"/>
        <v/>
      </c>
    </row>
    <row r="275" spans="3:5">
      <c r="C275" s="383">
        <f t="shared" ca="1" si="21"/>
        <v>906863.82766995172</v>
      </c>
      <c r="D275" s="2"/>
      <c r="E275" s="382" t="str">
        <f t="shared" si="20"/>
        <v/>
      </c>
    </row>
    <row r="276" spans="3:5">
      <c r="C276" s="383">
        <f t="shared" ca="1" si="21"/>
        <v>177220.75279823403</v>
      </c>
      <c r="D276" s="2"/>
      <c r="E276" s="382" t="str">
        <f t="shared" si="20"/>
        <v/>
      </c>
    </row>
    <row r="277" spans="3:5">
      <c r="C277" s="383">
        <f t="shared" ca="1" si="21"/>
        <v>254398.23112667468</v>
      </c>
      <c r="D277" s="2"/>
      <c r="E277" s="382" t="str">
        <f t="shared" si="20"/>
        <v/>
      </c>
    </row>
    <row r="278" spans="3:5">
      <c r="C278" s="383">
        <f t="shared" ca="1" si="21"/>
        <v>171375.57981251978</v>
      </c>
      <c r="D278" s="2"/>
      <c r="E278" s="382" t="str">
        <f t="shared" si="20"/>
        <v/>
      </c>
    </row>
    <row r="279" spans="3:5">
      <c r="C279" s="383">
        <f t="shared" ca="1" si="21"/>
        <v>955981.0847063805</v>
      </c>
      <c r="D279" s="2"/>
      <c r="E279" s="382" t="str">
        <f t="shared" si="20"/>
        <v/>
      </c>
    </row>
    <row r="280" spans="3:5">
      <c r="C280" s="383">
        <f t="shared" ca="1" si="21"/>
        <v>371993.83292497043</v>
      </c>
      <c r="D280" s="2"/>
      <c r="E280" s="382" t="str">
        <f t="shared" si="20"/>
        <v/>
      </c>
    </row>
    <row r="281" spans="3:5">
      <c r="C281" s="383">
        <f t="shared" ca="1" si="21"/>
        <v>900046.61164493917</v>
      </c>
      <c r="D281" s="2"/>
      <c r="E281" s="382" t="str">
        <f t="shared" si="20"/>
        <v/>
      </c>
    </row>
    <row r="282" spans="3:5">
      <c r="C282" s="383">
        <f t="shared" ca="1" si="21"/>
        <v>245551.6280768438</v>
      </c>
      <c r="D282" s="2"/>
      <c r="E282" s="382" t="str">
        <f t="shared" si="20"/>
        <v/>
      </c>
    </row>
    <row r="283" spans="3:5">
      <c r="C283" s="383">
        <f t="shared" ca="1" si="21"/>
        <v>602813.29673189146</v>
      </c>
      <c r="D283" s="2"/>
      <c r="E283" s="382" t="str">
        <f t="shared" si="20"/>
        <v/>
      </c>
    </row>
    <row r="284" spans="3:5">
      <c r="C284" s="383">
        <f t="shared" ca="1" si="21"/>
        <v>684.16049632346324</v>
      </c>
      <c r="D284" s="2"/>
      <c r="E284" s="382" t="str">
        <f t="shared" si="20"/>
        <v/>
      </c>
    </row>
    <row r="285" spans="3:5">
      <c r="C285" s="383">
        <f t="shared" ca="1" si="21"/>
        <v>210417.44527229271</v>
      </c>
      <c r="D285" s="2"/>
      <c r="E285" s="382" t="str">
        <f t="shared" si="20"/>
        <v/>
      </c>
    </row>
    <row r="286" spans="3:5">
      <c r="C286" s="383">
        <f t="shared" ca="1" si="21"/>
        <v>847395.23210896284</v>
      </c>
      <c r="D286" s="2"/>
      <c r="E286" s="382" t="str">
        <f t="shared" si="20"/>
        <v/>
      </c>
    </row>
    <row r="287" spans="3:5">
      <c r="C287" s="383">
        <f t="shared" ca="1" si="21"/>
        <v>505667.04215388914</v>
      </c>
      <c r="D287" s="2"/>
      <c r="E287" s="382" t="str">
        <f t="shared" si="20"/>
        <v/>
      </c>
    </row>
    <row r="288" spans="3:5">
      <c r="C288" s="383">
        <f t="shared" ca="1" si="21"/>
        <v>898079.24036842375</v>
      </c>
      <c r="D288" s="2"/>
      <c r="E288" s="382" t="str">
        <f t="shared" si="20"/>
        <v/>
      </c>
    </row>
    <row r="289" spans="3:5">
      <c r="C289" s="383">
        <f t="shared" ca="1" si="21"/>
        <v>235067.66815830694</v>
      </c>
      <c r="D289" s="2"/>
      <c r="E289" s="382" t="str">
        <f t="shared" si="20"/>
        <v/>
      </c>
    </row>
    <row r="290" spans="3:5">
      <c r="C290" s="383">
        <f t="shared" ca="1" si="21"/>
        <v>719892.11315873242</v>
      </c>
      <c r="D290" s="2"/>
      <c r="E290" s="382" t="str">
        <f t="shared" si="20"/>
        <v/>
      </c>
    </row>
    <row r="291" spans="3:5">
      <c r="C291" s="383">
        <f t="shared" ca="1" si="21"/>
        <v>328334.18032903632</v>
      </c>
      <c r="D291" s="2"/>
      <c r="E291" s="382" t="str">
        <f t="shared" si="20"/>
        <v/>
      </c>
    </row>
    <row r="292" spans="3:5">
      <c r="C292" s="383">
        <f t="shared" ca="1" si="21"/>
        <v>859512.69807985227</v>
      </c>
      <c r="D292" s="2"/>
      <c r="E292" s="382" t="str">
        <f t="shared" si="20"/>
        <v/>
      </c>
    </row>
    <row r="293" spans="3:5">
      <c r="C293" s="383">
        <f t="shared" ca="1" si="21"/>
        <v>350688.20195721393</v>
      </c>
      <c r="D293" s="2"/>
      <c r="E293" s="382" t="str">
        <f t="shared" si="20"/>
        <v/>
      </c>
    </row>
    <row r="294" spans="3:5">
      <c r="C294" s="383">
        <f t="shared" ca="1" si="21"/>
        <v>45563.958971979882</v>
      </c>
      <c r="D294" s="2"/>
      <c r="E294" s="382" t="str">
        <f t="shared" si="20"/>
        <v/>
      </c>
    </row>
    <row r="295" spans="3:5">
      <c r="C295" s="383">
        <f t="shared" ca="1" si="21"/>
        <v>842596.21655161481</v>
      </c>
      <c r="D295" s="2"/>
      <c r="E295" s="382" t="str">
        <f t="shared" si="20"/>
        <v/>
      </c>
    </row>
    <row r="296" spans="3:5">
      <c r="C296" s="383">
        <f t="shared" ca="1" si="21"/>
        <v>871692.3136914419</v>
      </c>
      <c r="D296" s="2"/>
      <c r="E296" s="382" t="str">
        <f t="shared" si="20"/>
        <v/>
      </c>
    </row>
    <row r="297" spans="3:5">
      <c r="C297" s="383">
        <f t="shared" ca="1" si="21"/>
        <v>876289.96053596039</v>
      </c>
      <c r="D297" s="2"/>
      <c r="E297" s="382" t="str">
        <f t="shared" si="20"/>
        <v/>
      </c>
    </row>
    <row r="298" spans="3:5">
      <c r="C298" s="383">
        <f t="shared" ca="1" si="21"/>
        <v>933198.15032199933</v>
      </c>
      <c r="D298" s="2"/>
      <c r="E298" s="382" t="str">
        <f t="shared" si="20"/>
        <v/>
      </c>
    </row>
    <row r="299" spans="3:5">
      <c r="C299" s="383">
        <f t="shared" ca="1" si="21"/>
        <v>284968.17649557383</v>
      </c>
      <c r="D299" s="2"/>
      <c r="E299" s="382" t="str">
        <f t="shared" si="20"/>
        <v/>
      </c>
    </row>
    <row r="300" spans="3:5">
      <c r="C300" s="383">
        <f t="shared" ca="1" si="21"/>
        <v>728564.81717186433</v>
      </c>
      <c r="D300" s="2"/>
      <c r="E300" s="382" t="str">
        <f t="shared" si="20"/>
        <v/>
      </c>
    </row>
    <row r="301" spans="3:5">
      <c r="C301" s="383">
        <f t="shared" ca="1" si="21"/>
        <v>123183.11199748465</v>
      </c>
      <c r="D301" s="2"/>
      <c r="E301" s="382" t="str">
        <f t="shared" si="20"/>
        <v/>
      </c>
    </row>
    <row r="302" spans="3:5">
      <c r="C302" s="383">
        <f t="shared" ca="1" si="21"/>
        <v>489984.11923885019</v>
      </c>
      <c r="D302" s="2"/>
      <c r="E302" s="382" t="str">
        <f t="shared" si="20"/>
        <v/>
      </c>
    </row>
    <row r="303" spans="3:5">
      <c r="C303" s="383">
        <f t="shared" ca="1" si="21"/>
        <v>934769.17668113066</v>
      </c>
      <c r="D303" s="2"/>
      <c r="E303" s="382" t="str">
        <f t="shared" si="20"/>
        <v/>
      </c>
    </row>
    <row r="304" spans="3:5">
      <c r="C304" s="383">
        <f t="shared" ca="1" si="21"/>
        <v>324670.75087893021</v>
      </c>
      <c r="D304" s="2"/>
      <c r="E304" s="382" t="str">
        <f t="shared" si="20"/>
        <v/>
      </c>
    </row>
    <row r="305" spans="3:5">
      <c r="C305" s="383">
        <f t="shared" ca="1" si="21"/>
        <v>936918.66501213145</v>
      </c>
      <c r="D305" s="2"/>
      <c r="E305" s="382" t="str">
        <f t="shared" si="20"/>
        <v/>
      </c>
    </row>
    <row r="306" spans="3:5">
      <c r="C306" s="383">
        <f t="shared" ca="1" si="21"/>
        <v>554861.53817859851</v>
      </c>
      <c r="D306" s="2"/>
      <c r="E306" s="382" t="str">
        <f t="shared" si="20"/>
        <v/>
      </c>
    </row>
    <row r="307" spans="3:5">
      <c r="C307" s="383">
        <f t="shared" ca="1" si="21"/>
        <v>786662.76173098572</v>
      </c>
      <c r="D307" s="2"/>
      <c r="E307" s="382" t="str">
        <f t="shared" si="20"/>
        <v/>
      </c>
    </row>
    <row r="308" spans="3:5">
      <c r="C308" s="383">
        <f t="shared" ca="1" si="21"/>
        <v>893023.47052551096</v>
      </c>
      <c r="D308" s="2"/>
      <c r="E308" s="382" t="str">
        <f t="shared" si="20"/>
        <v/>
      </c>
    </row>
    <row r="309" spans="3:5">
      <c r="C309" s="383">
        <f t="shared" ca="1" si="21"/>
        <v>607458.60558395891</v>
      </c>
      <c r="D309" s="2"/>
      <c r="E309" s="382" t="str">
        <f t="shared" si="20"/>
        <v/>
      </c>
    </row>
    <row r="310" spans="3:5">
      <c r="C310" s="383">
        <f t="shared" ca="1" si="21"/>
        <v>804960.87383527413</v>
      </c>
      <c r="D310" s="2"/>
      <c r="E310" s="382" t="str">
        <f t="shared" si="20"/>
        <v/>
      </c>
    </row>
    <row r="311" spans="3:5">
      <c r="C311" s="383">
        <f t="shared" ca="1" si="21"/>
        <v>225730.19022958513</v>
      </c>
      <c r="D311" s="2"/>
      <c r="E311" s="382" t="str">
        <f t="shared" si="20"/>
        <v/>
      </c>
    </row>
    <row r="312" spans="3:5">
      <c r="C312" s="383">
        <f t="shared" ca="1" si="21"/>
        <v>858487.87597613665</v>
      </c>
      <c r="D312" s="2"/>
      <c r="E312" s="382" t="str">
        <f t="shared" si="20"/>
        <v/>
      </c>
    </row>
    <row r="313" spans="3:5">
      <c r="C313" s="383">
        <f t="shared" ca="1" si="21"/>
        <v>506556.13822781725</v>
      </c>
      <c r="D313" s="2"/>
      <c r="E313" s="382" t="str">
        <f t="shared" si="20"/>
        <v/>
      </c>
    </row>
    <row r="314" spans="3:5">
      <c r="C314" s="383">
        <f t="shared" ca="1" si="21"/>
        <v>742289.89115513035</v>
      </c>
      <c r="D314" s="2"/>
      <c r="E314" s="382" t="str">
        <f t="shared" si="20"/>
        <v/>
      </c>
    </row>
    <row r="315" spans="3:5">
      <c r="C315" s="383">
        <f t="shared" ca="1" si="21"/>
        <v>920289.10710153589</v>
      </c>
      <c r="D315" s="2"/>
      <c r="E315" s="382" t="str">
        <f t="shared" si="20"/>
        <v/>
      </c>
    </row>
    <row r="316" spans="3:5">
      <c r="C316" s="383">
        <f t="shared" ca="1" si="21"/>
        <v>209374.09351312288</v>
      </c>
      <c r="D316" s="2"/>
      <c r="E316" s="382" t="str">
        <f t="shared" si="20"/>
        <v/>
      </c>
    </row>
    <row r="317" spans="3:5">
      <c r="C317" s="383">
        <f t="shared" ca="1" si="21"/>
        <v>934972.79634225008</v>
      </c>
      <c r="D317" s="2"/>
      <c r="E317" s="382" t="str">
        <f t="shared" si="20"/>
        <v/>
      </c>
    </row>
    <row r="318" spans="3:5">
      <c r="C318" s="383">
        <f t="shared" ca="1" si="21"/>
        <v>424807.13904451934</v>
      </c>
      <c r="D318" s="2"/>
      <c r="E318" s="382" t="str">
        <f t="shared" si="20"/>
        <v/>
      </c>
    </row>
    <row r="319" spans="3:5">
      <c r="C319" s="383">
        <f t="shared" ca="1" si="21"/>
        <v>635944.86809034762</v>
      </c>
      <c r="D319" s="2"/>
      <c r="E319" s="382" t="str">
        <f t="shared" si="20"/>
        <v/>
      </c>
    </row>
    <row r="320" spans="3:5">
      <c r="C320" s="383">
        <f t="shared" ca="1" si="21"/>
        <v>49777.099917618623</v>
      </c>
      <c r="D320" s="2"/>
      <c r="E320" s="382" t="str">
        <f t="shared" si="20"/>
        <v/>
      </c>
    </row>
    <row r="321" spans="3:5">
      <c r="C321" s="383">
        <f t="shared" ca="1" si="21"/>
        <v>390747.31561746751</v>
      </c>
      <c r="D321" s="2"/>
      <c r="E321" s="382" t="str">
        <f t="shared" si="20"/>
        <v/>
      </c>
    </row>
    <row r="322" spans="3:5">
      <c r="C322" s="383">
        <f t="shared" ca="1" si="21"/>
        <v>882682.42661686556</v>
      </c>
      <c r="D322" s="2"/>
      <c r="E322" s="382" t="str">
        <f t="shared" si="20"/>
        <v/>
      </c>
    </row>
    <row r="323" spans="3:5">
      <c r="C323" s="383">
        <f t="shared" ca="1" si="21"/>
        <v>561639.26960668748</v>
      </c>
      <c r="D323" s="2"/>
      <c r="E323" s="382" t="str">
        <f t="shared" si="20"/>
        <v/>
      </c>
    </row>
    <row r="324" spans="3:5">
      <c r="C324" s="383">
        <f t="shared" ca="1" si="21"/>
        <v>880412.34508839529</v>
      </c>
      <c r="D324" s="2"/>
      <c r="E324" s="382" t="str">
        <f t="shared" si="20"/>
        <v/>
      </c>
    </row>
    <row r="325" spans="3:5">
      <c r="C325" s="383">
        <f t="shared" ca="1" si="21"/>
        <v>37012.162023998309</v>
      </c>
      <c r="D325" s="2"/>
      <c r="E325" s="382" t="str">
        <f t="shared" si="20"/>
        <v/>
      </c>
    </row>
    <row r="326" spans="3:5">
      <c r="C326" s="383">
        <f t="shared" ca="1" si="21"/>
        <v>196202.46481130208</v>
      </c>
      <c r="D326" s="2"/>
      <c r="E326" s="382" t="str">
        <f t="shared" si="20"/>
        <v/>
      </c>
    </row>
    <row r="327" spans="3:5">
      <c r="C327" s="383">
        <f t="shared" ca="1" si="21"/>
        <v>27501.607483263895</v>
      </c>
      <c r="D327" s="2"/>
      <c r="E327" s="382" t="str">
        <f t="shared" si="20"/>
        <v/>
      </c>
    </row>
    <row r="328" spans="3:5">
      <c r="C328" s="383">
        <f t="shared" ca="1" si="21"/>
        <v>751146.14417424239</v>
      </c>
      <c r="D328" s="2"/>
      <c r="E328" s="382" t="str">
        <f t="shared" si="20"/>
        <v/>
      </c>
    </row>
    <row r="329" spans="3:5">
      <c r="C329" s="383">
        <f t="shared" ca="1" si="21"/>
        <v>223177.75254306287</v>
      </c>
      <c r="D329" s="2"/>
      <c r="E329" s="382" t="str">
        <f t="shared" si="20"/>
        <v/>
      </c>
    </row>
    <row r="330" spans="3:5">
      <c r="C330" s="383">
        <f t="shared" ca="1" si="21"/>
        <v>996841.21533168445</v>
      </c>
      <c r="D330" s="2"/>
      <c r="E330" s="382" t="str">
        <f t="shared" si="20"/>
        <v/>
      </c>
    </row>
    <row r="331" spans="3:5">
      <c r="C331" s="383">
        <f t="shared" ca="1" si="21"/>
        <v>65881.800710757147</v>
      </c>
      <c r="D331" s="2"/>
      <c r="E331" s="382" t="str">
        <f t="shared" ref="E331:E385" si="22">IF(D331+$E$8-1=0,"",D331+$E$8-1)</f>
        <v/>
      </c>
    </row>
    <row r="332" spans="3:5">
      <c r="C332" s="383">
        <f t="shared" ref="C332:C385" ca="1" si="23">999999*RAND()</f>
        <v>829498.4658224067</v>
      </c>
      <c r="D332" s="2"/>
      <c r="E332" s="382" t="str">
        <f t="shared" si="22"/>
        <v/>
      </c>
    </row>
    <row r="333" spans="3:5">
      <c r="C333" s="383">
        <f t="shared" ca="1" si="23"/>
        <v>89140.994986970312</v>
      </c>
      <c r="D333" s="2"/>
      <c r="E333" s="382" t="str">
        <f t="shared" si="22"/>
        <v/>
      </c>
    </row>
    <row r="334" spans="3:5">
      <c r="C334" s="383">
        <f t="shared" ca="1" si="23"/>
        <v>563295.51765853341</v>
      </c>
      <c r="D334" s="2"/>
      <c r="E334" s="382" t="str">
        <f t="shared" si="22"/>
        <v/>
      </c>
    </row>
    <row r="335" spans="3:5">
      <c r="C335" s="383">
        <f t="shared" ca="1" si="23"/>
        <v>77435.295849129951</v>
      </c>
      <c r="D335" s="2"/>
      <c r="E335" s="382" t="str">
        <f t="shared" si="22"/>
        <v/>
      </c>
    </row>
    <row r="336" spans="3:5">
      <c r="C336" s="383">
        <f t="shared" ca="1" si="23"/>
        <v>766816.16544678016</v>
      </c>
      <c r="D336" s="2"/>
      <c r="E336" s="382" t="str">
        <f t="shared" si="22"/>
        <v/>
      </c>
    </row>
    <row r="337" spans="3:5">
      <c r="C337" s="383">
        <f t="shared" ca="1" si="23"/>
        <v>460265.84687614371</v>
      </c>
      <c r="D337" s="2"/>
      <c r="E337" s="382" t="str">
        <f t="shared" si="22"/>
        <v/>
      </c>
    </row>
    <row r="338" spans="3:5">
      <c r="C338" s="383">
        <f t="shared" ca="1" si="23"/>
        <v>176446.08729465524</v>
      </c>
      <c r="D338" s="2"/>
      <c r="E338" s="382" t="str">
        <f t="shared" si="22"/>
        <v/>
      </c>
    </row>
    <row r="339" spans="3:5">
      <c r="C339" s="383">
        <f t="shared" ca="1" si="23"/>
        <v>936165.74066874199</v>
      </c>
      <c r="D339" s="2"/>
      <c r="E339" s="382" t="str">
        <f t="shared" si="22"/>
        <v/>
      </c>
    </row>
    <row r="340" spans="3:5">
      <c r="C340" s="383">
        <f t="shared" ca="1" si="23"/>
        <v>954728.23258526321</v>
      </c>
      <c r="D340" s="2"/>
      <c r="E340" s="382" t="str">
        <f t="shared" si="22"/>
        <v/>
      </c>
    </row>
    <row r="341" spans="3:5">
      <c r="C341" s="383">
        <f t="shared" ca="1" si="23"/>
        <v>371171.67215075588</v>
      </c>
      <c r="D341" s="2"/>
      <c r="E341" s="382" t="str">
        <f t="shared" si="22"/>
        <v/>
      </c>
    </row>
    <row r="342" spans="3:5">
      <c r="C342" s="383">
        <f t="shared" ca="1" si="23"/>
        <v>543728.18566597614</v>
      </c>
      <c r="D342" s="2"/>
      <c r="E342" s="382" t="str">
        <f t="shared" si="22"/>
        <v/>
      </c>
    </row>
    <row r="343" spans="3:5">
      <c r="C343" s="383">
        <f t="shared" ca="1" si="23"/>
        <v>750782.26501254062</v>
      </c>
      <c r="D343" s="2"/>
      <c r="E343" s="382" t="str">
        <f t="shared" si="22"/>
        <v/>
      </c>
    </row>
    <row r="344" spans="3:5">
      <c r="C344" s="383">
        <f t="shared" ca="1" si="23"/>
        <v>178436.95001342104</v>
      </c>
      <c r="D344" s="2"/>
      <c r="E344" s="382" t="str">
        <f t="shared" si="22"/>
        <v/>
      </c>
    </row>
    <row r="345" spans="3:5">
      <c r="C345" s="383">
        <f t="shared" ca="1" si="23"/>
        <v>996264.5558587272</v>
      </c>
      <c r="D345" s="2"/>
      <c r="E345" s="382" t="str">
        <f t="shared" si="22"/>
        <v/>
      </c>
    </row>
    <row r="346" spans="3:5">
      <c r="C346" s="383">
        <f t="shared" ca="1" si="23"/>
        <v>181509.57910706062</v>
      </c>
      <c r="D346" s="2"/>
      <c r="E346" s="382" t="str">
        <f t="shared" si="22"/>
        <v/>
      </c>
    </row>
    <row r="347" spans="3:5">
      <c r="C347" s="383">
        <f t="shared" ca="1" si="23"/>
        <v>576063.98239523871</v>
      </c>
      <c r="D347" s="2"/>
      <c r="E347" s="382" t="str">
        <f t="shared" si="22"/>
        <v/>
      </c>
    </row>
    <row r="348" spans="3:5">
      <c r="C348" s="383">
        <f t="shared" ca="1" si="23"/>
        <v>988083.90399360936</v>
      </c>
      <c r="D348" s="2"/>
      <c r="E348" s="382" t="str">
        <f t="shared" si="22"/>
        <v/>
      </c>
    </row>
    <row r="349" spans="3:5">
      <c r="C349" s="383">
        <f t="shared" ca="1" si="23"/>
        <v>710470.3741755411</v>
      </c>
      <c r="D349" s="2"/>
      <c r="E349" s="382" t="str">
        <f t="shared" si="22"/>
        <v/>
      </c>
    </row>
    <row r="350" spans="3:5">
      <c r="C350" s="383">
        <f t="shared" ca="1" si="23"/>
        <v>13003.585813576237</v>
      </c>
      <c r="D350" s="2"/>
      <c r="E350" s="382" t="str">
        <f t="shared" si="22"/>
        <v/>
      </c>
    </row>
    <row r="351" spans="3:5">
      <c r="C351" s="383">
        <f t="shared" ca="1" si="23"/>
        <v>690813.16262981202</v>
      </c>
      <c r="D351" s="2"/>
      <c r="E351" s="382" t="str">
        <f t="shared" si="22"/>
        <v/>
      </c>
    </row>
    <row r="352" spans="3:5">
      <c r="C352" s="383">
        <f t="shared" ca="1" si="23"/>
        <v>300593.23880613717</v>
      </c>
      <c r="D352" s="2"/>
      <c r="E352" s="382" t="str">
        <f t="shared" si="22"/>
        <v/>
      </c>
    </row>
    <row r="353" spans="3:5">
      <c r="C353" s="383">
        <f t="shared" ca="1" si="23"/>
        <v>832751.86142639082</v>
      </c>
      <c r="D353" s="2"/>
      <c r="E353" s="382" t="str">
        <f t="shared" si="22"/>
        <v/>
      </c>
    </row>
    <row r="354" spans="3:5">
      <c r="C354" s="383">
        <f t="shared" ca="1" si="23"/>
        <v>864520.11179121607</v>
      </c>
      <c r="D354" s="2"/>
      <c r="E354" s="382" t="str">
        <f t="shared" si="22"/>
        <v/>
      </c>
    </row>
    <row r="355" spans="3:5">
      <c r="C355" s="383">
        <f t="shared" ca="1" si="23"/>
        <v>971548.20124439558</v>
      </c>
      <c r="D355" s="2"/>
      <c r="E355" s="382" t="str">
        <f t="shared" si="22"/>
        <v/>
      </c>
    </row>
    <row r="356" spans="3:5">
      <c r="C356" s="383">
        <f t="shared" ca="1" si="23"/>
        <v>230559.26687513955</v>
      </c>
      <c r="D356" s="2"/>
      <c r="E356" s="382" t="str">
        <f t="shared" si="22"/>
        <v/>
      </c>
    </row>
    <row r="357" spans="3:5">
      <c r="C357" s="383">
        <f t="shared" ca="1" si="23"/>
        <v>969571.81641159882</v>
      </c>
      <c r="D357" s="2"/>
      <c r="E357" s="382" t="str">
        <f t="shared" si="22"/>
        <v/>
      </c>
    </row>
    <row r="358" spans="3:5">
      <c r="C358" s="383">
        <f t="shared" ca="1" si="23"/>
        <v>281636.05241843179</v>
      </c>
      <c r="D358" s="2"/>
      <c r="E358" s="382" t="str">
        <f t="shared" si="22"/>
        <v/>
      </c>
    </row>
    <row r="359" spans="3:5">
      <c r="C359" s="383">
        <f t="shared" ca="1" si="23"/>
        <v>669330.48290249042</v>
      </c>
      <c r="D359" s="2"/>
      <c r="E359" s="382" t="str">
        <f t="shared" si="22"/>
        <v/>
      </c>
    </row>
    <row r="360" spans="3:5">
      <c r="C360" s="383">
        <f t="shared" ca="1" si="23"/>
        <v>770610.18630588881</v>
      </c>
      <c r="D360" s="2"/>
      <c r="E360" s="382" t="str">
        <f t="shared" si="22"/>
        <v/>
      </c>
    </row>
    <row r="361" spans="3:5">
      <c r="C361" s="383">
        <f t="shared" ca="1" si="23"/>
        <v>279146.81868871057</v>
      </c>
      <c r="D361" s="2"/>
      <c r="E361" s="382" t="str">
        <f t="shared" si="22"/>
        <v/>
      </c>
    </row>
    <row r="362" spans="3:5">
      <c r="C362" s="383">
        <f t="shared" ca="1" si="23"/>
        <v>250426.70354673389</v>
      </c>
      <c r="D362" s="2"/>
      <c r="E362" s="382" t="str">
        <f t="shared" si="22"/>
        <v/>
      </c>
    </row>
    <row r="363" spans="3:5">
      <c r="C363" s="383">
        <f t="shared" ca="1" si="23"/>
        <v>258571.97847555194</v>
      </c>
      <c r="D363" s="2"/>
      <c r="E363" s="382" t="str">
        <f t="shared" si="22"/>
        <v/>
      </c>
    </row>
    <row r="364" spans="3:5">
      <c r="C364" s="383">
        <f t="shared" ca="1" si="23"/>
        <v>322971.04390586563</v>
      </c>
      <c r="D364" s="2"/>
      <c r="E364" s="382" t="str">
        <f t="shared" si="22"/>
        <v/>
      </c>
    </row>
    <row r="365" spans="3:5">
      <c r="C365" s="383">
        <f t="shared" ca="1" si="23"/>
        <v>133454.59224609993</v>
      </c>
      <c r="D365" s="2"/>
      <c r="E365" s="382" t="str">
        <f t="shared" si="22"/>
        <v/>
      </c>
    </row>
    <row r="366" spans="3:5">
      <c r="C366" s="383">
        <f t="shared" ca="1" si="23"/>
        <v>289289.61141072132</v>
      </c>
      <c r="D366" s="2"/>
      <c r="E366" s="382" t="str">
        <f t="shared" si="22"/>
        <v/>
      </c>
    </row>
    <row r="367" spans="3:5">
      <c r="C367" s="383">
        <f t="shared" ca="1" si="23"/>
        <v>922069.51234087651</v>
      </c>
      <c r="D367" s="2"/>
      <c r="E367" s="382" t="str">
        <f t="shared" si="22"/>
        <v/>
      </c>
    </row>
    <row r="368" spans="3:5">
      <c r="C368" s="383">
        <f t="shared" ca="1" si="23"/>
        <v>449300.7627741716</v>
      </c>
      <c r="D368" s="2"/>
      <c r="E368" s="382" t="str">
        <f t="shared" si="22"/>
        <v/>
      </c>
    </row>
    <row r="369" spans="3:5">
      <c r="C369" s="383">
        <f t="shared" ca="1" si="23"/>
        <v>578083.87496700068</v>
      </c>
      <c r="D369" s="2"/>
      <c r="E369" s="382" t="str">
        <f t="shared" si="22"/>
        <v/>
      </c>
    </row>
    <row r="370" spans="3:5">
      <c r="C370" s="383">
        <f t="shared" ca="1" si="23"/>
        <v>928864.12155729637</v>
      </c>
      <c r="D370" s="2"/>
      <c r="E370" s="382" t="str">
        <f t="shared" si="22"/>
        <v/>
      </c>
    </row>
    <row r="371" spans="3:5">
      <c r="C371" s="383">
        <f t="shared" ca="1" si="23"/>
        <v>331048.03872904339</v>
      </c>
      <c r="D371" s="2"/>
      <c r="E371" s="382" t="str">
        <f t="shared" si="22"/>
        <v/>
      </c>
    </row>
    <row r="372" spans="3:5">
      <c r="C372" s="383">
        <f t="shared" ca="1" si="23"/>
        <v>165728.56637222564</v>
      </c>
      <c r="D372" s="2"/>
      <c r="E372" s="382" t="str">
        <f t="shared" si="22"/>
        <v/>
      </c>
    </row>
    <row r="373" spans="3:5">
      <c r="C373" s="383">
        <f t="shared" ca="1" si="23"/>
        <v>64632.747540668759</v>
      </c>
      <c r="D373" s="2"/>
      <c r="E373" s="382" t="str">
        <f t="shared" si="22"/>
        <v/>
      </c>
    </row>
    <row r="374" spans="3:5">
      <c r="C374" s="383">
        <f t="shared" ca="1" si="23"/>
        <v>277178.64481924172</v>
      </c>
      <c r="D374" s="2"/>
      <c r="E374" s="382" t="str">
        <f t="shared" si="22"/>
        <v/>
      </c>
    </row>
    <row r="375" spans="3:5">
      <c r="C375" s="383">
        <f t="shared" ca="1" si="23"/>
        <v>98312.428712206121</v>
      </c>
      <c r="D375" s="2"/>
      <c r="E375" s="382" t="str">
        <f t="shared" si="22"/>
        <v/>
      </c>
    </row>
    <row r="376" spans="3:5">
      <c r="C376" s="383">
        <f t="shared" ca="1" si="23"/>
        <v>87609.225653813555</v>
      </c>
      <c r="D376" s="2"/>
      <c r="E376" s="382" t="str">
        <f t="shared" si="22"/>
        <v/>
      </c>
    </row>
    <row r="377" spans="3:5">
      <c r="C377" s="383">
        <f t="shared" ca="1" si="23"/>
        <v>322162.06598114036</v>
      </c>
      <c r="D377" s="2"/>
      <c r="E377" s="382" t="str">
        <f t="shared" si="22"/>
        <v/>
      </c>
    </row>
    <row r="378" spans="3:5">
      <c r="C378" s="383">
        <f t="shared" ca="1" si="23"/>
        <v>323266.02607362921</v>
      </c>
      <c r="D378" s="2"/>
      <c r="E378" s="382" t="str">
        <f t="shared" si="22"/>
        <v/>
      </c>
    </row>
    <row r="379" spans="3:5">
      <c r="C379" s="383">
        <f t="shared" ca="1" si="23"/>
        <v>969597.5718990115</v>
      </c>
      <c r="D379" s="2"/>
      <c r="E379" s="382" t="str">
        <f t="shared" si="22"/>
        <v/>
      </c>
    </row>
    <row r="380" spans="3:5">
      <c r="C380" s="383">
        <f t="shared" ca="1" si="23"/>
        <v>314557.40844748891</v>
      </c>
      <c r="D380" s="2"/>
      <c r="E380" s="382" t="str">
        <f t="shared" si="22"/>
        <v/>
      </c>
    </row>
    <row r="381" spans="3:5">
      <c r="C381" s="383">
        <f t="shared" ca="1" si="23"/>
        <v>745092.85479959368</v>
      </c>
      <c r="D381" s="2"/>
      <c r="E381" s="382" t="str">
        <f t="shared" si="22"/>
        <v/>
      </c>
    </row>
    <row r="382" spans="3:5">
      <c r="C382" s="383">
        <f t="shared" ca="1" si="23"/>
        <v>630294.01789133879</v>
      </c>
      <c r="D382" s="2"/>
      <c r="E382" s="382" t="str">
        <f t="shared" si="22"/>
        <v/>
      </c>
    </row>
    <row r="383" spans="3:5">
      <c r="C383" s="383">
        <f t="shared" ca="1" si="23"/>
        <v>419368.70811238285</v>
      </c>
      <c r="D383" s="2"/>
      <c r="E383" s="382" t="str">
        <f t="shared" si="22"/>
        <v/>
      </c>
    </row>
    <row r="384" spans="3:5">
      <c r="C384" s="383">
        <f t="shared" ca="1" si="23"/>
        <v>182401.39495582323</v>
      </c>
      <c r="D384" s="2"/>
      <c r="E384" s="382" t="str">
        <f t="shared" si="22"/>
        <v/>
      </c>
    </row>
    <row r="385" spans="3:5">
      <c r="C385" s="383">
        <f t="shared" ca="1" si="23"/>
        <v>883736.12373075762</v>
      </c>
      <c r="D385" s="2"/>
      <c r="E385" s="382" t="str">
        <f t="shared" si="22"/>
        <v/>
      </c>
    </row>
  </sheetData>
  <sheetCalcPr fullCalcOnLoad="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sheetPr codeName="List96"/>
  <dimension ref="A1:AR305"/>
  <sheetViews>
    <sheetView topLeftCell="Q115" zoomScaleNormal="100" workbookViewId="0">
      <selection activeCell="X11" sqref="X11"/>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8.9" customHeight="1" thickBot="1">
      <c r="A3" s="29"/>
      <c r="B3" s="33"/>
      <c r="C3" s="259"/>
      <c r="D3" s="384" t="s">
        <v>447</v>
      </c>
      <c r="E3" s="387" t="str">
        <f ca="1">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 ca="1">VLOOKUP(C4,Postupy!$A$3:$C$258,3,0)</f>
        <v>A1</v>
      </c>
      <c r="B4" s="182"/>
      <c r="C4" s="109">
        <v>1</v>
      </c>
      <c r="D4" s="110" t="str">
        <f ca="1">VLOOKUP(C4,Postupy!$A$3:$B$258,2,0)</f>
        <v>1 Carreau Brno - Michálek Ivo</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 ca="1">VLOOKUP(C5,Postupy!$A$3:$C$258,3,0)</f>
        <v/>
      </c>
      <c r="B5" s="182"/>
      <c r="C5" s="111">
        <v>128</v>
      </c>
      <c r="D5" s="112" t="str">
        <f ca="1">VLOOKUP(C5,Postupy!$A$3:$B$258,2,0)</f>
        <v xml:space="preserve"> - </v>
      </c>
      <c r="E5" s="157"/>
      <c r="F5" s="186"/>
      <c r="G5" s="187"/>
      <c r="H5" s="384" t="s">
        <v>447</v>
      </c>
      <c r="I5" s="387" t="str">
        <f ca="1">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129</v>
      </c>
      <c r="D6" s="191"/>
      <c r="E6" s="386"/>
      <c r="F6" s="192"/>
      <c r="G6" s="109">
        <v>1</v>
      </c>
      <c r="H6" s="110" t="str">
        <f ca="1">IF(OR(TRIM(D4)="-",TRIM(D5)="-"), IF(TRIM(D4)="-",D5,D4),IF(AND(E4="",E5="")," ",IF(N(E4)=N(E5)," ",IF(N(E4)&gt;N(E5),D4,D5))))</f>
        <v>1 Carreau Brno - Michálek Ivo</v>
      </c>
      <c r="I6" s="156">
        <v>13</v>
      </c>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 ca="1">IF(OR(TRIM(D8)="-",TRIM(D9)="-"),"",VLOOKUP(MIN(C8,C9),Hřiště!$B$11:$E$266,4,0))</f>
        <v/>
      </c>
      <c r="F7" s="385"/>
      <c r="G7" s="111">
        <v>64</v>
      </c>
      <c r="H7" s="112" t="str">
        <f ca="1">IF(OR(TRIM(D8)="-",TRIM(D9)="-"), IF(TRIM(D8)="-",D9,D8),IF(AND(E8="",E9="")," ",IF(N(E8)=N(E9)," ",IF(N(E8)&gt;N(E9),D8,D9))))</f>
        <v>22 UBU Únětice - Fuksa Petr</v>
      </c>
      <c r="I7" s="157">
        <v>3</v>
      </c>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 ca="1">VLOOKUP(C8,Postupy!$A$3:$C$258,3,0)</f>
        <v>V2</v>
      </c>
      <c r="B8" s="182"/>
      <c r="C8" s="109">
        <v>65</v>
      </c>
      <c r="D8" s="110" t="str">
        <f ca="1">VLOOKUP(C8,Postupy!$A$3:$B$258,2,0)</f>
        <v>22 UBU Únětice - Fuksa Petr</v>
      </c>
      <c r="E8" s="156">
        <v>13</v>
      </c>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 ca="1">VLOOKUP(C9,Postupy!$A$3:$C$258,3,0)</f>
        <v>W2</v>
      </c>
      <c r="B9" s="182"/>
      <c r="C9" s="111">
        <v>64</v>
      </c>
      <c r="D9" s="112" t="str">
        <f ca="1">VLOOKUP(C9,Postupy!$A$3:$B$258,2,0)</f>
        <v>109 JAPKO - Stejskal Petr</v>
      </c>
      <c r="E9" s="157">
        <v>7</v>
      </c>
      <c r="F9" s="185"/>
      <c r="G9" s="184"/>
      <c r="H9" s="201"/>
      <c r="I9" s="235"/>
      <c r="J9" s="193"/>
      <c r="K9" s="187"/>
      <c r="L9" s="384" t="s">
        <v>447</v>
      </c>
      <c r="M9" s="387" t="str">
        <f ca="1">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129</v>
      </c>
      <c r="D10" s="191"/>
      <c r="E10" s="231"/>
      <c r="F10" s="349">
        <f>C6+C10</f>
        <v>258</v>
      </c>
      <c r="G10" s="184"/>
      <c r="H10" s="204"/>
      <c r="I10" s="234"/>
      <c r="J10" s="184"/>
      <c r="K10" s="109">
        <v>1</v>
      </c>
      <c r="L10" s="110" t="str">
        <f ca="1">IF(OR(TRIM(H6)="-",TRIM(H7)="-"), IF(TRIM(H6)="-",H7,H6),IF(AND(I6="",I7="")," ",IF(N(I6)=N(I7)," ",IF(N(I6)&gt;N(I7),H6,H7))))</f>
        <v>1 Carreau Brno - Michálek Ivo</v>
      </c>
      <c r="M10" s="156">
        <v>11</v>
      </c>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 ca="1">IF(OR(TRIM(D12)="-",TRIM(D13)="-"),"",VLOOKUP(MIN(C12,C13),Hřiště!$B$11:$E$266,4,0))</f>
        <v/>
      </c>
      <c r="F11" s="184"/>
      <c r="G11" s="184"/>
      <c r="H11" s="204"/>
      <c r="I11" s="234"/>
      <c r="J11" s="184"/>
      <c r="K11" s="111">
        <v>32</v>
      </c>
      <c r="L11" s="112" t="str">
        <f ca="1">IF(OR(TRIM(H14)="-",TRIM(H15)="-"), IF(TRIM(H14)="-",H15,H14),IF(AND(I14="",I15="")," ",IF(N(I14)=N(I15)," ",IF(N(I14)&gt;N(I15),H14,H15))))</f>
        <v>33 1. KPK Vrchlabí - Brázda Vladimír</v>
      </c>
      <c r="M11" s="157">
        <v>13</v>
      </c>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 ca="1">VLOOKUP(C12,Postupy!$A$3:$C$258,3,0)</f>
        <v>AG1</v>
      </c>
      <c r="B12" s="182"/>
      <c r="C12" s="109">
        <v>33</v>
      </c>
      <c r="D12" s="110" t="str">
        <f ca="1">VLOOKUP(C12,Postupy!$A$3:$B$258,2,0)</f>
        <v>33 1. KPK Vrchlabí - Brázda Vladimír</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 ca="1">VLOOKUP(C13,Postupy!$A$3:$C$258,3,0)</f>
        <v/>
      </c>
      <c r="B13" s="182"/>
      <c r="C13" s="111">
        <v>96</v>
      </c>
      <c r="D13" s="112" t="str">
        <f ca="1">VLOOKUP(C13,Postupy!$A$3:$B$258,2,0)</f>
        <v xml:space="preserve"> - </v>
      </c>
      <c r="E13" s="157"/>
      <c r="F13" s="207" t="s">
        <v>119</v>
      </c>
      <c r="G13" s="187"/>
      <c r="H13" s="384" t="s">
        <v>447</v>
      </c>
      <c r="I13" s="387" t="str">
        <f ca="1">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129</v>
      </c>
      <c r="D14" s="191"/>
      <c r="E14" s="231"/>
      <c r="F14" s="192"/>
      <c r="G14" s="109">
        <v>33</v>
      </c>
      <c r="H14" s="110" t="str">
        <f ca="1">IF(OR(TRIM(D12)="-",TRIM(D13)="-"), IF(TRIM(D12)="-",D13,D12),IF(AND(E12="",E13="")," ",IF(N(E12)=N(E13)," ",IF(N(E12)&gt;N(E13),D12,D13))))</f>
        <v>33 1. KPK Vrchlabí - Brázda Vladimír</v>
      </c>
      <c r="I14" s="156">
        <v>13</v>
      </c>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 ca="1">IF(OR(TRIM(D16)="-",TRIM(D17)="-"),"",VLOOKUP(MIN(C16,C17),Hřiště!$B$11:$E$266,4,0))</f>
        <v/>
      </c>
      <c r="F15" s="203"/>
      <c r="G15" s="111">
        <v>32</v>
      </c>
      <c r="H15" s="112" t="str">
        <f ca="1">IF(OR(TRIM(D16)="-",TRIM(D17)="-"), IF(TRIM(D16)="-",D17,D16),IF(AND(E16="",E17="")," ",IF(N(E16)=N(E17)," ",IF(N(E16)&gt;N(E17),D16,D17))))</f>
        <v>32 Club Rodamiento - Kamaryt Josef</v>
      </c>
      <c r="I15" s="157">
        <v>12</v>
      </c>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 ca="1">VLOOKUP(C16,Postupy!$A$3:$C$258,3,0)</f>
        <v/>
      </c>
      <c r="B16" s="182"/>
      <c r="C16" s="109">
        <v>97</v>
      </c>
      <c r="D16" s="110" t="str">
        <f ca="1">VLOOKUP(C16,Postupy!$A$3:$B$258,2,0)</f>
        <v xml:space="preserve"> -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 ca="1">VLOOKUP(C17,Postupy!$A$3:$C$258,3,0)</f>
        <v>AF1</v>
      </c>
      <c r="B17" s="182"/>
      <c r="C17" s="111">
        <v>32</v>
      </c>
      <c r="D17" s="112" t="str">
        <f ca="1">VLOOKUP(C17,Postupy!$A$3:$B$258,2,0)</f>
        <v>32 Club Rodamiento - Kamaryt Josef</v>
      </c>
      <c r="E17" s="157"/>
      <c r="F17" s="209"/>
      <c r="G17" s="184"/>
      <c r="H17" s="201"/>
      <c r="I17" s="234"/>
      <c r="J17" s="184"/>
      <c r="K17" s="184"/>
      <c r="L17" s="210"/>
      <c r="M17" s="235"/>
      <c r="N17" s="193"/>
      <c r="O17" s="187"/>
      <c r="P17" s="384" t="s">
        <v>447</v>
      </c>
      <c r="Q17" s="387" t="str">
        <f ca="1">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129</v>
      </c>
      <c r="D18" s="191"/>
      <c r="E18" s="231"/>
      <c r="F18" s="349">
        <f>C14+C18</f>
        <v>258</v>
      </c>
      <c r="G18" s="184"/>
      <c r="H18" s="204"/>
      <c r="I18" s="234"/>
      <c r="J18" s="184"/>
      <c r="K18" s="184"/>
      <c r="L18" s="211"/>
      <c r="M18" s="235"/>
      <c r="N18" s="193"/>
      <c r="O18" s="109">
        <v>1</v>
      </c>
      <c r="P18" s="110" t="str">
        <f ca="1">IF(OR(TRIM(L10)="-",TRIM(L11)="-"), IF(TRIM(L10)="-",L11,L10),IF(AND(M10="",M11="")," ",IF(N(M10)=N(M11)," ",IF(N(M10)&gt;N(M11),L10,L11))))</f>
        <v>33 1. KPK Vrchlabí - Brázda Vladimír</v>
      </c>
      <c r="Q18" s="156">
        <v>13</v>
      </c>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 ca="1">IF(OR(TRIM(D20)="-",TRIM(D21)="-"),"",VLOOKUP(MIN(C20,C21),Hřiště!$B$11:$E$266,4,0))</f>
        <v/>
      </c>
      <c r="F19" s="184"/>
      <c r="G19" s="184"/>
      <c r="H19" s="204"/>
      <c r="I19" s="234"/>
      <c r="J19" s="184"/>
      <c r="K19" s="184"/>
      <c r="L19" s="211"/>
      <c r="M19" s="235"/>
      <c r="N19" s="192"/>
      <c r="O19" s="111">
        <v>16</v>
      </c>
      <c r="P19" s="112" t="str">
        <f ca="1">IF(OR(TRIM(L26)="-",TRIM(L27)="-"),IF(TRIM(L26)="-",L27,L26),IF(AND(M26="",M27="")," ",IF(N(M26)=N(M27)," ",IF(N(M26)&gt;N(M27),L26,L27))))</f>
        <v>135 VARAN - Tintěrová Kateřina</v>
      </c>
      <c r="Q19" s="157">
        <v>11</v>
      </c>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 ca="1">VLOOKUP(C20,Postupy!$A$3:$C$258,3,0)</f>
        <v>Q1</v>
      </c>
      <c r="B20" s="182"/>
      <c r="C20" s="109">
        <v>17</v>
      </c>
      <c r="D20" s="110" t="str">
        <f ca="1">VLOOKUP(C20,Postupy!$A$3:$B$258,2,0)</f>
        <v>70 Orel Řečkovice - Hanák Pavel</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 ca="1">VLOOKUP(C21,Postupy!$A$3:$C$258,3,0)</f>
        <v/>
      </c>
      <c r="B21" s="182"/>
      <c r="C21" s="111">
        <v>112</v>
      </c>
      <c r="D21" s="112" t="str">
        <f ca="1">VLOOKUP(C21,Postupy!$A$3:$B$258,2,0)</f>
        <v xml:space="preserve"> - </v>
      </c>
      <c r="E21" s="157"/>
      <c r="F21" s="213"/>
      <c r="G21" s="187"/>
      <c r="H21" s="384" t="s">
        <v>447</v>
      </c>
      <c r="I21" s="387" t="str">
        <f ca="1">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129</v>
      </c>
      <c r="D22" s="191"/>
      <c r="E22" s="231"/>
      <c r="F22" s="192"/>
      <c r="G22" s="109">
        <v>17</v>
      </c>
      <c r="H22" s="110" t="str">
        <f ca="1">IF(OR(TRIM(D20)="-",TRIM(D21)="-"), IF(TRIM(D20)="-",D21,D20),IF(AND(E20="",E21="")," ",IF(N(E20)=N(E21)," ",IF(N(E20)&gt;N(E21),D20,D21))))</f>
        <v>70 Orel Řečkovice - Hanák Pavel</v>
      </c>
      <c r="I22" s="156">
        <v>13</v>
      </c>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 ca="1">IF(OR(TRIM(D24)="-",TRIM(D25)="-"),"",VLOOKUP(MIN(C24,C25),Hřiště!$B$11:$E$266,4,0))</f>
        <v/>
      </c>
      <c r="F23" s="192"/>
      <c r="G23" s="111">
        <v>48</v>
      </c>
      <c r="H23" s="112" t="str">
        <f ca="1">IF(OR(TRIM(D24)="-",TRIM(D25)="-"), IF(TRIM(D24)="-",D25,D24),IF(AND(E24="",E25="")," ",IF(N(E24)=N(E25)," ",IF(N(E24)&gt;N(E25),D24,D25))))</f>
        <v>92 PAK Albrechtice - Žiak Radomír</v>
      </c>
      <c r="I23" s="157">
        <v>11</v>
      </c>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 ca="1">VLOOKUP(C24,Postupy!$A$3:$C$258,3,0)</f>
        <v>F2</v>
      </c>
      <c r="B24" s="182"/>
      <c r="C24" s="109">
        <v>81</v>
      </c>
      <c r="D24" s="110" t="str">
        <f ca="1">VLOOKUP(C24,Postupy!$A$3:$B$258,2,0)</f>
        <v>92 PAK Albrechtice - Žiak Radomír</v>
      </c>
      <c r="E24" s="156">
        <v>13</v>
      </c>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 ca="1">VLOOKUP(C25,Postupy!$A$3:$C$258,3,0)</f>
        <v>AM2</v>
      </c>
      <c r="B25" s="182"/>
      <c r="C25" s="111">
        <v>48</v>
      </c>
      <c r="D25" s="112" t="str">
        <f ca="1">VLOOKUP(C25,Postupy!$A$3:$B$258,2,0)</f>
        <v>39 FRAPECO - Felčárek Jaroslav</v>
      </c>
      <c r="E25" s="157">
        <v>9</v>
      </c>
      <c r="F25" s="185"/>
      <c r="G25" s="184"/>
      <c r="H25" s="201"/>
      <c r="I25" s="235"/>
      <c r="J25" s="193"/>
      <c r="K25" s="187"/>
      <c r="L25" s="384" t="s">
        <v>447</v>
      </c>
      <c r="M25" s="387" t="str">
        <f ca="1">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129</v>
      </c>
      <c r="D26" s="191"/>
      <c r="E26" s="231"/>
      <c r="F26" s="349">
        <f>C22+C26</f>
        <v>258</v>
      </c>
      <c r="G26" s="184"/>
      <c r="H26" s="204"/>
      <c r="I26" s="234"/>
      <c r="J26" s="184"/>
      <c r="K26" s="109">
        <v>17</v>
      </c>
      <c r="L26" s="110" t="str">
        <f ca="1">IF(OR(TRIM(H22)="-",TRIM(H23)="-"), IF(TRIM(H22)="-",H23,H22),IF(AND(I22="",I23="")," ",IF(N(I22)=N(I23)," ",IF(N(I22)&gt;N(I23),H22,H23))))</f>
        <v>70 Orel Řečkovice - Hanák Pavel</v>
      </c>
      <c r="M26" s="156">
        <v>4</v>
      </c>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 ca="1">IF(OR(TRIM(D28)="-",TRIM(D29)="-"),"",VLOOKUP(MIN(C28,C29),Hřiště!$B$11:$E$266,4,0))</f>
        <v/>
      </c>
      <c r="F27" s="184"/>
      <c r="G27" s="184"/>
      <c r="H27" s="204"/>
      <c r="I27" s="234"/>
      <c r="J27" s="184"/>
      <c r="K27" s="111">
        <v>16</v>
      </c>
      <c r="L27" s="112" t="str">
        <f ca="1">IF(OR(TRIM(H30)="-",TRIM(H31)="-"), IF(TRIM(H30)="-",H31,H30),IF(AND(I30="",I31="")," ",IF(N(I30)=N(I31)," ",IF(N(I30)&gt;N(I31),H30,H31))))</f>
        <v>135 VARAN - Tintěrová Kateřina</v>
      </c>
      <c r="M27" s="157">
        <v>13</v>
      </c>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 ca="1">VLOOKUP(C28,Postupy!$A$3:$C$258,3,0)</f>
        <v>AL2</v>
      </c>
      <c r="B28" s="182"/>
      <c r="C28" s="109">
        <v>49</v>
      </c>
      <c r="D28" s="110" t="str">
        <f ca="1">VLOOKUP(C28,Postupy!$A$3:$B$258,2,0)</f>
        <v>135 VARAN - Tintěrová Kateřina</v>
      </c>
      <c r="E28" s="156">
        <v>13</v>
      </c>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 ca="1">VLOOKUP(C29,Postupy!$A$3:$C$258,3,0)</f>
        <v>G2</v>
      </c>
      <c r="B29" s="182"/>
      <c r="C29" s="111">
        <v>80</v>
      </c>
      <c r="D29" s="112" t="str">
        <f ca="1">VLOOKUP(C29,Postupy!$A$3:$B$258,2,0)</f>
        <v>93 1. KPK Vrchlabí - Bucek Zdeněk</v>
      </c>
      <c r="E29" s="157">
        <v>8</v>
      </c>
      <c r="F29" s="207" t="s">
        <v>119</v>
      </c>
      <c r="G29" s="187"/>
      <c r="H29" s="384" t="s">
        <v>447</v>
      </c>
      <c r="I29" s="387" t="str">
        <f ca="1">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129</v>
      </c>
      <c r="D30" s="191"/>
      <c r="E30" s="231"/>
      <c r="F30" s="23"/>
      <c r="G30" s="109">
        <v>49</v>
      </c>
      <c r="H30" s="110" t="str">
        <f ca="1">IF(OR(TRIM(D28)="-",TRIM(D29)="-"), IF(TRIM(D28)="-",D29,D28),IF(AND(E28="",E29="")," ",IF(N(E28)=N(E29)," ",IF(N(E28)&gt;N(E29),D28,D29))))</f>
        <v>135 VARAN - Tintěrová Kateřina</v>
      </c>
      <c r="I30" s="156">
        <v>13</v>
      </c>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 ca="1">IF(OR(TRIM(D32)="-",TRIM(D33)="-"),"",VLOOKUP(MIN(C32,C33),Hřiště!$B$11:$E$266,4,0))</f>
        <v/>
      </c>
      <c r="F31" s="203"/>
      <c r="G31" s="111">
        <v>16</v>
      </c>
      <c r="H31" s="112" t="str">
        <f ca="1">IF(OR(TRIM(D32)="-",TRIM(D33)="-"), IF(TRIM(D32)="-",D33,D32),IF(AND(E32="",E33="")," ",IF(N(E32)=N(E33)," ",IF(N(E32)&gt;N(E33),D32,D33))))</f>
        <v>71 Bowle 09 Klatovy - Hulec Zdeněk</v>
      </c>
      <c r="I31" s="157">
        <v>5</v>
      </c>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 ca="1">VLOOKUP(C32,Postupy!$A$3:$C$258,3,0)</f>
        <v/>
      </c>
      <c r="B32" s="182"/>
      <c r="C32" s="109">
        <v>113</v>
      </c>
      <c r="D32" s="110" t="str">
        <f ca="1">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 ca="1">VLOOKUP(C33,Postupy!$A$3:$C$258,3,0)</f>
        <v>P1</v>
      </c>
      <c r="B33" s="182"/>
      <c r="C33" s="111">
        <v>16</v>
      </c>
      <c r="D33" s="112" t="str">
        <f ca="1">VLOOKUP(C33,Postupy!$A$3:$B$258,2,0)</f>
        <v>71 Bowle 09 Klatovy - Hulec Zdeněk</v>
      </c>
      <c r="E33" s="157"/>
      <c r="F33" s="209"/>
      <c r="G33" s="184"/>
      <c r="H33" s="201"/>
      <c r="I33" s="234"/>
      <c r="J33" s="184"/>
      <c r="K33" s="184"/>
      <c r="L33" s="210"/>
      <c r="M33" s="234"/>
      <c r="N33" s="184"/>
      <c r="O33" s="184"/>
      <c r="P33" s="211"/>
      <c r="Q33" s="235"/>
      <c r="R33" s="193"/>
      <c r="S33" s="187"/>
      <c r="T33" s="384" t="s">
        <v>447</v>
      </c>
      <c r="U33" s="387" t="str">
        <f ca="1">IF(OR(TRIM(T34)="-",TRIM(T35)="-"),"",VLOOKUP(MIN(S34,S35),Hřiště!$B$11:$E$266,4,0))</f>
        <v/>
      </c>
      <c r="V33" s="184"/>
      <c r="W33" s="184"/>
      <c r="X33" s="17"/>
      <c r="Y33" s="17"/>
      <c r="Z33" s="17"/>
      <c r="AA33" s="17"/>
      <c r="AB33" s="17"/>
      <c r="AC33" s="17"/>
      <c r="AD33" s="17"/>
      <c r="AE33" s="17"/>
      <c r="AF33" s="17"/>
      <c r="AG33" s="17"/>
      <c r="AH33" s="17"/>
      <c r="AI33" s="17"/>
      <c r="AJ33" s="17"/>
    </row>
    <row r="34" spans="1:36" ht="19.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 ca="1">IF(OR(TRIM(P18)="-",TRIM(P19)="-"), IF(TRIM(P18)="-",P19,P18),IF(AND(Q18="",Q19="")," ",IF(N(Q18)=N(Q19)," ",IF(N(Q18)&gt;N(Q19),P18,P19))))</f>
        <v>33 1. KPK Vrchlabí - Brázda Vladimír</v>
      </c>
      <c r="U34" s="156">
        <v>13</v>
      </c>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 ca="1">IF(OR(TRIM(D36)="-",TRIM(D37)="-"),"",VLOOKUP(MIN(C36,C37),Hřiště!$B$11:$E$266,4,0))</f>
        <v/>
      </c>
      <c r="F35" s="23"/>
      <c r="G35" s="184"/>
      <c r="H35" s="204"/>
      <c r="I35" s="234"/>
      <c r="J35" s="184"/>
      <c r="K35" s="184"/>
      <c r="L35" s="217"/>
      <c r="M35" s="234"/>
      <c r="N35" s="184"/>
      <c r="O35" s="184"/>
      <c r="P35" s="217"/>
      <c r="Q35" s="234"/>
      <c r="R35" s="184"/>
      <c r="S35" s="111">
        <v>8</v>
      </c>
      <c r="T35" s="112" t="str">
        <f ca="1">IF(OR(TRIM(P50)="-",TRIM(P51)="-"), IF(TRIM(P50)="-",P51,P50),IF(AND(Q50="",Q51="")," ",IF(N(Q50)=N(Q51)," ",IF(N(Q50)&gt;N(Q51),P50,P51))))</f>
        <v>9 VARAN - Valenz Lukáš</v>
      </c>
      <c r="U35" s="157">
        <v>5</v>
      </c>
      <c r="V35" s="186"/>
      <c r="W35" s="212"/>
      <c r="X35" s="17"/>
      <c r="Y35" s="17"/>
      <c r="Z35" s="17"/>
      <c r="AA35" s="17"/>
      <c r="AB35" s="17"/>
      <c r="AC35" s="17"/>
      <c r="AD35" s="17"/>
      <c r="AE35" s="17"/>
      <c r="AF35" s="17"/>
      <c r="AG35" s="17"/>
      <c r="AH35" s="17"/>
      <c r="AI35" s="17"/>
      <c r="AJ35" s="17"/>
    </row>
    <row r="36" spans="1:36" ht="19.5" thickTop="1" thickBot="1">
      <c r="A36" s="117" t="str">
        <f ca="1">VLOOKUP(C36,Postupy!$A$3:$C$258,3,0)</f>
        <v>I1</v>
      </c>
      <c r="B36" s="182"/>
      <c r="C36" s="109">
        <v>9</v>
      </c>
      <c r="D36" s="110" t="str">
        <f ca="1">VLOOKUP(C36,Postupy!$A$3:$B$258,2,0)</f>
        <v>9 VARAN - Valenz Lukáš</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 ca="1">VLOOKUP(C37,Postupy!$A$3:$C$258,3,0)</f>
        <v/>
      </c>
      <c r="B37" s="182"/>
      <c r="C37" s="111">
        <v>120</v>
      </c>
      <c r="D37" s="112" t="str">
        <f ca="1">VLOOKUP(C37,Postupy!$A$3:$B$258,2,0)</f>
        <v xml:space="preserve"> - </v>
      </c>
      <c r="E37" s="157"/>
      <c r="F37" s="213"/>
      <c r="G37" s="187"/>
      <c r="H37" s="384" t="s">
        <v>447</v>
      </c>
      <c r="I37" s="387" t="str">
        <f ca="1">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129</v>
      </c>
      <c r="D38" s="191"/>
      <c r="E38" s="231"/>
      <c r="F38" s="192"/>
      <c r="G38" s="109">
        <v>9</v>
      </c>
      <c r="H38" s="110" t="str">
        <f ca="1">IF(OR(TRIM(D36)="-",TRIM(D37)="-"), IF(TRIM(D36)="-",D37,D36),IF(AND(E36="",E37="")," ",IF(N(E36)=N(E37)," ",IF(N(E36)&gt;N(E37),D36,D37))))</f>
        <v>9 VARAN - Valenz Lukáš</v>
      </c>
      <c r="I38" s="156">
        <v>13</v>
      </c>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 ca="1">IF(OR(TRIM(D40)="-",TRIM(D41)="-"),"",VLOOKUP(MIN(C40,C41),Hřiště!$B$11:$E$266,4,0))</f>
        <v/>
      </c>
      <c r="F39" s="192"/>
      <c r="G39" s="111">
        <v>56</v>
      </c>
      <c r="H39" s="112" t="str">
        <f ca="1">IF(OR(TRIM(D40)="-",TRIM(D41)="-"), IF(TRIM(D40)="-",D41,D40),IF(AND(E40="",E41="")," ",IF(N(E40)=N(E41)," ",IF(N(E40)&gt;N(E41),D40,D41))))</f>
        <v>100 1. Starobrněnský PK - Blažejová Eva</v>
      </c>
      <c r="I39" s="157">
        <v>6</v>
      </c>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 ca="1">VLOOKUP(C40,Postupy!$A$3:$C$258,3,0)</f>
        <v>N2</v>
      </c>
      <c r="B40" s="182"/>
      <c r="C40" s="109">
        <v>73</v>
      </c>
      <c r="D40" s="110" t="str">
        <f ca="1">VLOOKUP(C40,Postupy!$A$3:$B$258,2,0)</f>
        <v>100 1. Starobrněnský PK - Blažejová Eva</v>
      </c>
      <c r="E40" s="156">
        <v>13</v>
      </c>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 ca="1">VLOOKUP(C41,Postupy!$A$3:$C$258,3,0)</f>
        <v>AE2</v>
      </c>
      <c r="B41" s="182"/>
      <c r="C41" s="111">
        <v>56</v>
      </c>
      <c r="D41" s="112" t="str">
        <f ca="1">VLOOKUP(C41,Postupy!$A$3:$B$258,2,0)</f>
        <v>56 SK Pétanque Řepy - Hladík Jaroslav</v>
      </c>
      <c r="E41" s="157">
        <v>12</v>
      </c>
      <c r="F41" s="185"/>
      <c r="G41" s="184"/>
      <c r="H41" s="201"/>
      <c r="I41" s="235"/>
      <c r="J41" s="193"/>
      <c r="K41" s="187"/>
      <c r="L41" s="384" t="s">
        <v>447</v>
      </c>
      <c r="M41" s="387" t="str">
        <f ca="1">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129</v>
      </c>
      <c r="D42" s="191"/>
      <c r="E42" s="231"/>
      <c r="F42" s="349">
        <f>C38+C42</f>
        <v>258</v>
      </c>
      <c r="G42" s="184"/>
      <c r="H42" s="204"/>
      <c r="I42" s="234"/>
      <c r="J42" s="184"/>
      <c r="K42" s="109">
        <v>9</v>
      </c>
      <c r="L42" s="110" t="str">
        <f ca="1">IF(OR(TRIM(H38)="-",TRIM(H39)="-"), IF(TRIM(H38)="-",H39,H38),IF(AND(I38="",I39="")," ",IF(N(I38)=N(I39)," ",IF(N(I38)&gt;N(I39),H38,H39))))</f>
        <v>9 VARAN - Valenz Lukáš</v>
      </c>
      <c r="M42" s="156">
        <v>13</v>
      </c>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 ca="1">IF(OR(TRIM(D44)="-",TRIM(D45)="-"),"",VLOOKUP(MIN(C44,C45),Hřiště!$B$11:$E$266,4,0))</f>
        <v/>
      </c>
      <c r="F43" s="184"/>
      <c r="G43" s="184"/>
      <c r="H43" s="204"/>
      <c r="I43" s="234"/>
      <c r="J43" s="184"/>
      <c r="K43" s="111">
        <v>24</v>
      </c>
      <c r="L43" s="112" t="str">
        <f ca="1">IF(OR(TRIM(H46)="-",TRIM(H47)="-"), IF(TRIM(H46)="-",H47,H46),IF(AND(I46="",I47="")," ",IF(N(I46)=N(I47)," ",IF(N(I46)&gt;N(I47),H46,H47))))</f>
        <v>110 PK Polouvsí - Valošková Sára</v>
      </c>
      <c r="M43" s="157">
        <v>3</v>
      </c>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 ca="1">VLOOKUP(C44,Postupy!$A$3:$C$258,3,0)</f>
        <v>AO1</v>
      </c>
      <c r="B44" s="182"/>
      <c r="C44" s="109">
        <v>41</v>
      </c>
      <c r="D44" s="110" t="str">
        <f ca="1">VLOOKUP(C44,Postupy!$A$3:$B$258,2,0)</f>
        <v>41 SKP Kulová osma - Pilát Petr</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 ca="1">VLOOKUP(C45,Postupy!$A$3:$C$258,3,0)</f>
        <v/>
      </c>
      <c r="B45" s="182"/>
      <c r="C45" s="111">
        <v>88</v>
      </c>
      <c r="D45" s="112" t="str">
        <f ca="1">VLOOKUP(C45,Postupy!$A$3:$B$258,2,0)</f>
        <v xml:space="preserve"> - </v>
      </c>
      <c r="E45" s="157"/>
      <c r="F45" s="207" t="s">
        <v>119</v>
      </c>
      <c r="G45" s="187"/>
      <c r="H45" s="384" t="s">
        <v>447</v>
      </c>
      <c r="I45" s="387" t="str">
        <f ca="1">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129</v>
      </c>
      <c r="D46" s="191"/>
      <c r="E46" s="231"/>
      <c r="F46" s="192"/>
      <c r="G46" s="109">
        <v>41</v>
      </c>
      <c r="H46" s="110" t="str">
        <f ca="1">IF(OR(TRIM(D44)="-",TRIM(D45)="-"), IF(TRIM(D44)="-",D45,D44),IF(AND(E44="",E45="")," ",IF(N(E44)=N(E45)," ",IF(N(E44)&gt;N(E45),D44,D45))))</f>
        <v>41 SKP Kulová osma - Pilát Petr</v>
      </c>
      <c r="I46" s="156">
        <v>9</v>
      </c>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 ca="1">IF(OR(TRIM(D48)="-",TRIM(D49)="-"),"",VLOOKUP(MIN(C48,C49),Hřiště!$B$11:$E$266,4,0))</f>
        <v/>
      </c>
      <c r="F47" s="203"/>
      <c r="G47" s="111">
        <v>24</v>
      </c>
      <c r="H47" s="112" t="str">
        <f ca="1">IF(OR(TRIM(D48)="-",TRIM(D49)="-"), IF(TRIM(D48)="-",D49,D48),IF(AND(E48="",E49="")," ",IF(N(E48)=N(E49)," ",IF(N(E48)&gt;N(E49),D48,D49))))</f>
        <v>110 PK Polouvsí - Valošková Sára</v>
      </c>
      <c r="I47" s="157">
        <v>13</v>
      </c>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 ca="1">VLOOKUP(C48,Postupy!$A$3:$C$258,3,0)</f>
        <v/>
      </c>
      <c r="B48" s="182"/>
      <c r="C48" s="109">
        <v>105</v>
      </c>
      <c r="D48" s="110" t="str">
        <f ca="1">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 ca="1">VLOOKUP(C49,Postupy!$A$3:$C$258,3,0)</f>
        <v>X1</v>
      </c>
      <c r="B49" s="182"/>
      <c r="C49" s="111">
        <v>24</v>
      </c>
      <c r="D49" s="112" t="str">
        <f ca="1">VLOOKUP(C49,Postupy!$A$3:$B$258,2,0)</f>
        <v>110 PK Polouvsí - Valošková Sára</v>
      </c>
      <c r="E49" s="157"/>
      <c r="F49" s="209"/>
      <c r="G49" s="184"/>
      <c r="H49" s="201"/>
      <c r="I49" s="234"/>
      <c r="J49" s="184"/>
      <c r="K49" s="184"/>
      <c r="L49" s="210"/>
      <c r="M49" s="235"/>
      <c r="N49" s="193"/>
      <c r="O49" s="187"/>
      <c r="P49" s="384" t="s">
        <v>447</v>
      </c>
      <c r="Q49" s="387" t="str">
        <f ca="1">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129</v>
      </c>
      <c r="D50" s="191"/>
      <c r="E50" s="231"/>
      <c r="F50" s="349">
        <f>C46+C50</f>
        <v>258</v>
      </c>
      <c r="G50" s="184"/>
      <c r="H50" s="204"/>
      <c r="I50" s="234"/>
      <c r="J50" s="184"/>
      <c r="K50" s="184"/>
      <c r="L50" s="211"/>
      <c r="M50" s="235"/>
      <c r="N50" s="193"/>
      <c r="O50" s="109">
        <v>9</v>
      </c>
      <c r="P50" s="110" t="str">
        <f ca="1">IF(OR(TRIM(L42)="-",TRIM(L43)="-"), IF(TRIM(L42)="-",L43,L42),IF(AND(M42="",M43="")," ",IF(N(M42)=N(M43)," ",IF(N(M42)&gt;N(M43),L42,L43))))</f>
        <v>9 VARAN - Valenz Lukáš</v>
      </c>
      <c r="Q50" s="156">
        <v>13</v>
      </c>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 ca="1">IF(OR(TRIM(D52)="-",TRIM(D53)="-"),"",VLOOKUP(MIN(C52,C53),Hřiště!$B$11:$E$266,4,0))</f>
        <v/>
      </c>
      <c r="F51" s="184"/>
      <c r="G51" s="184"/>
      <c r="H51" s="204"/>
      <c r="I51" s="234"/>
      <c r="J51" s="184"/>
      <c r="K51" s="184"/>
      <c r="L51" s="211"/>
      <c r="M51" s="235"/>
      <c r="N51" s="193"/>
      <c r="O51" s="111">
        <v>8</v>
      </c>
      <c r="P51" s="112" t="str">
        <f ca="1">IF(OR(TRIM(L58)="-",TRIM(L59)="-"),IF(TRIM(L58)="-",L59,L58),IF(AND(M58="",M59="")," ",IF(N(M58)=N(M59)," ",IF(N(M58)&gt;N(M59),L58,L59))))</f>
        <v>62 Carreau Brno - Grepl Jiří</v>
      </c>
      <c r="Q51" s="157">
        <v>3</v>
      </c>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 ca="1">VLOOKUP(C52,Postupy!$A$3:$C$258,3,0)</f>
        <v>Y1</v>
      </c>
      <c r="B52" s="182"/>
      <c r="C52" s="109">
        <v>25</v>
      </c>
      <c r="D52" s="110" t="str">
        <f ca="1">VLOOKUP(C52,Postupy!$A$3:$B$258,2,0)</f>
        <v>62 Carreau Brno - Grepl Jiří</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 ca="1">VLOOKUP(C53,Postupy!$A$3:$C$258,3,0)</f>
        <v/>
      </c>
      <c r="B53" s="182"/>
      <c r="C53" s="111">
        <v>104</v>
      </c>
      <c r="D53" s="112" t="str">
        <f ca="1">VLOOKUP(C53,Postupy!$A$3:$B$258,2,0)</f>
        <v xml:space="preserve"> - </v>
      </c>
      <c r="E53" s="157"/>
      <c r="F53" s="213"/>
      <c r="G53" s="187"/>
      <c r="H53" s="384" t="s">
        <v>447</v>
      </c>
      <c r="I53" s="387" t="str">
        <f ca="1">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129</v>
      </c>
      <c r="D54" s="191"/>
      <c r="E54" s="231"/>
      <c r="F54" s="192"/>
      <c r="G54" s="109">
        <v>25</v>
      </c>
      <c r="H54" s="110" t="str">
        <f ca="1">IF(OR(TRIM(D52)="-",TRIM(D53)="-"), IF(TRIM(D52)="-",D53,D52),IF(AND(E52="",E53="")," ",IF(N(E52)=N(E53)," ",IF(N(E52)&gt;N(E53),D52,D53))))</f>
        <v>62 Carreau Brno - Grepl Jiří</v>
      </c>
      <c r="I54" s="156">
        <v>13</v>
      </c>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 ca="1">IF(OR(TRIM(D56)="-",TRIM(D57)="-"),"",VLOOKUP(MIN(C56,C57),Hřiště!$B$11:$E$266,4,0))</f>
        <v/>
      </c>
      <c r="F55" s="192"/>
      <c r="G55" s="111">
        <v>40</v>
      </c>
      <c r="H55" s="112" t="str">
        <f ca="1">IF(OR(TRIM(D56)="-",TRIM(D57)="-"), IF(TRIM(D56)="-",D57,D56),IF(AND(E56="",E57="")," ",IF(N(E56)=N(E57)," ",IF(N(E56)&gt;N(E57),D56,D57))))</f>
        <v>40 HAPEK - Bureš Pavel st.</v>
      </c>
      <c r="I55" s="157">
        <v>7</v>
      </c>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 ca="1">VLOOKUP(C56,Postupy!$A$3:$C$258,3,0)</f>
        <v/>
      </c>
      <c r="B56" s="182"/>
      <c r="C56" s="109">
        <v>89</v>
      </c>
      <c r="D56" s="110" t="str">
        <f ca="1">VLOOKUP(C56,Postupy!$A$3:$B$258,2,0)</f>
        <v xml:space="preserve"> - </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 ca="1">VLOOKUP(C57,Postupy!$A$3:$C$258,3,0)</f>
        <v>AN1</v>
      </c>
      <c r="B57" s="182"/>
      <c r="C57" s="111">
        <v>40</v>
      </c>
      <c r="D57" s="112" t="str">
        <f ca="1">VLOOKUP(C57,Postupy!$A$3:$B$258,2,0)</f>
        <v>40 HAPEK - Bureš Pavel st.</v>
      </c>
      <c r="E57" s="157"/>
      <c r="F57" s="185"/>
      <c r="G57" s="184"/>
      <c r="H57" s="201"/>
      <c r="I57" s="234"/>
      <c r="J57" s="193"/>
      <c r="K57" s="187"/>
      <c r="L57" s="384" t="s">
        <v>447</v>
      </c>
      <c r="M57" s="387" t="str">
        <f ca="1">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129</v>
      </c>
      <c r="D58" s="191"/>
      <c r="E58" s="231"/>
      <c r="F58" s="349">
        <f>C54+C58</f>
        <v>258</v>
      </c>
      <c r="G58" s="184"/>
      <c r="H58" s="204"/>
      <c r="I58" s="234"/>
      <c r="J58" s="184"/>
      <c r="K58" s="109">
        <v>25</v>
      </c>
      <c r="L58" s="110" t="str">
        <f ca="1">IF(OR(TRIM(H54)="-",TRIM(H55)="-"), IF(TRIM(H54)="-",H55,H54),IF(AND(I54="",I55="")," ",IF(N(I54)=N(I55)," ",IF(N(I54)&gt;N(I55),H54,H55))))</f>
        <v>62 Carreau Brno - Grepl Jiří</v>
      </c>
      <c r="M58" s="156">
        <v>13</v>
      </c>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 ca="1">IF(OR(TRIM(D60)="-",TRIM(D61)="-"),"",VLOOKUP(MIN(C60,C61),Hřiště!$B$11:$E$266,4,0))</f>
        <v/>
      </c>
      <c r="F59" s="184"/>
      <c r="G59" s="184"/>
      <c r="H59" s="204"/>
      <c r="I59" s="234"/>
      <c r="J59" s="184"/>
      <c r="K59" s="111">
        <v>8</v>
      </c>
      <c r="L59" s="112" t="str">
        <f ca="1">IF(OR(TRIM(H62)="-",TRIM(H63)="-"), IF(TRIM(H62)="-",H63,H62),IF(AND(I62="",I63="")," ",IF(N(I62)=N(I63)," ",IF(N(I62)&gt;N(I63),H62,H63))))</f>
        <v>8 1. KPK Vrchlabí - Bílek Vojtěch</v>
      </c>
      <c r="M59" s="157">
        <v>11</v>
      </c>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 ca="1">VLOOKUP(C60,Postupy!$A$3:$C$258,3,0)</f>
        <v>AD2</v>
      </c>
      <c r="B60" s="182"/>
      <c r="C60" s="109">
        <v>57</v>
      </c>
      <c r="D60" s="110" t="str">
        <f ca="1">VLOOKUP(C60,Postupy!$A$3:$B$258,2,0)</f>
        <v>57 SKP Hranice VI-Valšovice - Kutá Miloslava</v>
      </c>
      <c r="E60" s="156">
        <v>13</v>
      </c>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 ca="1">VLOOKUP(C61,Postupy!$A$3:$C$258,3,0)</f>
        <v>O2</v>
      </c>
      <c r="B61" s="182"/>
      <c r="C61" s="111">
        <v>72</v>
      </c>
      <c r="D61" s="112" t="str">
        <f ca="1">VLOOKUP(C61,Postupy!$A$3:$B$258,2,0)</f>
        <v>72 PAK Albrechtice - Valík Václav</v>
      </c>
      <c r="E61" s="157">
        <v>8</v>
      </c>
      <c r="F61" s="207" t="s">
        <v>119</v>
      </c>
      <c r="G61" s="187"/>
      <c r="H61" s="384" t="s">
        <v>447</v>
      </c>
      <c r="I61" s="387" t="str">
        <f ca="1">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129</v>
      </c>
      <c r="D62" s="191"/>
      <c r="E62" s="231"/>
      <c r="F62" s="23"/>
      <c r="G62" s="109">
        <v>57</v>
      </c>
      <c r="H62" s="110" t="str">
        <f ca="1">IF(OR(TRIM(D60)="-",TRIM(D61)="-"), IF(TRIM(D60)="-",D61,D60),IF(AND(E60="",E61="")," ",IF(N(E60)=N(E61)," ",IF(N(E60)&gt;N(E61),D60,D61))))</f>
        <v>57 SKP Hranice VI-Valšovice - Kutá Miloslava</v>
      </c>
      <c r="I62" s="156">
        <v>7</v>
      </c>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 ca="1">IF(OR(TRIM(D64)="-",TRIM(D65)="-"),"",VLOOKUP(MIN(C64,C65),Hřiště!$B$11:$E$266,4,0))</f>
        <v/>
      </c>
      <c r="F63" s="203"/>
      <c r="G63" s="111">
        <v>8</v>
      </c>
      <c r="H63" s="112" t="str">
        <f ca="1">IF(OR(TRIM(D64)="-",TRIM(D65)="-"), IF(TRIM(D64)="-",D65,D64),IF(AND(E64="",E65="")," ",IF(N(E64)=N(E65)," ",IF(N(E64)&gt;N(E65),D64,D65))))</f>
        <v>8 1. KPK Vrchlabí - Bílek Vojtěch</v>
      </c>
      <c r="I63" s="157">
        <v>13</v>
      </c>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9.5" thickTop="1" thickBot="1">
      <c r="A64" s="117" t="str">
        <f ca="1">VLOOKUP(C64,Postupy!$A$3:$C$258,3,0)</f>
        <v/>
      </c>
      <c r="B64" s="182"/>
      <c r="C64" s="109">
        <v>121</v>
      </c>
      <c r="D64" s="110" t="str">
        <f ca="1">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20.25" thickTop="1" thickBot="1">
      <c r="A65" s="117" t="str">
        <f ca="1">VLOOKUP(C65,Postupy!$A$3:$C$258,3,0)</f>
        <v>H1</v>
      </c>
      <c r="B65" s="182"/>
      <c r="C65" s="111">
        <v>8</v>
      </c>
      <c r="D65" s="112" t="str">
        <f ca="1">VLOOKUP(C65,Postupy!$A$3:$B$258,2,0)</f>
        <v>8 1. KPK Vrchlabí - Bílek Vojtěch</v>
      </c>
      <c r="E65" s="157"/>
      <c r="F65" s="209"/>
      <c r="G65" s="184"/>
      <c r="H65" s="193"/>
      <c r="I65" s="234"/>
      <c r="J65" s="184"/>
      <c r="K65" s="184"/>
      <c r="L65" s="221"/>
      <c r="M65" s="234"/>
      <c r="N65" s="184"/>
      <c r="O65" s="184"/>
      <c r="P65" s="184"/>
      <c r="Q65" s="234"/>
      <c r="R65" s="184"/>
      <c r="S65" s="184"/>
      <c r="T65" s="184"/>
      <c r="U65" s="184"/>
      <c r="V65" s="193"/>
      <c r="W65" s="187"/>
      <c r="X65" s="384" t="s">
        <v>447</v>
      </c>
      <c r="Y65" s="387" t="str">
        <f ca="1">IF(OR(TRIM(X66)="-",TRIM(X67)="-"),"",VLOOKUP(MIN(W66,W67),Hřiště!$B$11:$E$266,4,0))</f>
        <v/>
      </c>
      <c r="Z65" s="203"/>
      <c r="AA65" s="184"/>
      <c r="AB65" s="17"/>
      <c r="AC65" s="17"/>
      <c r="AD65" s="17"/>
      <c r="AE65" s="17"/>
      <c r="AF65" s="17"/>
      <c r="AG65" s="17"/>
      <c r="AH65" s="17"/>
      <c r="AI65" s="17"/>
      <c r="AJ65" s="17"/>
    </row>
    <row r="66" spans="1:36" ht="19.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 ca="1">IF(OR(TRIM(T34)="-",TRIM(T35)="-"),IF(TRIM(T34)="-",T35,T34),IF(AND(U34="",U35="")," ",IF(N(U34)=N(U35)," ",IF(N(U34)&gt;N(U35),T34,T35))))</f>
        <v>33 1. KPK Vrchlabí - Brázda Vladimír</v>
      </c>
      <c r="Y66" s="156">
        <v>12</v>
      </c>
      <c r="Z66" s="183"/>
      <c r="AA66" s="50"/>
      <c r="AB66" s="17"/>
      <c r="AC66" s="17"/>
      <c r="AD66" s="17"/>
      <c r="AE66" s="17"/>
      <c r="AF66" s="17"/>
      <c r="AG66" s="17"/>
      <c r="AH66" s="17"/>
      <c r="AI66" s="17"/>
      <c r="AJ66" s="17"/>
    </row>
    <row r="67" spans="1:36" ht="20.25" thickTop="1" thickBot="1">
      <c r="A67" s="108"/>
      <c r="B67" s="22"/>
      <c r="C67" s="223"/>
      <c r="D67" s="384" t="s">
        <v>447</v>
      </c>
      <c r="E67" s="387" t="str">
        <f ca="1">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 ca="1">IF(OR(TRIM(T98)="-",TRIM(T99)="-"), IF(TRIM(T98)="-",T99,T98),IF(AND(U98="",U99="")," ",IF(N(U98)=N(U99)," ",IF(N(U98)&gt;N(U99),T98,T99))))</f>
        <v>66 PK 1293 Vojnův Městec - Fereš Pavel</v>
      </c>
      <c r="Y67" s="157">
        <v>13</v>
      </c>
      <c r="Z67" s="186"/>
      <c r="AA67" s="196"/>
      <c r="AB67" s="17"/>
      <c r="AC67" s="17"/>
      <c r="AD67" s="17"/>
      <c r="AE67" s="17"/>
      <c r="AF67" s="17"/>
      <c r="AG67" s="17"/>
      <c r="AH67" s="17"/>
      <c r="AI67" s="17"/>
      <c r="AJ67" s="17"/>
    </row>
    <row r="68" spans="1:36" ht="19.5" thickTop="1" thickBot="1">
      <c r="A68" s="117" t="str">
        <f ca="1">VLOOKUP(C68,Postupy!$A$3:$C$258,3,0)</f>
        <v>E1</v>
      </c>
      <c r="B68" s="182"/>
      <c r="C68" s="109">
        <v>5</v>
      </c>
      <c r="D68" s="110" t="str">
        <f ca="1">VLOOKUP(C68,Postupy!$A$3:$B$258,2,0)</f>
        <v>5 Carreau Brno - Slobodová Veronika</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20.25" thickTop="1" thickBot="1">
      <c r="A69" s="117" t="str">
        <f ca="1">VLOOKUP(C69,Postupy!$A$3:$C$258,3,0)</f>
        <v/>
      </c>
      <c r="B69" s="182"/>
      <c r="C69" s="111">
        <v>124</v>
      </c>
      <c r="D69" s="112" t="str">
        <f ca="1">VLOOKUP(C69,Postupy!$A$3:$B$258,2,0)</f>
        <v xml:space="preserve"> - </v>
      </c>
      <c r="E69" s="157"/>
      <c r="F69" s="186"/>
      <c r="G69" s="187"/>
      <c r="H69" s="384" t="s">
        <v>447</v>
      </c>
      <c r="I69" s="387" t="str">
        <f ca="1">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75" thickBot="1">
      <c r="A70" s="108"/>
      <c r="B70" s="190"/>
      <c r="C70" s="190">
        <f>C68+C69</f>
        <v>129</v>
      </c>
      <c r="D70" s="191"/>
      <c r="E70" s="231"/>
      <c r="F70" s="192"/>
      <c r="G70" s="109">
        <v>5</v>
      </c>
      <c r="H70" s="110" t="str">
        <f ca="1">IF(OR(TRIM(D68)="-",TRIM(D69)="-"), IF(TRIM(D68)="-",D69,D68),IF(AND(E68="",E69="")," ",IF(N(E68)=N(E69)," ",IF(N(E68)&gt;N(E69),D68,D69))))</f>
        <v>5 Carreau Brno - Slobodová Veronika</v>
      </c>
      <c r="I70" s="156">
        <v>13</v>
      </c>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20.25" thickTop="1" thickBot="1">
      <c r="A71" s="105"/>
      <c r="B71" s="194"/>
      <c r="C71" s="195"/>
      <c r="D71" s="384" t="s">
        <v>447</v>
      </c>
      <c r="E71" s="387" t="str">
        <f ca="1">IF(OR(TRIM(D72)="-",TRIM(D73)="-"),"",VLOOKUP(MIN(C72,C73),Hřiště!$B$11:$E$266,4,0))</f>
        <v/>
      </c>
      <c r="F71" s="192"/>
      <c r="G71" s="111">
        <v>60</v>
      </c>
      <c r="H71" s="112" t="str">
        <f ca="1">IF(OR(TRIM(D72)="-",TRIM(D73)="-"), IF(TRIM(D72)="-",D73,D72),IF(AND(E72="",E73="")," ",IF(N(E72)=N(E73)," ",IF(N(E72)&gt;N(E73),D72,D73))))</f>
        <v>60 SKP Hranice VI-Valšovice - Svobodová Lenka</v>
      </c>
      <c r="I71" s="157">
        <v>8</v>
      </c>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75" thickBot="1">
      <c r="A72" s="117" t="str">
        <f ca="1">VLOOKUP(C72,Postupy!$A$3:$C$258,3,0)</f>
        <v>R2</v>
      </c>
      <c r="B72" s="182"/>
      <c r="C72" s="109">
        <v>69</v>
      </c>
      <c r="D72" s="110" t="str">
        <f ca="1">VLOOKUP(C72,Postupy!$A$3:$B$258,2,0)</f>
        <v>18 1. KPK Vrchlabí - Michalička Lukáš</v>
      </c>
      <c r="E72" s="156">
        <v>12</v>
      </c>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20.25" thickTop="1" thickBot="1">
      <c r="A73" s="117" t="str">
        <f ca="1">VLOOKUP(C73,Postupy!$A$3:$C$258,3,0)</f>
        <v>AA2</v>
      </c>
      <c r="B73" s="182"/>
      <c r="C73" s="111">
        <v>60</v>
      </c>
      <c r="D73" s="112" t="str">
        <f ca="1">VLOOKUP(C73,Postupy!$A$3:$B$258,2,0)</f>
        <v>60 SKP Hranice VI-Valšovice - Svobodová Lenka</v>
      </c>
      <c r="E73" s="157">
        <v>13</v>
      </c>
      <c r="F73" s="185"/>
      <c r="G73" s="184"/>
      <c r="H73" s="201"/>
      <c r="I73" s="235"/>
      <c r="J73" s="193"/>
      <c r="K73" s="187"/>
      <c r="L73" s="384" t="s">
        <v>447</v>
      </c>
      <c r="M73" s="387" t="str">
        <f ca="1">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75" thickBot="1">
      <c r="A74" s="108"/>
      <c r="B74" s="190"/>
      <c r="C74" s="190">
        <f>C72+C73</f>
        <v>129</v>
      </c>
      <c r="D74" s="191"/>
      <c r="E74" s="231"/>
      <c r="F74" s="349">
        <f>C70+C74</f>
        <v>258</v>
      </c>
      <c r="G74" s="184"/>
      <c r="H74" s="204"/>
      <c r="I74" s="234"/>
      <c r="J74" s="184"/>
      <c r="K74" s="109">
        <v>5</v>
      </c>
      <c r="L74" s="110" t="str">
        <f ca="1">IF(OR(TRIM(H70)="-",TRIM(H71)="-"), IF(TRIM(H70)="-",H71,H70),IF(AND(I70="",I71="")," ",IF(N(I70)=N(I71)," ",IF(N(I70)&gt;N(I71),H70,H71))))</f>
        <v>5 Carreau Brno - Slobodová Veronika</v>
      </c>
      <c r="M74" s="156">
        <v>13</v>
      </c>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20.25" thickTop="1" thickBot="1">
      <c r="A75" s="105"/>
      <c r="B75" s="194"/>
      <c r="C75" s="195"/>
      <c r="D75" s="384" t="s">
        <v>447</v>
      </c>
      <c r="E75" s="387" t="str">
        <f ca="1">IF(OR(TRIM(D76)="-",TRIM(D77)="-"),"",VLOOKUP(MIN(C76,C77),Hřiště!$B$11:$E$266,4,0))</f>
        <v/>
      </c>
      <c r="F75" s="184"/>
      <c r="G75" s="184"/>
      <c r="H75" s="204"/>
      <c r="I75" s="234"/>
      <c r="J75" s="184"/>
      <c r="K75" s="111">
        <v>28</v>
      </c>
      <c r="L75" s="112" t="str">
        <f ca="1">IF(OR(TRIM(H78)="-",TRIM(H79)="-"), IF(TRIM(H78)="-",H79,H78),IF(AND(I78="",I79="")," ",IF(N(I78)=N(I79)," ",IF(N(I78)&gt;N(I79),H78,H79))))</f>
        <v>50 SKP Kulová osma - Krejčín Leoš</v>
      </c>
      <c r="M75" s="157">
        <v>7</v>
      </c>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9.5" thickTop="1" thickBot="1">
      <c r="A76" s="117" t="str">
        <f ca="1">VLOOKUP(C76,Postupy!$A$3:$C$258,3,0)</f>
        <v>AK1</v>
      </c>
      <c r="B76" s="182"/>
      <c r="C76" s="109">
        <v>37</v>
      </c>
      <c r="D76" s="110" t="str">
        <f ca="1">VLOOKUP(C76,Postupy!$A$3:$B$258,2,0)</f>
        <v>50 SKP Kulová osma - Krejčín Leoš</v>
      </c>
      <c r="E76" s="156"/>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20.25" thickTop="1" thickBot="1">
      <c r="A77" s="117" t="str">
        <f ca="1">VLOOKUP(C77,Postupy!$A$3:$C$258,3,0)</f>
        <v/>
      </c>
      <c r="B77" s="182"/>
      <c r="C77" s="111">
        <v>92</v>
      </c>
      <c r="D77" s="112" t="str">
        <f ca="1">VLOOKUP(C77,Postupy!$A$3:$B$258,2,0)</f>
        <v xml:space="preserve"> - </v>
      </c>
      <c r="E77" s="157"/>
      <c r="F77" s="207" t="s">
        <v>119</v>
      </c>
      <c r="G77" s="187"/>
      <c r="H77" s="384" t="s">
        <v>447</v>
      </c>
      <c r="I77" s="387" t="str">
        <f ca="1">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75" thickBot="1">
      <c r="A78" s="108"/>
      <c r="B78" s="190"/>
      <c r="C78" s="190">
        <f>C76+C77</f>
        <v>129</v>
      </c>
      <c r="D78" s="191"/>
      <c r="E78" s="231"/>
      <c r="F78" s="192"/>
      <c r="G78" s="109">
        <v>37</v>
      </c>
      <c r="H78" s="110" t="str">
        <f ca="1">IF(OR(TRIM(D76)="-",TRIM(D77)="-"), IF(TRIM(D76)="-",D77,D76),IF(AND(E76="",E77="")," ",IF(N(E76)=N(E77)," ",IF(N(E76)&gt;N(E77),D76,D77))))</f>
        <v>50 SKP Kulová osma - Krejčín Leoš</v>
      </c>
      <c r="I78" s="156">
        <v>13</v>
      </c>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20.25" thickTop="1" thickBot="1">
      <c r="A79" s="105"/>
      <c r="B79" s="194"/>
      <c r="C79" s="195"/>
      <c r="D79" s="384" t="s">
        <v>447</v>
      </c>
      <c r="E79" s="387" t="str">
        <f ca="1">IF(OR(TRIM(D80)="-",TRIM(D81)="-"),"",VLOOKUP(MIN(C80,C81),Hřiště!$B$11:$E$266,4,0))</f>
        <v/>
      </c>
      <c r="F79" s="203"/>
      <c r="G79" s="111">
        <v>28</v>
      </c>
      <c r="H79" s="112" t="str">
        <f ca="1">IF(OR(TRIM(D80)="-",TRIM(D81)="-"), IF(TRIM(D80)="-",D81,D80),IF(AND(E80="",E81="")," ",IF(N(E80)=N(E81)," ",IF(N(E80)&gt;N(E81),D80,D81))))</f>
        <v>28 SK Pétanque Řepy - Pastorek Jaroslav</v>
      </c>
      <c r="I79" s="157">
        <v>5</v>
      </c>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9.5" thickTop="1" thickBot="1">
      <c r="A80" s="117" t="str">
        <f ca="1">VLOOKUP(C80,Postupy!$A$3:$C$258,3,0)</f>
        <v/>
      </c>
      <c r="B80" s="182"/>
      <c r="C80" s="109">
        <v>101</v>
      </c>
      <c r="D80" s="110" t="str">
        <f ca="1">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20.25" thickTop="1" thickBot="1">
      <c r="A81" s="117" t="str">
        <f ca="1">VLOOKUP(C81,Postupy!$A$3:$C$258,3,0)</f>
        <v>AB1</v>
      </c>
      <c r="B81" s="182"/>
      <c r="C81" s="111">
        <v>28</v>
      </c>
      <c r="D81" s="112" t="str">
        <f ca="1">VLOOKUP(C81,Postupy!$A$3:$B$258,2,0)</f>
        <v>28 SK Pétanque Řepy - Pastorek Jaroslav</v>
      </c>
      <c r="E81" s="157"/>
      <c r="F81" s="209"/>
      <c r="G81" s="184"/>
      <c r="H81" s="201"/>
      <c r="I81" s="234"/>
      <c r="J81" s="184"/>
      <c r="K81" s="184"/>
      <c r="L81" s="210"/>
      <c r="M81" s="235"/>
      <c r="N81" s="193"/>
      <c r="O81" s="187"/>
      <c r="P81" s="384" t="s">
        <v>447</v>
      </c>
      <c r="Q81" s="387" t="str">
        <f ca="1">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75" thickBot="1">
      <c r="A82" s="108"/>
      <c r="B82" s="190"/>
      <c r="C82" s="190">
        <f>C80+C81</f>
        <v>129</v>
      </c>
      <c r="D82" s="191"/>
      <c r="E82" s="231"/>
      <c r="F82" s="349">
        <f>C78+C82</f>
        <v>258</v>
      </c>
      <c r="G82" s="184"/>
      <c r="H82" s="204"/>
      <c r="I82" s="234"/>
      <c r="J82" s="184"/>
      <c r="K82" s="184"/>
      <c r="L82" s="211"/>
      <c r="M82" s="235"/>
      <c r="N82" s="193"/>
      <c r="O82" s="109">
        <v>5</v>
      </c>
      <c r="P82" s="110" t="str">
        <f ca="1">IF(OR(TRIM(L74)="-",TRIM(L75)="-"), IF(TRIM(L74)="-",L75,L74),IF(AND(M74="",M75="")," ",IF(N(M74)=N(M75)," ",IF(N(M74)&gt;N(M75),L74,L75))))</f>
        <v>5 Carreau Brno - Slobodová Veronika</v>
      </c>
      <c r="Q82" s="156">
        <v>3</v>
      </c>
      <c r="R82" s="193"/>
      <c r="S82" s="184"/>
      <c r="T82" s="184"/>
      <c r="U82" s="184"/>
      <c r="V82" s="184"/>
      <c r="W82" s="196"/>
      <c r="X82" s="17"/>
      <c r="Y82" s="17"/>
      <c r="Z82" s="184"/>
      <c r="AA82" s="196"/>
      <c r="AB82" s="17"/>
      <c r="AC82" s="17"/>
      <c r="AD82" s="17"/>
      <c r="AE82" s="17"/>
      <c r="AF82" s="17"/>
      <c r="AG82" s="17"/>
      <c r="AH82" s="17"/>
      <c r="AI82" s="17"/>
      <c r="AJ82" s="17"/>
    </row>
    <row r="83" spans="1:36" ht="20.25" thickTop="1" thickBot="1">
      <c r="A83" s="105"/>
      <c r="B83" s="194"/>
      <c r="C83" s="195"/>
      <c r="D83" s="384" t="s">
        <v>447</v>
      </c>
      <c r="E83" s="387" t="str">
        <f ca="1">IF(OR(TRIM(D84)="-",TRIM(D85)="-"),"",VLOOKUP(MIN(C84,C85),Hřiště!$B$11:$E$266,4,0))</f>
        <v/>
      </c>
      <c r="F83" s="184"/>
      <c r="G83" s="184"/>
      <c r="H83" s="204"/>
      <c r="I83" s="234"/>
      <c r="J83" s="184"/>
      <c r="K83" s="184"/>
      <c r="L83" s="211"/>
      <c r="M83" s="235"/>
      <c r="N83" s="192"/>
      <c r="O83" s="111">
        <v>12</v>
      </c>
      <c r="P83" s="112" t="str">
        <f ca="1">IF(OR(TRIM(L90)="-",TRIM(L91)="-"),IF(TRIM(L90)="-",L91,L90),IF(AND(M90="",M91="")," ",IF(N(M90)=N(M91)," ",IF(N(M90)&gt;N(M91),L90,L91))))</f>
        <v>66 PK 1293 Vojnův Městec - Fereš Pavel</v>
      </c>
      <c r="Q83" s="157">
        <v>13</v>
      </c>
      <c r="R83" s="186"/>
      <c r="S83" s="212"/>
      <c r="T83" s="184"/>
      <c r="U83" s="184"/>
      <c r="V83" s="184"/>
      <c r="W83" s="196"/>
      <c r="X83" s="17"/>
      <c r="Y83" s="17"/>
      <c r="Z83" s="184"/>
      <c r="AA83" s="196"/>
      <c r="AB83" s="17"/>
      <c r="AC83" s="17"/>
      <c r="AD83" s="17"/>
      <c r="AE83" s="17"/>
      <c r="AF83" s="17"/>
      <c r="AG83" s="17"/>
      <c r="AH83" s="17"/>
      <c r="AI83" s="17"/>
      <c r="AJ83" s="17"/>
    </row>
    <row r="84" spans="1:36" ht="19.5" thickTop="1" thickBot="1">
      <c r="A84" s="117" t="str">
        <f ca="1">VLOOKUP(C84,Postupy!$A$3:$C$258,3,0)</f>
        <v>U1</v>
      </c>
      <c r="B84" s="182"/>
      <c r="C84" s="109">
        <v>21</v>
      </c>
      <c r="D84" s="110" t="str">
        <f ca="1">VLOOKUP(C84,Postupy!$A$3:$B$258,2,0)</f>
        <v>66 PK 1293 Vojnův Městec - Fereš Pavel</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20.25" thickTop="1" thickBot="1">
      <c r="A85" s="117" t="str">
        <f ca="1">VLOOKUP(C85,Postupy!$A$3:$C$258,3,0)</f>
        <v/>
      </c>
      <c r="B85" s="182"/>
      <c r="C85" s="111">
        <v>108</v>
      </c>
      <c r="D85" s="112" t="str">
        <f ca="1">VLOOKUP(C85,Postupy!$A$3:$B$258,2,0)</f>
        <v xml:space="preserve"> - </v>
      </c>
      <c r="E85" s="157"/>
      <c r="F85" s="213"/>
      <c r="G85" s="187"/>
      <c r="H85" s="384" t="s">
        <v>447</v>
      </c>
      <c r="I85" s="387" t="str">
        <f ca="1">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9.5" thickTop="1" thickBot="1">
      <c r="A86" s="108"/>
      <c r="B86" s="190"/>
      <c r="C86" s="190">
        <f>C84+C85</f>
        <v>129</v>
      </c>
      <c r="D86" s="191"/>
      <c r="E86" s="231"/>
      <c r="F86" s="192"/>
      <c r="G86" s="109">
        <v>21</v>
      </c>
      <c r="H86" s="110" t="str">
        <f ca="1">IF(OR(TRIM(D84)="-",TRIM(D85)="-"), IF(TRIM(D84)="-",D85,D84),IF(AND(E84="",E85="")," ",IF(N(E84)=N(E85)," ",IF(N(E84)&gt;N(E85),D84,D85))))</f>
        <v>66 PK 1293 Vojnův Městec - Fereš Pavel</v>
      </c>
      <c r="I86" s="156">
        <v>13</v>
      </c>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20.25" thickTop="1" thickBot="1">
      <c r="A87" s="105"/>
      <c r="B87" s="194"/>
      <c r="C87" s="195"/>
      <c r="D87" s="384" t="s">
        <v>447</v>
      </c>
      <c r="E87" s="387" t="str">
        <f ca="1">IF(OR(TRIM(D88)="-",TRIM(D89)="-"),"",VLOOKUP(MIN(C88,C89),Hřiště!$B$11:$E$266,4,0))</f>
        <v/>
      </c>
      <c r="F87" s="192"/>
      <c r="G87" s="111">
        <v>44</v>
      </c>
      <c r="H87" s="112" t="str">
        <f ca="1">IF(OR(TRIM(D88)="-",TRIM(D89)="-"), IF(TRIM(D88)="-",D89,D88),IF(AND(E88="",E89="")," ",IF(N(E88)=N(E89)," ",IF(N(E88)&gt;N(E89),D88,D89))))</f>
        <v>44 Petank Club Praha - Vorel Jan</v>
      </c>
      <c r="I87" s="157">
        <v>11</v>
      </c>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9.5" thickTop="1" thickBot="1">
      <c r="A88" s="117" t="str">
        <f ca="1">VLOOKUP(C88,Postupy!$A$3:$C$258,3,0)</f>
        <v>B2</v>
      </c>
      <c r="B88" s="182"/>
      <c r="C88" s="109">
        <v>85</v>
      </c>
      <c r="D88" s="110" t="str">
        <f ca="1">VLOOKUP(C88,Postupy!$A$3:$B$258,2,0)</f>
        <v>85 Petank Club Praha - Froněk Jiří ml.</v>
      </c>
      <c r="E88" s="156">
        <v>10</v>
      </c>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20.25" thickTop="1" thickBot="1">
      <c r="A89" s="117" t="str">
        <f ca="1">VLOOKUP(C89,Postupy!$A$3:$C$258,3,0)</f>
        <v>AQ2</v>
      </c>
      <c r="B89" s="182"/>
      <c r="C89" s="111">
        <v>44</v>
      </c>
      <c r="D89" s="112" t="str">
        <f ca="1">VLOOKUP(C89,Postupy!$A$3:$B$258,2,0)</f>
        <v>44 Petank Club Praha - Vorel Jan</v>
      </c>
      <c r="E89" s="157">
        <v>13</v>
      </c>
      <c r="F89" s="185"/>
      <c r="G89" s="184"/>
      <c r="H89" s="201"/>
      <c r="I89" s="235"/>
      <c r="J89" s="193"/>
      <c r="K89" s="187"/>
      <c r="L89" s="384" t="s">
        <v>447</v>
      </c>
      <c r="M89" s="387" t="str">
        <f ca="1">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9.5" thickTop="1" thickBot="1">
      <c r="A90" s="108"/>
      <c r="B90" s="190"/>
      <c r="C90" s="190">
        <f>C88+C89</f>
        <v>129</v>
      </c>
      <c r="D90" s="191"/>
      <c r="E90" s="231"/>
      <c r="F90" s="349">
        <f>C86+C90</f>
        <v>258</v>
      </c>
      <c r="G90" s="184"/>
      <c r="H90" s="204"/>
      <c r="I90" s="234"/>
      <c r="J90" s="184"/>
      <c r="K90" s="109">
        <v>21</v>
      </c>
      <c r="L90" s="110" t="str">
        <f ca="1">IF(OR(TRIM(H86)="-",TRIM(H87)="-"), IF(TRIM(H86)="-",H87,H86),IF(AND(I86="",I87="")," ",IF(N(I86)=N(I87)," ",IF(N(I86)&gt;N(I87),H86,H87))))</f>
        <v>66 PK 1293 Vojnův Městec - Fereš Pavel</v>
      </c>
      <c r="M90" s="156">
        <v>13</v>
      </c>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20.25" thickTop="1" thickBot="1">
      <c r="A91" s="105"/>
      <c r="B91" s="194"/>
      <c r="C91" s="195"/>
      <c r="D91" s="384" t="s">
        <v>447</v>
      </c>
      <c r="E91" s="387" t="str">
        <f ca="1">IF(OR(TRIM(D92)="-",TRIM(D93)="-"),"",VLOOKUP(MIN(C92,C93),Hřiště!$B$11:$E$266,4,0))</f>
        <v/>
      </c>
      <c r="F91" s="184"/>
      <c r="G91" s="184"/>
      <c r="H91" s="204"/>
      <c r="I91" s="234"/>
      <c r="J91" s="184"/>
      <c r="K91" s="111">
        <v>12</v>
      </c>
      <c r="L91" s="112" t="str">
        <f ca="1">IF(OR(TRIM(H94)="-",TRIM(H95)="-"), IF(TRIM(H94)="-",H95,H94),IF(AND(I94="",I95="")," ",IF(N(I94)=N(I95)," ",IF(N(I94)&gt;N(I95),H94,H95))))</f>
        <v>97 PK Osika Plzeň - Špitálský Milan</v>
      </c>
      <c r="M91" s="157">
        <v>4</v>
      </c>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9.5" thickTop="1" thickBot="1">
      <c r="A92" s="117" t="str">
        <f ca="1">VLOOKUP(C92,Postupy!$A$3:$C$258,3,0)</f>
        <v>AH2</v>
      </c>
      <c r="B92" s="182"/>
      <c r="C92" s="109">
        <v>53</v>
      </c>
      <c r="D92" s="110" t="str">
        <f ca="1">VLOOKUP(C92,Postupy!$A$3:$B$258,2,0)</f>
        <v>139 ČPK Poděbrady - Karbulka Jan</v>
      </c>
      <c r="E92" s="156">
        <v>6</v>
      </c>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20.25" thickTop="1" thickBot="1">
      <c r="A93" s="117" t="str">
        <f ca="1">VLOOKUP(C93,Postupy!$A$3:$C$258,3,0)</f>
        <v>K2</v>
      </c>
      <c r="B93" s="182"/>
      <c r="C93" s="111">
        <v>76</v>
      </c>
      <c r="D93" s="112" t="str">
        <f ca="1">VLOOKUP(C93,Postupy!$A$3:$B$258,2,0)</f>
        <v>97 PK Osika Plzeň - Špitálský Milan</v>
      </c>
      <c r="E93" s="157">
        <v>13</v>
      </c>
      <c r="F93" s="207" t="s">
        <v>119</v>
      </c>
      <c r="G93" s="187"/>
      <c r="H93" s="384" t="s">
        <v>447</v>
      </c>
      <c r="I93" s="387" t="str">
        <f ca="1">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9.5" thickTop="1" thickBot="1">
      <c r="A94" s="108"/>
      <c r="B94" s="190"/>
      <c r="C94" s="190">
        <f>C92+C93</f>
        <v>129</v>
      </c>
      <c r="D94" s="191"/>
      <c r="E94" s="231"/>
      <c r="F94" s="23"/>
      <c r="G94" s="109">
        <v>53</v>
      </c>
      <c r="H94" s="110" t="str">
        <f ca="1">IF(OR(TRIM(D92)="-",TRIM(D93)="-"), IF(TRIM(D92)="-",D93,D92),IF(AND(E92="",E93="")," ",IF(N(E92)=N(E93)," ",IF(N(E92)&gt;N(E93),D92,D93))))</f>
        <v>97 PK Osika Plzeň - Špitálský Milan</v>
      </c>
      <c r="I94" s="156">
        <v>13</v>
      </c>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20.25" thickTop="1" thickBot="1">
      <c r="A95" s="105"/>
      <c r="B95" s="194"/>
      <c r="C95" s="195"/>
      <c r="D95" s="384" t="s">
        <v>447</v>
      </c>
      <c r="E95" s="387" t="str">
        <f ca="1">IF(OR(TRIM(D96)="-",TRIM(D97)="-"),"",VLOOKUP(MIN(C96,C97),Hřiště!$B$11:$E$266,4,0))</f>
        <v/>
      </c>
      <c r="F95" s="203"/>
      <c r="G95" s="111">
        <v>12</v>
      </c>
      <c r="H95" s="112" t="str">
        <f ca="1">IF(OR(TRIM(D96)="-",TRIM(D97)="-"), IF(TRIM(D96)="-",D97,D96),IF(AND(E96="",E97="")," ",IF(N(E96)=N(E97)," ",IF(N(E96)&gt;N(E97),D96,D97))))</f>
        <v>12 FRAPECO - Řehoř Miroslav</v>
      </c>
      <c r="I95" s="157">
        <v>12</v>
      </c>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9.5" thickTop="1" thickBot="1">
      <c r="A96" s="117" t="str">
        <f ca="1">VLOOKUP(C96,Postupy!$A$3:$C$258,3,0)</f>
        <v/>
      </c>
      <c r="B96" s="182"/>
      <c r="C96" s="109">
        <v>117</v>
      </c>
      <c r="D96" s="110" t="str">
        <f ca="1">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20.25" thickTop="1" thickBot="1">
      <c r="A97" s="117" t="str">
        <f ca="1">VLOOKUP(C97,Postupy!$A$3:$C$258,3,0)</f>
        <v>L1</v>
      </c>
      <c r="B97" s="182"/>
      <c r="C97" s="111">
        <v>12</v>
      </c>
      <c r="D97" s="112" t="str">
        <f ca="1">VLOOKUP(C97,Postupy!$A$3:$B$258,2,0)</f>
        <v>12 FRAPECO - Řehoř Miroslav</v>
      </c>
      <c r="E97" s="157"/>
      <c r="F97" s="209"/>
      <c r="G97" s="184"/>
      <c r="H97" s="201"/>
      <c r="I97" s="234"/>
      <c r="J97" s="184"/>
      <c r="K97" s="184"/>
      <c r="L97" s="210"/>
      <c r="M97" s="234"/>
      <c r="N97" s="184"/>
      <c r="O97" s="184"/>
      <c r="P97" s="211"/>
      <c r="Q97" s="235"/>
      <c r="R97" s="193"/>
      <c r="S97" s="187"/>
      <c r="T97" s="384" t="s">
        <v>447</v>
      </c>
      <c r="U97" s="387" t="str">
        <f ca="1">IF(OR(TRIM(T98)="-",TRIM(T99)="-"),"",VLOOKUP(MIN(S98,S99),Hřiště!$B$11:$E$266,4,0))</f>
        <v/>
      </c>
      <c r="V97" s="184"/>
      <c r="W97" s="196"/>
      <c r="X97" s="17"/>
      <c r="Y97" s="17"/>
      <c r="Z97" s="184"/>
      <c r="AA97" s="196"/>
      <c r="AB97" s="17"/>
      <c r="AC97" s="17"/>
      <c r="AD97" s="17"/>
      <c r="AE97" s="17"/>
      <c r="AF97" s="17"/>
      <c r="AG97" s="17"/>
      <c r="AH97" s="17"/>
      <c r="AI97" s="17"/>
      <c r="AJ97" s="17"/>
    </row>
    <row r="98" spans="1:36" ht="19.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 ca="1">IF(OR(TRIM(P82)="-",TRIM(P83)="-"), IF(TRIM(P82)="-",P83,P82),IF(AND(Q82="",Q83="")," ",IF(N(Q82)=N(Q83)," ",IF(N(Q82)&gt;N(Q83),P82,P83))))</f>
        <v>66 PK 1293 Vojnův Městec - Fereš Pavel</v>
      </c>
      <c r="U98" s="156">
        <v>13</v>
      </c>
      <c r="V98" s="198"/>
      <c r="W98" s="184"/>
      <c r="X98" s="17"/>
      <c r="Y98" s="17"/>
      <c r="Z98" s="184"/>
      <c r="AA98" s="196"/>
      <c r="AB98" s="17"/>
      <c r="AC98" s="17"/>
      <c r="AD98" s="17"/>
      <c r="AE98" s="17"/>
      <c r="AF98" s="17"/>
      <c r="AG98" s="17"/>
      <c r="AH98" s="17"/>
      <c r="AI98" s="17"/>
      <c r="AJ98" s="17"/>
    </row>
    <row r="99" spans="1:36" ht="20.25" thickTop="1" thickBot="1">
      <c r="A99" s="105"/>
      <c r="B99" s="194"/>
      <c r="C99" s="195"/>
      <c r="D99" s="384" t="s">
        <v>447</v>
      </c>
      <c r="E99" s="387" t="str">
        <f ca="1">IF(OR(TRIM(D100)="-",TRIM(D101)="-"),"",VLOOKUP(MIN(C100,C101),Hřiště!$B$11:$E$266,4,0))</f>
        <v/>
      </c>
      <c r="F99" s="23"/>
      <c r="G99" s="184"/>
      <c r="H99" s="204"/>
      <c r="I99" s="234"/>
      <c r="J99" s="184"/>
      <c r="K99" s="184"/>
      <c r="L99" s="217"/>
      <c r="M99" s="234"/>
      <c r="N99" s="184"/>
      <c r="O99" s="184"/>
      <c r="P99" s="217"/>
      <c r="Q99" s="234"/>
      <c r="R99" s="184"/>
      <c r="S99" s="111">
        <v>4</v>
      </c>
      <c r="T99" s="112" t="str">
        <f ca="1">IF(OR(TRIM(P114)="-",TRIM(P115)="-"), IF(TRIM(P114)="-",P115,P114),IF(AND(Q114="",Q115="")," ",IF(N(Q114)=N(Q115)," ",IF(N(Q114)&gt;N(Q115),P114,P115))))</f>
        <v>45 SKP Hranice VI-Valšovice - Tománek Petr</v>
      </c>
      <c r="U99" s="157">
        <v>6</v>
      </c>
      <c r="V99" s="185"/>
      <c r="W99" s="184"/>
      <c r="X99" s="17"/>
      <c r="Y99" s="18"/>
      <c r="Z99" s="184"/>
      <c r="AA99" s="196"/>
      <c r="AB99" s="17"/>
      <c r="AC99" s="17"/>
      <c r="AD99" s="17"/>
      <c r="AE99" s="17"/>
      <c r="AF99" s="17"/>
      <c r="AG99" s="17"/>
      <c r="AH99" s="17"/>
      <c r="AI99" s="17"/>
      <c r="AJ99" s="17"/>
    </row>
    <row r="100" spans="1:36" ht="19.5" thickTop="1" thickBot="1">
      <c r="A100" s="117" t="str">
        <f ca="1">VLOOKUP(C100,Postupy!$A$3:$C$258,3,0)</f>
        <v>M1</v>
      </c>
      <c r="B100" s="182"/>
      <c r="C100" s="109">
        <v>13</v>
      </c>
      <c r="D100" s="110" t="str">
        <f ca="1">VLOOKUP(C100,Postupy!$A$3:$B$258,2,0)</f>
        <v>99 SK Sahara Vědomice - Kocourek Pavel</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20.25" thickTop="1" thickBot="1">
      <c r="A101" s="117" t="str">
        <f ca="1">VLOOKUP(C101,Postupy!$A$3:$C$258,3,0)</f>
        <v/>
      </c>
      <c r="B101" s="182"/>
      <c r="C101" s="111">
        <v>116</v>
      </c>
      <c r="D101" s="112" t="str">
        <f ca="1">VLOOKUP(C101,Postupy!$A$3:$B$258,2,0)</f>
        <v xml:space="preserve"> - </v>
      </c>
      <c r="E101" s="157"/>
      <c r="F101" s="213"/>
      <c r="G101" s="187"/>
      <c r="H101" s="384" t="s">
        <v>447</v>
      </c>
      <c r="I101" s="387" t="str">
        <f ca="1">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75" thickBot="1">
      <c r="A102" s="108"/>
      <c r="B102" s="190"/>
      <c r="C102" s="190">
        <f>C100+C101</f>
        <v>129</v>
      </c>
      <c r="D102" s="191"/>
      <c r="E102" s="231"/>
      <c r="F102" s="192"/>
      <c r="G102" s="109">
        <v>13</v>
      </c>
      <c r="H102" s="110" t="str">
        <f ca="1">IF(OR(TRIM(D100)="-",TRIM(D101)="-"), IF(TRIM(D100)="-",D101,D100),IF(AND(E100="",E101="")," ",IF(N(E100)=N(E101)," ",IF(N(E100)&gt;N(E101),D100,D101))))</f>
        <v>99 SK Sahara Vědomice - Kocourek Pavel</v>
      </c>
      <c r="I102" s="156">
        <v>11</v>
      </c>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20.25" thickTop="1" thickBot="1">
      <c r="A103" s="105"/>
      <c r="B103" s="194"/>
      <c r="C103" s="195"/>
      <c r="D103" s="384" t="s">
        <v>447</v>
      </c>
      <c r="E103" s="387" t="str">
        <f ca="1">IF(OR(TRIM(D104)="-",TRIM(D105)="-"),"",VLOOKUP(MIN(C104,C105),Hřiště!$B$11:$E$266,4,0))</f>
        <v/>
      </c>
      <c r="F103" s="192"/>
      <c r="G103" s="111">
        <v>52</v>
      </c>
      <c r="H103" s="112" t="str">
        <f ca="1">IF(OR(TRIM(D104)="-",TRIM(D105)="-"), IF(TRIM(D104)="-",D105,D104),IF(AND(E104="",E105="")," ",IF(N(E104)=N(E105)," ",IF(N(E104)&gt;N(E105),D104,D105))))</f>
        <v>96 1. KPK Vrchlabí - Kadavá Petra</v>
      </c>
      <c r="I103" s="157">
        <v>13</v>
      </c>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9.5" thickTop="1" thickBot="1">
      <c r="A104" s="117" t="str">
        <f ca="1">VLOOKUP(C104,Postupy!$A$3:$C$258,3,0)</f>
        <v>J2</v>
      </c>
      <c r="B104" s="182"/>
      <c r="C104" s="109">
        <v>77</v>
      </c>
      <c r="D104" s="110" t="str">
        <f ca="1">VLOOKUP(C104,Postupy!$A$3:$B$258,2,0)</f>
        <v>96 1. KPK Vrchlabí - Kadavá Petra</v>
      </c>
      <c r="E104" s="156">
        <v>13</v>
      </c>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20.25" thickTop="1" thickBot="1">
      <c r="A105" s="117" t="str">
        <f ca="1">VLOOKUP(C105,Postupy!$A$3:$C$258,3,0)</f>
        <v>AI2</v>
      </c>
      <c r="B105" s="182"/>
      <c r="C105" s="111">
        <v>52</v>
      </c>
      <c r="D105" s="112" t="str">
        <f ca="1">VLOOKUP(C105,Postupy!$A$3:$B$258,2,0)</f>
        <v>35 SK Sahara Vědomice - Demčík Milan St.</v>
      </c>
      <c r="E105" s="157">
        <v>7</v>
      </c>
      <c r="F105" s="185"/>
      <c r="G105" s="184"/>
      <c r="H105" s="201"/>
      <c r="I105" s="235"/>
      <c r="J105" s="193"/>
      <c r="K105" s="187"/>
      <c r="L105" s="384" t="s">
        <v>447</v>
      </c>
      <c r="M105" s="387" t="str">
        <f ca="1">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75" thickBot="1">
      <c r="A106" s="108"/>
      <c r="B106" s="190"/>
      <c r="C106" s="190">
        <f>C104+C105</f>
        <v>129</v>
      </c>
      <c r="D106" s="191"/>
      <c r="E106" s="231"/>
      <c r="F106" s="349">
        <f>C102+C106</f>
        <v>258</v>
      </c>
      <c r="G106" s="184"/>
      <c r="H106" s="204"/>
      <c r="I106" s="234"/>
      <c r="J106" s="184"/>
      <c r="K106" s="109">
        <v>13</v>
      </c>
      <c r="L106" s="110" t="str">
        <f ca="1">IF(OR(TRIM(H102)="-",TRIM(H103)="-"), IF(TRIM(H102)="-",H103,H102),IF(AND(I102="",I103="")," ",IF(N(I102)=N(I103)," ",IF(N(I102)&gt;N(I103),H102,H103))))</f>
        <v>96 1. KPK Vrchlabí - Kadavá Petra</v>
      </c>
      <c r="M106" s="156">
        <v>7</v>
      </c>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20.25" thickTop="1" thickBot="1">
      <c r="A107" s="105"/>
      <c r="B107" s="194"/>
      <c r="C107" s="195"/>
      <c r="D107" s="384" t="s">
        <v>447</v>
      </c>
      <c r="E107" s="387" t="str">
        <f ca="1">IF(OR(TRIM(D108)="-",TRIM(D109)="-"),"",VLOOKUP(MIN(C108,C109),Hřiště!$B$11:$E$266,4,0))</f>
        <v/>
      </c>
      <c r="F107" s="184"/>
      <c r="G107" s="184"/>
      <c r="H107" s="204"/>
      <c r="I107" s="234"/>
      <c r="J107" s="184"/>
      <c r="K107" s="111">
        <v>20</v>
      </c>
      <c r="L107" s="112" t="str">
        <f ca="1">IF(OR(TRIM(H110)="-",TRIM(H111)="-"), IF(TRIM(H110)="-",H111,H110),IF(AND(I110="",I111="")," ",IF(N(I110)=N(I111)," ",IF(N(I110)&gt;N(I111),H110,H111))))</f>
        <v>45 SKP Hranice VI-Valšovice - Tománek Petr</v>
      </c>
      <c r="M107" s="157">
        <v>13</v>
      </c>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9.5" thickTop="1" thickBot="1">
      <c r="A108" s="117" t="str">
        <f ca="1">VLOOKUP(C108,Postupy!$A$3:$C$258,3,0)</f>
        <v>AP2</v>
      </c>
      <c r="B108" s="182"/>
      <c r="C108" s="109">
        <v>45</v>
      </c>
      <c r="D108" s="110" t="str">
        <f ca="1">VLOOKUP(C108,Postupy!$A$3:$B$258,2,0)</f>
        <v>45 SKP Hranice VI-Valšovice - Tománek Petr</v>
      </c>
      <c r="E108" s="156">
        <v>13</v>
      </c>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20.25" thickTop="1" thickBot="1">
      <c r="A109" s="117" t="str">
        <f ca="1">VLOOKUP(C109,Postupy!$A$3:$C$258,3,0)</f>
        <v>C2</v>
      </c>
      <c r="B109" s="182"/>
      <c r="C109" s="111">
        <v>84</v>
      </c>
      <c r="D109" s="112" t="str">
        <f ca="1">VLOOKUP(C109,Postupy!$A$3:$B$258,2,0)</f>
        <v>89 SK Sahara Vědomice - Piller Tomáš</v>
      </c>
      <c r="E109" s="157">
        <v>11</v>
      </c>
      <c r="F109" s="207" t="s">
        <v>119</v>
      </c>
      <c r="G109" s="187"/>
      <c r="H109" s="384" t="s">
        <v>447</v>
      </c>
      <c r="I109" s="387" t="str">
        <f ca="1">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75" thickBot="1">
      <c r="A110" s="108"/>
      <c r="B110" s="190"/>
      <c r="C110" s="190">
        <f>C108+C109</f>
        <v>129</v>
      </c>
      <c r="D110" s="191"/>
      <c r="E110" s="231"/>
      <c r="F110" s="192"/>
      <c r="G110" s="109">
        <v>45</v>
      </c>
      <c r="H110" s="110" t="str">
        <f ca="1">IF(OR(TRIM(D108)="-",TRIM(D109)="-"), IF(TRIM(D108)="-",D109,D108),IF(AND(E108="",E109="")," ",IF(N(E108)=N(E109)," ",IF(N(E108)&gt;N(E109),D108,D109))))</f>
        <v>45 SKP Hranice VI-Valšovice - Tománek Petr</v>
      </c>
      <c r="I110" s="156">
        <v>13</v>
      </c>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20.25" thickTop="1" thickBot="1">
      <c r="A111" s="105"/>
      <c r="B111" s="194"/>
      <c r="C111" s="195"/>
      <c r="D111" s="384" t="s">
        <v>447</v>
      </c>
      <c r="E111" s="387" t="str">
        <f ca="1">IF(OR(TRIM(D112)="-",TRIM(D113)="-"),"",VLOOKUP(MIN(C112,C113),Hřiště!$B$11:$E$266,4,0))</f>
        <v/>
      </c>
      <c r="F111" s="203"/>
      <c r="G111" s="111">
        <v>20</v>
      </c>
      <c r="H111" s="112" t="str">
        <f ca="1">IF(OR(TRIM(D112)="-",TRIM(D113)="-"), IF(TRIM(D112)="-",D113,D112),IF(AND(E112="",E113="")," ",IF(N(E112)=N(E113)," ",IF(N(E112)&gt;N(E113),D112,D113))))</f>
        <v>20 SKP Hranice VI-Valšovice - Jakeš Zbyněk</v>
      </c>
      <c r="I111" s="157">
        <v>11</v>
      </c>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9.5" thickTop="1" thickBot="1">
      <c r="A112" s="117" t="str">
        <f ca="1">VLOOKUP(C112,Postupy!$A$3:$C$258,3,0)</f>
        <v/>
      </c>
      <c r="B112" s="182"/>
      <c r="C112" s="109">
        <v>109</v>
      </c>
      <c r="D112" s="110" t="str">
        <f ca="1">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20.25" thickTop="1" thickBot="1">
      <c r="A113" s="117" t="str">
        <f ca="1">VLOOKUP(C113,Postupy!$A$3:$C$258,3,0)</f>
        <v>T1</v>
      </c>
      <c r="B113" s="182"/>
      <c r="C113" s="111">
        <v>20</v>
      </c>
      <c r="D113" s="112" t="str">
        <f ca="1">VLOOKUP(C113,Postupy!$A$3:$B$258,2,0)</f>
        <v>20 SKP Hranice VI-Valšovice - Jakeš Zbyněk</v>
      </c>
      <c r="E113" s="157"/>
      <c r="F113" s="209"/>
      <c r="G113" s="184"/>
      <c r="H113" s="201"/>
      <c r="I113" s="234"/>
      <c r="J113" s="184"/>
      <c r="K113" s="184"/>
      <c r="L113" s="210"/>
      <c r="M113" s="235"/>
      <c r="N113" s="193"/>
      <c r="O113" s="187"/>
      <c r="P113" s="384" t="s">
        <v>447</v>
      </c>
      <c r="Q113" s="387" t="str">
        <f ca="1">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75" thickBot="1">
      <c r="A114" s="108"/>
      <c r="B114" s="190"/>
      <c r="C114" s="190">
        <f>C112+C113</f>
        <v>129</v>
      </c>
      <c r="D114" s="191"/>
      <c r="E114" s="231"/>
      <c r="F114" s="349">
        <f>C110+C114</f>
        <v>258</v>
      </c>
      <c r="G114" s="349"/>
      <c r="H114" s="204"/>
      <c r="I114" s="234"/>
      <c r="J114" s="184"/>
      <c r="K114" s="184"/>
      <c r="L114" s="211"/>
      <c r="M114" s="235"/>
      <c r="N114" s="193"/>
      <c r="O114" s="109">
        <v>13</v>
      </c>
      <c r="P114" s="110" t="str">
        <f ca="1">IF(OR(TRIM(L106)="-",TRIM(L107)="-"), IF(TRIM(L106)="-",L107,L106),IF(AND(M106="",M107="")," ",IF(N(M106)=N(M107)," ",IF(N(M106)&gt;N(M107),L106,L107))))</f>
        <v>45 SKP Hranice VI-Valšovice - Tománek Petr</v>
      </c>
      <c r="Q114" s="156">
        <v>13</v>
      </c>
      <c r="R114" s="198"/>
      <c r="S114" s="196"/>
      <c r="T114" s="50"/>
      <c r="U114" s="50"/>
      <c r="V114" s="184"/>
      <c r="W114" s="184"/>
      <c r="X114" s="17"/>
      <c r="Y114" s="17"/>
      <c r="Z114" s="184"/>
      <c r="AA114" s="196"/>
      <c r="AB114" s="17"/>
      <c r="AC114" s="17"/>
      <c r="AD114" s="17"/>
      <c r="AE114" s="17"/>
      <c r="AF114" s="17"/>
      <c r="AG114" s="17"/>
      <c r="AH114" s="17"/>
      <c r="AI114" s="17"/>
      <c r="AJ114" s="17"/>
    </row>
    <row r="115" spans="1:36" ht="20.25" thickTop="1" thickBot="1">
      <c r="A115" s="105"/>
      <c r="B115" s="194"/>
      <c r="C115" s="195"/>
      <c r="D115" s="384" t="s">
        <v>447</v>
      </c>
      <c r="E115" s="387" t="str">
        <f ca="1">IF(OR(TRIM(D116)="-",TRIM(D117)="-"),"",VLOOKUP(MIN(C116,C117),Hřiště!$B$11:$E$266,4,0))</f>
        <v/>
      </c>
      <c r="F115" s="349"/>
      <c r="G115" s="184"/>
      <c r="H115" s="204"/>
      <c r="I115" s="234"/>
      <c r="J115" s="184"/>
      <c r="K115" s="184"/>
      <c r="L115" s="211"/>
      <c r="M115" s="235"/>
      <c r="N115" s="193"/>
      <c r="O115" s="111">
        <v>4</v>
      </c>
      <c r="P115" s="112" t="str">
        <f ca="1">IF(OR(TRIM(L122)="-",TRIM(L123)="-"),IF(TRIM(L122)="-",L123,L122),IF(AND(M122="",M123="")," ",IF(N(M122)=N(M123)," ",IF(N(M122)&gt;N(M123),L122,L123))))</f>
        <v>4 PC Kolová - Kauca Jindřich</v>
      </c>
      <c r="Q115" s="157">
        <v>4</v>
      </c>
      <c r="R115" s="185"/>
      <c r="S115" s="184"/>
      <c r="U115" s="184"/>
      <c r="V115" s="184"/>
      <c r="W115" s="193"/>
      <c r="X115" s="17"/>
      <c r="Y115" s="17"/>
      <c r="Z115" s="184"/>
      <c r="AA115" s="196"/>
      <c r="AB115" s="17"/>
      <c r="AC115" s="17"/>
      <c r="AD115" s="17"/>
      <c r="AE115" s="17"/>
      <c r="AF115" s="17"/>
      <c r="AG115" s="17"/>
      <c r="AH115" s="17"/>
      <c r="AI115" s="17"/>
      <c r="AJ115" s="17"/>
    </row>
    <row r="116" spans="1:36" ht="19.5" thickTop="1" thickBot="1">
      <c r="A116" s="117" t="str">
        <f ca="1">VLOOKUP(C116,Postupy!$A$3:$C$258,3,0)</f>
        <v>AC1</v>
      </c>
      <c r="B116" s="182"/>
      <c r="C116" s="109">
        <v>29</v>
      </c>
      <c r="D116" s="110" t="str">
        <f ca="1">VLOOKUP(C116,Postupy!$A$3:$B$258,2,0)</f>
        <v>58 PC Sokol Lipník - Fafek Petr</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20.25" thickTop="1" thickBot="1">
      <c r="A117" s="117" t="str">
        <f ca="1">VLOOKUP(C117,Postupy!$A$3:$C$258,3,0)</f>
        <v/>
      </c>
      <c r="B117" s="182"/>
      <c r="C117" s="111">
        <v>100</v>
      </c>
      <c r="D117" s="112" t="str">
        <f ca="1">VLOOKUP(C117,Postupy!$A$3:$B$258,2,0)</f>
        <v xml:space="preserve"> - </v>
      </c>
      <c r="E117" s="157"/>
      <c r="F117" s="213"/>
      <c r="G117" s="187"/>
      <c r="H117" s="384" t="s">
        <v>447</v>
      </c>
      <c r="I117" s="387" t="str">
        <f ca="1">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75" thickBot="1">
      <c r="A118" s="108"/>
      <c r="B118" s="190"/>
      <c r="C118" s="190">
        <f>C116+C117</f>
        <v>129</v>
      </c>
      <c r="D118" s="191"/>
      <c r="E118" s="231"/>
      <c r="F118" s="192"/>
      <c r="G118" s="109">
        <v>29</v>
      </c>
      <c r="H118" s="110" t="str">
        <f ca="1">IF(OR(TRIM(D116)="-",TRIM(D117)="-"), IF(TRIM(D116)="-",D117,D116),IF(AND(E116="",E117="")," ",IF(N(E116)=N(E117)," ",IF(N(E116)&gt;N(E117),D116,D117))))</f>
        <v>58 PC Sokol Lipník - Fafek Petr</v>
      </c>
      <c r="I118" s="156">
        <v>1</v>
      </c>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20.25" thickTop="1" thickBot="1">
      <c r="A119" s="105"/>
      <c r="B119" s="194"/>
      <c r="C119" s="195"/>
      <c r="D119" s="384" t="s">
        <v>447</v>
      </c>
      <c r="E119" s="387" t="str">
        <f ca="1">IF(OR(TRIM(D120)="-",TRIM(D121)="-"),"",VLOOKUP(MIN(C120,C121),Hřiště!$B$11:$E$266,4,0))</f>
        <v/>
      </c>
      <c r="F119" s="192"/>
      <c r="G119" s="111">
        <v>36</v>
      </c>
      <c r="H119" s="112" t="str">
        <f ca="1">IF(OR(TRIM(D120)="-",TRIM(D121)="-"), IF(TRIM(D120)="-",D121,D120),IF(AND(E120="",E121="")," ",IF(N(E120)=N(E121)," ",IF(N(E120)&gt;N(E121),D120,D121))))</f>
        <v>51 Orel Řečkovice - Hanák David</v>
      </c>
      <c r="I119" s="157">
        <v>13</v>
      </c>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9.5" thickTop="1" thickBot="1">
      <c r="A120" s="117" t="str">
        <f ca="1">VLOOKUP(C120,Postupy!$A$3:$C$258,3,0)</f>
        <v/>
      </c>
      <c r="B120" s="182"/>
      <c r="C120" s="109">
        <v>93</v>
      </c>
      <c r="D120" s="110" t="str">
        <f ca="1">VLOOKUP(C120,Postupy!$A$3:$B$258,2,0)</f>
        <v xml:space="preserve"> -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20.25" thickTop="1" thickBot="1">
      <c r="A121" s="117" t="str">
        <f ca="1">VLOOKUP(C121,Postupy!$A$3:$C$258,3,0)</f>
        <v>AJ1</v>
      </c>
      <c r="B121" s="182"/>
      <c r="C121" s="111">
        <v>36</v>
      </c>
      <c r="D121" s="112" t="str">
        <f ca="1">VLOOKUP(C121,Postupy!$A$3:$B$258,2,0)</f>
        <v>51 Orel Řečkovice - Hanák David</v>
      </c>
      <c r="E121" s="157"/>
      <c r="F121" s="185"/>
      <c r="G121" s="184"/>
      <c r="H121" s="201"/>
      <c r="I121" s="234"/>
      <c r="J121" s="193"/>
      <c r="K121" s="187"/>
      <c r="L121" s="384" t="s">
        <v>447</v>
      </c>
      <c r="M121" s="387" t="str">
        <f ca="1">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75" thickBot="1">
      <c r="A122" s="108"/>
      <c r="B122" s="190"/>
      <c r="C122" s="190">
        <f>C120+C121</f>
        <v>129</v>
      </c>
      <c r="D122" s="191"/>
      <c r="E122" s="231"/>
      <c r="F122" s="349">
        <f>C118+C122</f>
        <v>258</v>
      </c>
      <c r="G122" s="184"/>
      <c r="H122" s="204"/>
      <c r="I122" s="234"/>
      <c r="J122" s="184"/>
      <c r="K122" s="109">
        <v>29</v>
      </c>
      <c r="L122" s="110" t="str">
        <f ca="1">IF(OR(TRIM(H118)="-",TRIM(H119)="-"), IF(TRIM(H118)="-",H119,H118),IF(AND(I118="",I119="")," ",IF(N(I118)=N(I119)," ",IF(N(I118)&gt;N(I119),H118,H119))))</f>
        <v>51 Orel Řečkovice - Hanák David</v>
      </c>
      <c r="M122" s="156">
        <v>2</v>
      </c>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20.25" thickTop="1" thickBot="1">
      <c r="A123" s="105"/>
      <c r="B123" s="194"/>
      <c r="C123" s="195"/>
      <c r="D123" s="384" t="s">
        <v>447</v>
      </c>
      <c r="E123" s="387" t="str">
        <f ca="1">IF(OR(TRIM(D124)="-",TRIM(D125)="-"),"",VLOOKUP(MIN(C124,C125),Hřiště!$B$11:$E$266,4,0))</f>
        <v/>
      </c>
      <c r="F123" s="184"/>
      <c r="G123" s="184"/>
      <c r="H123" s="204"/>
      <c r="I123" s="234"/>
      <c r="J123" s="184"/>
      <c r="K123" s="111">
        <v>4</v>
      </c>
      <c r="L123" s="112" t="str">
        <f ca="1">IF(OR(TRIM(H126)="-",TRIM(H127)="-"), IF(TRIM(H126)="-",H127,H126),IF(AND(I126="",I127="")," ",IF(N(I126)=N(I127)," ",IF(N(I126)&gt;N(I127),H126,H127))))</f>
        <v>4 PC Kolová - Kauca Jindřich</v>
      </c>
      <c r="M123" s="157">
        <v>13</v>
      </c>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9.5" thickTop="1" thickBot="1">
      <c r="A124" s="117" t="str">
        <f ca="1">VLOOKUP(C124,Postupy!$A$3:$C$258,3,0)</f>
        <v>Z2</v>
      </c>
      <c r="B124" s="182"/>
      <c r="C124" s="109">
        <v>61</v>
      </c>
      <c r="D124" s="110" t="str">
        <f ca="1">VLOOKUP(C124,Postupy!$A$3:$B$258,2,0)</f>
        <v>26 SK Pétanque Řepy - Holoubek Pavel</v>
      </c>
      <c r="E124" s="156">
        <v>2</v>
      </c>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20.25" thickTop="1" thickBot="1">
      <c r="A125" s="117" t="str">
        <f ca="1">VLOOKUP(C125,Postupy!$A$3:$C$258,3,0)</f>
        <v>S2</v>
      </c>
      <c r="B125" s="182"/>
      <c r="C125" s="111">
        <v>68</v>
      </c>
      <c r="D125" s="112" t="str">
        <f ca="1">VLOOKUP(C125,Postupy!$A$3:$B$258,2,0)</f>
        <v>105 PC Mimo Done - Zikmunda Matěj</v>
      </c>
      <c r="E125" s="157">
        <v>13</v>
      </c>
      <c r="F125" s="207" t="s">
        <v>119</v>
      </c>
      <c r="G125" s="187"/>
      <c r="H125" s="384" t="s">
        <v>447</v>
      </c>
      <c r="I125" s="387" t="str">
        <f ca="1">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75" thickBot="1">
      <c r="A126" s="108"/>
      <c r="B126" s="190"/>
      <c r="C126" s="190">
        <f>C124+C125</f>
        <v>129</v>
      </c>
      <c r="D126" s="191"/>
      <c r="E126" s="231"/>
      <c r="F126" s="23"/>
      <c r="G126" s="109">
        <v>61</v>
      </c>
      <c r="H126" s="110" t="str">
        <f ca="1">IF(OR(TRIM(D124)="-",TRIM(D125)="-"), IF(TRIM(D124)="-",D125,D124),IF(AND(E124="",E125="")," ",IF(N(E124)=N(E125)," ",IF(N(E124)&gt;N(E125),D124,D125))))</f>
        <v>105 PC Mimo Done - Zikmunda Matěj</v>
      </c>
      <c r="I126" s="156">
        <v>11</v>
      </c>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20.25" thickTop="1" thickBot="1">
      <c r="A127" s="105"/>
      <c r="B127" s="194"/>
      <c r="C127" s="195"/>
      <c r="D127" s="384" t="s">
        <v>447</v>
      </c>
      <c r="E127" s="387" t="str">
        <f ca="1">IF(OR(TRIM(D128)="-",TRIM(D129)="-"),"",VLOOKUP(MIN(C128,C129),Hřiště!$B$11:$E$266,4,0))</f>
        <v/>
      </c>
      <c r="F127" s="203"/>
      <c r="G127" s="111">
        <v>4</v>
      </c>
      <c r="H127" s="112" t="str">
        <f ca="1">IF(OR(TRIM(D128)="-",TRIM(D129)="-"), IF(TRIM(D128)="-",D129,D128),IF(AND(E128="",E129="")," ",IF(N(E128)=N(E129)," ",IF(N(E128)&gt;N(E129),D128,D129))))</f>
        <v>4 PC Kolová - Kauca Jindřich</v>
      </c>
      <c r="I127" s="157">
        <v>13</v>
      </c>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9.5" thickTop="1" thickBot="1">
      <c r="A128" s="117" t="str">
        <f ca="1">VLOOKUP(C128,Postupy!$A$3:$C$258,3,0)</f>
        <v/>
      </c>
      <c r="B128" s="182"/>
      <c r="C128" s="109">
        <v>125</v>
      </c>
      <c r="D128" s="110" t="str">
        <f ca="1">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20.25" thickTop="1" thickBot="1">
      <c r="A129" s="117" t="str">
        <f ca="1">VLOOKUP(C129,Postupy!$A$3:$C$258,3,0)</f>
        <v>D1</v>
      </c>
      <c r="B129" s="182"/>
      <c r="C129" s="111">
        <v>4</v>
      </c>
      <c r="D129" s="112" t="str">
        <f ca="1">VLOOKUP(C129,Postupy!$A$3:$B$258,2,0)</f>
        <v>4 PC Kolová - Kauca Jindřich</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20.25" thickTop="1" thickBot="1">
      <c r="A131" s="29"/>
      <c r="B131" s="33"/>
      <c r="C131" s="259"/>
      <c r="D131" s="384" t="s">
        <v>447</v>
      </c>
      <c r="E131" s="387" t="str">
        <f ca="1">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9.5" thickTop="1" thickBot="1">
      <c r="A132" s="117" t="str">
        <f ca="1">VLOOKUP(C132,Postupy!$A$3:$C$258,3,0)</f>
        <v>C1</v>
      </c>
      <c r="B132" s="182"/>
      <c r="C132" s="109">
        <v>3</v>
      </c>
      <c r="D132" s="110" t="str">
        <f ca="1">VLOOKUP(C132,Postupy!$A$3:$B$258,2,0)</f>
        <v>3 Carreau Brno - Michálek Tomáš</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20.25" thickTop="1" thickBot="1">
      <c r="A133" s="117" t="str">
        <f ca="1">VLOOKUP(C133,Postupy!$A$3:$C$258,3,0)</f>
        <v/>
      </c>
      <c r="B133" s="182"/>
      <c r="C133" s="111">
        <v>126</v>
      </c>
      <c r="D133" s="112" t="str">
        <f ca="1">VLOOKUP(C133,Postupy!$A$3:$B$258,2,0)</f>
        <v xml:space="preserve"> - </v>
      </c>
      <c r="E133" s="157"/>
      <c r="F133" s="186"/>
      <c r="G133" s="187"/>
      <c r="H133" s="384" t="s">
        <v>447</v>
      </c>
      <c r="I133" s="387" t="str">
        <f ca="1">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75" thickBot="1">
      <c r="A134" s="108"/>
      <c r="B134" s="190"/>
      <c r="C134" s="190">
        <f>C132+C133</f>
        <v>129</v>
      </c>
      <c r="D134" s="191"/>
      <c r="E134" s="386"/>
      <c r="F134" s="192"/>
      <c r="G134" s="109">
        <v>3</v>
      </c>
      <c r="H134" s="110" t="str">
        <f ca="1">IF(OR(TRIM(D132)="-",TRIM(D133)="-"), IF(TRIM(D132)="-",D133,D132),IF(AND(E132="",E133="")," ",IF(N(E132)=N(E133)," ",IF(N(E132)&gt;N(E133),D132,D133))))</f>
        <v>3 Carreau Brno - Michálek Tomáš</v>
      </c>
      <c r="I134" s="156">
        <v>13</v>
      </c>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20.25" thickTop="1" thickBot="1">
      <c r="A135" s="105"/>
      <c r="B135" s="194"/>
      <c r="C135" s="195"/>
      <c r="D135" s="384" t="s">
        <v>447</v>
      </c>
      <c r="E135" s="387" t="str">
        <f ca="1">IF(OR(TRIM(D136)="-",TRIM(D137)="-"),"",VLOOKUP(MIN(C136,C137),Hřiště!$B$11:$E$266,4,0))</f>
        <v/>
      </c>
      <c r="F135" s="385"/>
      <c r="G135" s="111">
        <v>62</v>
      </c>
      <c r="H135" s="112" t="str">
        <f ca="1">IF(OR(TRIM(D136)="-",TRIM(D137)="-"), IF(TRIM(D136)="-",D137,D136),IF(AND(E136="",E137="")," ",IF(N(E136)=N(E137)," ",IF(N(E136)&gt;N(E137),D136,D137))))</f>
        <v>67 POP Praha - Žárský Kamil</v>
      </c>
      <c r="I135" s="157">
        <v>7</v>
      </c>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75" thickBot="1">
      <c r="A136" s="117" t="str">
        <f ca="1">VLOOKUP(C136,Postupy!$A$3:$C$258,3,0)</f>
        <v>T2</v>
      </c>
      <c r="B136" s="182"/>
      <c r="C136" s="109">
        <v>67</v>
      </c>
      <c r="D136" s="110" t="str">
        <f ca="1">VLOOKUP(C136,Postupy!$A$3:$B$258,2,0)</f>
        <v>67 POP Praha - Žárský Kamil</v>
      </c>
      <c r="E136" s="156">
        <v>13</v>
      </c>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20.25" thickTop="1" thickBot="1">
      <c r="A137" s="117" t="str">
        <f ca="1">VLOOKUP(C137,Postupy!$A$3:$C$258,3,0)</f>
        <v>Y2</v>
      </c>
      <c r="B137" s="182"/>
      <c r="C137" s="111">
        <v>62</v>
      </c>
      <c r="D137" s="112" t="str">
        <f ca="1">VLOOKUP(C137,Postupy!$A$3:$B$258,2,0)</f>
        <v>25 Club Rodamiento - Dlouhá Ivana</v>
      </c>
      <c r="E137" s="157">
        <v>5</v>
      </c>
      <c r="F137" s="185"/>
      <c r="G137" s="184"/>
      <c r="H137" s="201"/>
      <c r="I137" s="235"/>
      <c r="J137" s="193"/>
      <c r="K137" s="187"/>
      <c r="L137" s="384" t="s">
        <v>447</v>
      </c>
      <c r="M137" s="387" t="str">
        <f ca="1">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75" thickBot="1">
      <c r="A138" s="108"/>
      <c r="B138" s="190"/>
      <c r="C138" s="190">
        <f>C136+C137</f>
        <v>129</v>
      </c>
      <c r="D138" s="191"/>
      <c r="E138" s="231"/>
      <c r="F138" s="349">
        <f>C134+C138</f>
        <v>258</v>
      </c>
      <c r="G138" s="184"/>
      <c r="H138" s="204"/>
      <c r="I138" s="234"/>
      <c r="J138" s="184"/>
      <c r="K138" s="109">
        <v>3</v>
      </c>
      <c r="L138" s="110" t="str">
        <f ca="1">IF(OR(TRIM(H134)="-",TRIM(H135)="-"), IF(TRIM(H134)="-",H135,H134),IF(AND(I134="",I135="")," ",IF(N(I134)=N(I135)," ",IF(N(I134)&gt;N(I135),H134,H135))))</f>
        <v>3 Carreau Brno - Michálek Tomáš</v>
      </c>
      <c r="M138" s="156">
        <v>13</v>
      </c>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20.25" thickTop="1" thickBot="1">
      <c r="A139" s="105"/>
      <c r="B139" s="194"/>
      <c r="C139" s="195"/>
      <c r="D139" s="384" t="s">
        <v>447</v>
      </c>
      <c r="E139" s="387" t="str">
        <f ca="1">IF(OR(TRIM(D140)="-",TRIM(D141)="-"),"",VLOOKUP(MIN(C140,C141),Hřiště!$B$11:$E$266,4,0))</f>
        <v/>
      </c>
      <c r="F139" s="184"/>
      <c r="G139" s="184"/>
      <c r="H139" s="204"/>
      <c r="I139" s="234"/>
      <c r="J139" s="184"/>
      <c r="K139" s="111">
        <v>30</v>
      </c>
      <c r="L139" s="112" t="str">
        <f ca="1">IF(OR(TRIM(H142)="-",TRIM(H143)="-"), IF(TRIM(H142)="-",H143,H142),IF(AND(I142="",I143="")," ",IF(N(I142)=N(I143)," ",IF(N(I142)&gt;N(I143),H142,H143))))</f>
        <v>30 POP Praha - Resl Jan</v>
      </c>
      <c r="M139" s="157">
        <v>2</v>
      </c>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9.5" thickTop="1" thickBot="1">
      <c r="A140" s="117" t="str">
        <f ca="1">VLOOKUP(C140,Postupy!$A$3:$C$258,3,0)</f>
        <v>AI1</v>
      </c>
      <c r="B140" s="182"/>
      <c r="C140" s="109">
        <v>35</v>
      </c>
      <c r="D140" s="110" t="str">
        <f ca="1">VLOOKUP(C140,Postupy!$A$3:$B$258,2,0)</f>
        <v>121 PCP Lipník - Kmoch Miroslav</v>
      </c>
      <c r="E140" s="156"/>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20.25" thickTop="1" thickBot="1">
      <c r="A141" s="117" t="str">
        <f ca="1">VLOOKUP(C141,Postupy!$A$3:$C$258,3,0)</f>
        <v/>
      </c>
      <c r="B141" s="182"/>
      <c r="C141" s="111">
        <v>94</v>
      </c>
      <c r="D141" s="112" t="str">
        <f ca="1">VLOOKUP(C141,Postupy!$A$3:$B$258,2,0)</f>
        <v xml:space="preserve"> - </v>
      </c>
      <c r="E141" s="157"/>
      <c r="F141" s="207" t="s">
        <v>119</v>
      </c>
      <c r="G141" s="187"/>
      <c r="H141" s="384" t="s">
        <v>447</v>
      </c>
      <c r="I141" s="387" t="str">
        <f ca="1">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75" thickBot="1">
      <c r="A142" s="108"/>
      <c r="B142" s="190"/>
      <c r="C142" s="190">
        <f>C140+C141</f>
        <v>129</v>
      </c>
      <c r="D142" s="191"/>
      <c r="E142" s="231"/>
      <c r="F142" s="192"/>
      <c r="G142" s="109">
        <v>35</v>
      </c>
      <c r="H142" s="110" t="str">
        <f ca="1">IF(OR(TRIM(D140)="-",TRIM(D141)="-"), IF(TRIM(D140)="-",D141,D140),IF(AND(E140="",E141="")," ",IF(N(E140)=N(E141)," ",IF(N(E140)&gt;N(E141),D140,D141))))</f>
        <v>121 PCP Lipník - Kmoch Miroslav</v>
      </c>
      <c r="I142" s="156">
        <v>10</v>
      </c>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20.25" thickTop="1" thickBot="1">
      <c r="A143" s="105"/>
      <c r="B143" s="194"/>
      <c r="C143" s="195"/>
      <c r="D143" s="384" t="s">
        <v>447</v>
      </c>
      <c r="E143" s="387" t="str">
        <f ca="1">IF(OR(TRIM(D144)="-",TRIM(D145)="-"),"",VLOOKUP(MIN(C144,C145),Hřiště!$B$11:$E$266,4,0))</f>
        <v/>
      </c>
      <c r="F143" s="203"/>
      <c r="G143" s="111">
        <v>30</v>
      </c>
      <c r="H143" s="112" t="str">
        <f ca="1">IF(OR(TRIM(D144)="-",TRIM(D145)="-"), IF(TRIM(D144)="-",D145,D144),IF(AND(E144="",E145="")," ",IF(N(E144)=N(E145)," ",IF(N(E144)&gt;N(E145),D144,D145))))</f>
        <v>30 POP Praha - Resl Jan</v>
      </c>
      <c r="I143" s="157">
        <v>13</v>
      </c>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9.5" thickTop="1" thickBot="1">
      <c r="A144" s="117" t="str">
        <f ca="1">VLOOKUP(C144,Postupy!$A$3:$C$258,3,0)</f>
        <v/>
      </c>
      <c r="B144" s="182"/>
      <c r="C144" s="109">
        <v>99</v>
      </c>
      <c r="D144" s="110" t="str">
        <f ca="1">VLOOKUP(C144,Postupy!$A$3:$B$258,2,0)</f>
        <v xml:space="preserve"> - </v>
      </c>
      <c r="E144" s="156"/>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20.25" thickTop="1" thickBot="1">
      <c r="A145" s="117" t="str">
        <f ca="1">VLOOKUP(C145,Postupy!$A$3:$C$258,3,0)</f>
        <v>AD1</v>
      </c>
      <c r="B145" s="182"/>
      <c r="C145" s="111">
        <v>30</v>
      </c>
      <c r="D145" s="112" t="str">
        <f ca="1">VLOOKUP(C145,Postupy!$A$3:$B$258,2,0)</f>
        <v>30 POP Praha - Resl Jan</v>
      </c>
      <c r="E145" s="157"/>
      <c r="F145" s="209"/>
      <c r="G145" s="184"/>
      <c r="H145" s="201"/>
      <c r="I145" s="234"/>
      <c r="J145" s="184"/>
      <c r="K145" s="184"/>
      <c r="L145" s="210"/>
      <c r="M145" s="235"/>
      <c r="N145" s="193"/>
      <c r="O145" s="187"/>
      <c r="P145" s="384" t="s">
        <v>447</v>
      </c>
      <c r="Q145" s="387" t="str">
        <f ca="1">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75" thickBot="1">
      <c r="A146" s="108"/>
      <c r="B146" s="190"/>
      <c r="C146" s="190">
        <f>C144+C145</f>
        <v>129</v>
      </c>
      <c r="D146" s="191"/>
      <c r="E146" s="231"/>
      <c r="F146" s="349">
        <f>C142+C146</f>
        <v>258</v>
      </c>
      <c r="G146" s="184"/>
      <c r="H146" s="204"/>
      <c r="I146" s="234"/>
      <c r="J146" s="184"/>
      <c r="K146" s="184"/>
      <c r="L146" s="211"/>
      <c r="M146" s="235"/>
      <c r="N146" s="193"/>
      <c r="O146" s="109">
        <v>3</v>
      </c>
      <c r="P146" s="110" t="str">
        <f ca="1">IF(OR(TRIM(L138)="-",TRIM(L139)="-"), IF(TRIM(L138)="-",L139,L138),IF(AND(M138="",M139="")," ",IF(N(M138)=N(M139)," ",IF(N(M138)&gt;N(M139),L138,L139))))</f>
        <v>3 Carreau Brno - Michálek Tomáš</v>
      </c>
      <c r="Q146" s="156">
        <v>13</v>
      </c>
      <c r="R146" s="193"/>
      <c r="S146" s="184"/>
      <c r="T146" s="184"/>
      <c r="U146" s="184"/>
      <c r="V146" s="184"/>
      <c r="W146" s="193"/>
      <c r="X146" s="17"/>
      <c r="Y146" s="17"/>
      <c r="Z146" s="193"/>
      <c r="AA146" s="196"/>
      <c r="AB146" s="17"/>
      <c r="AC146" s="17"/>
      <c r="AD146" s="17"/>
      <c r="AE146" s="17"/>
      <c r="AF146" s="17"/>
      <c r="AG146" s="18"/>
      <c r="AH146" s="17"/>
      <c r="AI146" s="17"/>
      <c r="AJ146" s="17"/>
    </row>
    <row r="147" spans="1:36" ht="20.25" thickTop="1" thickBot="1">
      <c r="A147" s="105"/>
      <c r="B147" s="194"/>
      <c r="C147" s="195"/>
      <c r="D147" s="384" t="s">
        <v>447</v>
      </c>
      <c r="E147" s="387" t="str">
        <f ca="1">IF(OR(TRIM(D148)="-",TRIM(D149)="-"),"",VLOOKUP(MIN(C148,C149),Hřiště!$B$11:$E$266,4,0))</f>
        <v/>
      </c>
      <c r="F147" s="184"/>
      <c r="G147" s="184"/>
      <c r="H147" s="204"/>
      <c r="I147" s="234"/>
      <c r="J147" s="184"/>
      <c r="K147" s="184"/>
      <c r="L147" s="211"/>
      <c r="M147" s="235"/>
      <c r="N147" s="192"/>
      <c r="O147" s="111">
        <v>14</v>
      </c>
      <c r="P147" s="112" t="str">
        <f ca="1">IF(OR(TRIM(L154)="-",TRIM(L155)="-"),IF(TRIM(L154)="-",L155,L154),IF(AND(M154="",M155="")," ",IF(N(M154)=N(M155)," ",IF(N(M154)&gt;N(M155),L154,L155))))</f>
        <v>19 1. KPK Vrchlabí - Srnský Lubomír</v>
      </c>
      <c r="Q147" s="157">
        <v>0</v>
      </c>
      <c r="R147" s="186"/>
      <c r="S147" s="212"/>
      <c r="T147" s="184"/>
      <c r="U147" s="184"/>
      <c r="V147" s="184"/>
      <c r="W147" s="193"/>
      <c r="X147" s="17"/>
      <c r="Y147" s="17"/>
      <c r="Z147" s="193"/>
      <c r="AA147" s="196"/>
      <c r="AB147" s="17"/>
      <c r="AC147" s="17"/>
      <c r="AD147" s="17"/>
      <c r="AE147" s="17"/>
      <c r="AF147" s="17"/>
      <c r="AG147" s="18"/>
      <c r="AH147" s="17"/>
      <c r="AI147" s="17"/>
      <c r="AJ147" s="17"/>
    </row>
    <row r="148" spans="1:36" ht="19.5" thickTop="1" thickBot="1">
      <c r="A148" s="117" t="str">
        <f ca="1">VLOOKUP(C148,Postupy!$A$3:$C$258,3,0)</f>
        <v>AO2</v>
      </c>
      <c r="B148" s="182"/>
      <c r="C148" s="109">
        <v>46</v>
      </c>
      <c r="D148" s="110" t="str">
        <f ca="1">VLOOKUP(C148,Postupy!$A$3:$B$258,2,0)</f>
        <v>127 JAPKO - Fukal Milan</v>
      </c>
      <c r="E148" s="156">
        <v>12</v>
      </c>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20.25" thickTop="1" thickBot="1">
      <c r="A149" s="117" t="str">
        <f ca="1">VLOOKUP(C149,Postupy!$A$3:$C$258,3,0)</f>
        <v>D2</v>
      </c>
      <c r="B149" s="182"/>
      <c r="C149" s="111">
        <v>83</v>
      </c>
      <c r="D149" s="112" t="str">
        <f ca="1">VLOOKUP(C149,Postupy!$A$3:$B$258,2,0)</f>
        <v>83 PKT Velký Šanc - Horálek Jiří</v>
      </c>
      <c r="E149" s="157">
        <v>13</v>
      </c>
      <c r="F149" s="213"/>
      <c r="G149" s="187"/>
      <c r="H149" s="384" t="s">
        <v>447</v>
      </c>
      <c r="I149" s="387" t="str">
        <f ca="1">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9.5" thickTop="1" thickBot="1">
      <c r="A150" s="108"/>
      <c r="B150" s="190"/>
      <c r="C150" s="190">
        <f>C148+C149</f>
        <v>129</v>
      </c>
      <c r="D150" s="191"/>
      <c r="E150" s="231"/>
      <c r="F150" s="192"/>
      <c r="G150" s="109">
        <v>46</v>
      </c>
      <c r="H150" s="110" t="str">
        <f ca="1">IF(OR(TRIM(D148)="-",TRIM(D149)="-"), IF(TRIM(D148)="-",D149,D148),IF(AND(E148="",E149="")," ",IF(N(E148)=N(E149)," ",IF(N(E148)&gt;N(E149),D148,D149))))</f>
        <v>83 PKT Velký Šanc - Horálek Jiří</v>
      </c>
      <c r="I150" s="156">
        <v>7</v>
      </c>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20.25" thickTop="1" thickBot="1">
      <c r="A151" s="105"/>
      <c r="B151" s="194"/>
      <c r="C151" s="195"/>
      <c r="D151" s="384" t="s">
        <v>447</v>
      </c>
      <c r="E151" s="387" t="str">
        <f ca="1">IF(OR(TRIM(D152)="-",TRIM(D153)="-"),"",VLOOKUP(MIN(C152,C153),Hřiště!$B$11:$E$266,4,0))</f>
        <v/>
      </c>
      <c r="F151" s="192"/>
      <c r="G151" s="111">
        <v>19</v>
      </c>
      <c r="H151" s="112" t="str">
        <f ca="1">IF(OR(TRIM(D152)="-",TRIM(D153)="-"), IF(TRIM(D152)="-",D153,D152),IF(AND(E152="",E153="")," ",IF(N(E152)=N(E153)," ",IF(N(E152)&gt;N(E153),D152,D153))))</f>
        <v>19 1. KPK Vrchlabí - Srnský Lubomír</v>
      </c>
      <c r="I151" s="157">
        <v>13</v>
      </c>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9.5" thickTop="1" thickBot="1">
      <c r="A152" s="117" t="str">
        <f ca="1">VLOOKUP(C152,Postupy!$A$3:$C$258,3,0)</f>
        <v/>
      </c>
      <c r="B152" s="182"/>
      <c r="C152" s="109">
        <v>110</v>
      </c>
      <c r="D152" s="110" t="str">
        <f ca="1">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20.25" thickTop="1" thickBot="1">
      <c r="A153" s="117" t="str">
        <f ca="1">VLOOKUP(C153,Postupy!$A$3:$C$258,3,0)</f>
        <v>S1</v>
      </c>
      <c r="B153" s="182"/>
      <c r="C153" s="111">
        <v>19</v>
      </c>
      <c r="D153" s="112" t="str">
        <f ca="1">VLOOKUP(C153,Postupy!$A$3:$B$258,2,0)</f>
        <v>19 1. KPK Vrchlabí - Srnský Lubomír</v>
      </c>
      <c r="E153" s="157"/>
      <c r="F153" s="185"/>
      <c r="G153" s="184"/>
      <c r="H153" s="201"/>
      <c r="I153" s="235"/>
      <c r="J153" s="193"/>
      <c r="K153" s="187"/>
      <c r="L153" s="384" t="s">
        <v>447</v>
      </c>
      <c r="M153" s="387" t="str">
        <f ca="1">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9.5" thickTop="1" thickBot="1">
      <c r="A154" s="108"/>
      <c r="B154" s="190"/>
      <c r="C154" s="190">
        <f>C152+C153</f>
        <v>129</v>
      </c>
      <c r="D154" s="191"/>
      <c r="E154" s="231"/>
      <c r="F154" s="349">
        <f>C150+C154</f>
        <v>258</v>
      </c>
      <c r="G154" s="184"/>
      <c r="H154" s="204"/>
      <c r="I154" s="234"/>
      <c r="J154" s="184"/>
      <c r="K154" s="109">
        <v>19</v>
      </c>
      <c r="L154" s="110" t="str">
        <f ca="1">IF(OR(TRIM(H150)="-",TRIM(H151)="-"), IF(TRIM(H150)="-",H151,H150),IF(AND(I150="",I151="")," ",IF(N(I150)=N(I151)," ",IF(N(I150)&gt;N(I151),H150,H151))))</f>
        <v>19 1. KPK Vrchlabí - Srnský Lubomír</v>
      </c>
      <c r="M154" s="156">
        <v>13</v>
      </c>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20.25" thickTop="1" thickBot="1">
      <c r="A155" s="105"/>
      <c r="B155" s="194"/>
      <c r="C155" s="195"/>
      <c r="D155" s="384" t="s">
        <v>447</v>
      </c>
      <c r="E155" s="387" t="str">
        <f ca="1">IF(OR(TRIM(D156)="-",TRIM(D157)="-"),"",VLOOKUP(MIN(C156,C157),Hřiště!$B$11:$E$266,4,0))</f>
        <v/>
      </c>
      <c r="F155" s="184"/>
      <c r="G155" s="184"/>
      <c r="H155" s="204"/>
      <c r="I155" s="234"/>
      <c r="J155" s="184"/>
      <c r="K155" s="111">
        <v>14</v>
      </c>
      <c r="L155" s="112" t="str">
        <f ca="1">IF(OR(TRIM(H158)="-",TRIM(H159)="-"), IF(TRIM(H158)="-",H159,H158),IF(AND(I158="",I159="")," ",IF(N(I158)=N(I159)," ",IF(N(I158)&gt;N(I159),H158,H159))))</f>
        <v>14 FRAPECO - Ondryáš Jiří</v>
      </c>
      <c r="M155" s="157">
        <v>6</v>
      </c>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9.5" thickTop="1" thickBot="1">
      <c r="A156" s="117" t="str">
        <f ca="1">VLOOKUP(C156,Postupy!$A$3:$C$258,3,0)</f>
        <v>AJ2</v>
      </c>
      <c r="B156" s="182"/>
      <c r="C156" s="109">
        <v>51</v>
      </c>
      <c r="D156" s="110" t="str">
        <f ca="1">VLOOKUP(C156,Postupy!$A$3:$B$258,2,0)</f>
        <v>36 HRODE KRUMSÍN - Pírek Martin</v>
      </c>
      <c r="E156" s="156">
        <v>2</v>
      </c>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20.25" thickTop="1" thickBot="1">
      <c r="A157" s="117" t="str">
        <f ca="1">VLOOKUP(C157,Postupy!$A$3:$C$258,3,0)</f>
        <v>I2</v>
      </c>
      <c r="B157" s="182"/>
      <c r="C157" s="111">
        <v>78</v>
      </c>
      <c r="D157" s="112" t="str">
        <f ca="1">VLOOKUP(C157,Postupy!$A$3:$B$258,2,0)</f>
        <v>95 PPA POZORKA - Michovský Jiří</v>
      </c>
      <c r="E157" s="157">
        <v>13</v>
      </c>
      <c r="F157" s="207" t="s">
        <v>119</v>
      </c>
      <c r="G157" s="187"/>
      <c r="H157" s="384" t="s">
        <v>447</v>
      </c>
      <c r="I157" s="387" t="str">
        <f ca="1">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9.5" thickTop="1" thickBot="1">
      <c r="A158" s="108"/>
      <c r="B158" s="190"/>
      <c r="C158" s="190">
        <f>C156+C157</f>
        <v>129</v>
      </c>
      <c r="D158" s="191"/>
      <c r="E158" s="231"/>
      <c r="F158" s="23"/>
      <c r="G158" s="109">
        <v>51</v>
      </c>
      <c r="H158" s="110" t="str">
        <f ca="1">IF(OR(TRIM(D156)="-",TRIM(D157)="-"), IF(TRIM(D156)="-",D157,D156),IF(AND(E156="",E157="")," ",IF(N(E156)=N(E157)," ",IF(N(E156)&gt;N(E157),D156,D157))))</f>
        <v>95 PPA POZORKA - Michovský Jiří</v>
      </c>
      <c r="I158" s="156">
        <v>11</v>
      </c>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20.25" thickTop="1" thickBot="1">
      <c r="A159" s="105"/>
      <c r="B159" s="194"/>
      <c r="C159" s="195"/>
      <c r="D159" s="384" t="s">
        <v>447</v>
      </c>
      <c r="E159" s="387" t="str">
        <f ca="1">IF(OR(TRIM(D160)="-",TRIM(D161)="-"),"",VLOOKUP(MIN(C160,C161),Hřiště!$B$11:$E$266,4,0))</f>
        <v/>
      </c>
      <c r="F159" s="203"/>
      <c r="G159" s="111">
        <v>14</v>
      </c>
      <c r="H159" s="112" t="str">
        <f ca="1">IF(OR(TRIM(D160)="-",TRIM(D161)="-"), IF(TRIM(D160)="-",D161,D160),IF(AND(E160="",E161="")," ",IF(N(E160)=N(E161)," ",IF(N(E160)&gt;N(E161),D160,D161))))</f>
        <v>14 FRAPECO - Ondryáš Jiří</v>
      </c>
      <c r="I159" s="157">
        <v>13</v>
      </c>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9.5" thickTop="1" thickBot="1">
      <c r="A160" s="117" t="str">
        <f ca="1">VLOOKUP(C160,Postupy!$A$3:$C$258,3,0)</f>
        <v/>
      </c>
      <c r="B160" s="182"/>
      <c r="C160" s="109">
        <v>115</v>
      </c>
      <c r="D160" s="110" t="str">
        <f ca="1">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20.25" thickTop="1" thickBot="1">
      <c r="A161" s="117" t="str">
        <f ca="1">VLOOKUP(C161,Postupy!$A$3:$C$258,3,0)</f>
        <v>N1</v>
      </c>
      <c r="B161" s="182"/>
      <c r="C161" s="111">
        <v>14</v>
      </c>
      <c r="D161" s="112" t="str">
        <f ca="1">VLOOKUP(C161,Postupy!$A$3:$B$258,2,0)</f>
        <v>14 FRAPECO - Ondryáš Jiří</v>
      </c>
      <c r="E161" s="157"/>
      <c r="F161" s="209"/>
      <c r="G161" s="184"/>
      <c r="H161" s="201"/>
      <c r="I161" s="234"/>
      <c r="J161" s="184"/>
      <c r="K161" s="184"/>
      <c r="L161" s="210"/>
      <c r="M161" s="234"/>
      <c r="N161" s="184"/>
      <c r="O161" s="184"/>
      <c r="P161" s="211"/>
      <c r="Q161" s="235"/>
      <c r="R161" s="193"/>
      <c r="S161" s="187"/>
      <c r="T161" s="384" t="s">
        <v>447</v>
      </c>
      <c r="U161" s="387" t="str">
        <f ca="1">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9.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 ca="1">IF(OR(TRIM(P146)="-",TRIM(P147)="-"), IF(TRIM(P146)="-",P147,P146),IF(AND(Q146="",Q147="")," ",IF(N(Q146)=N(Q147)," ",IF(N(Q146)&gt;N(Q147),P146,P147))))</f>
        <v>3 Carreau Brno - Michálek Tomáš</v>
      </c>
      <c r="U162" s="156">
        <v>13</v>
      </c>
      <c r="V162" s="193"/>
      <c r="W162" s="184"/>
      <c r="X162" s="17"/>
      <c r="Y162" s="17"/>
      <c r="Z162" s="193"/>
      <c r="AA162" s="196"/>
      <c r="AB162" s="17"/>
      <c r="AC162" s="17"/>
      <c r="AD162" s="17"/>
      <c r="AE162" s="17"/>
      <c r="AF162" s="17"/>
      <c r="AG162" s="18"/>
      <c r="AH162" s="17"/>
      <c r="AI162" s="17"/>
      <c r="AJ162" s="17"/>
    </row>
    <row r="163" spans="1:36" ht="20.25" thickTop="1" thickBot="1">
      <c r="A163" s="105"/>
      <c r="B163" s="194"/>
      <c r="C163" s="195"/>
      <c r="D163" s="384" t="s">
        <v>447</v>
      </c>
      <c r="E163" s="387" t="str">
        <f ca="1">IF(OR(TRIM(D164)="-",TRIM(D165)="-"),"",VLOOKUP(MIN(C164,C165),Hřiště!$B$11:$E$266,4,0))</f>
        <v/>
      </c>
      <c r="F163" s="23"/>
      <c r="G163" s="184"/>
      <c r="H163" s="204"/>
      <c r="I163" s="234"/>
      <c r="J163" s="184"/>
      <c r="K163" s="184"/>
      <c r="L163" s="217"/>
      <c r="M163" s="234"/>
      <c r="N163" s="184"/>
      <c r="O163" s="184"/>
      <c r="P163" s="217"/>
      <c r="Q163" s="234"/>
      <c r="R163" s="184"/>
      <c r="S163" s="111">
        <v>6</v>
      </c>
      <c r="T163" s="112" t="str">
        <f ca="1">IF(OR(TRIM(P178)="-",TRIM(P179)="-"), IF(TRIM(P178)="-",P179,P178),IF(AND(Q178="",Q179="")," ",IF(N(Q178)=N(Q179)," ",IF(N(Q178)&gt;N(Q179),P178,P179))))</f>
        <v>65 Sokol Kostomlaty - Vaníčková Alena</v>
      </c>
      <c r="U163" s="157">
        <v>8</v>
      </c>
      <c r="V163" s="186"/>
      <c r="W163" s="212"/>
      <c r="X163" s="17"/>
      <c r="Y163" s="17"/>
      <c r="Z163" s="193"/>
      <c r="AA163" s="196"/>
      <c r="AB163" s="17"/>
      <c r="AC163" s="17"/>
      <c r="AD163" s="17"/>
      <c r="AE163" s="17"/>
      <c r="AF163" s="17"/>
      <c r="AG163" s="18"/>
      <c r="AH163" s="17"/>
      <c r="AI163" s="17"/>
      <c r="AJ163" s="17"/>
    </row>
    <row r="164" spans="1:36" ht="19.5" thickTop="1" thickBot="1">
      <c r="A164" s="117" t="str">
        <f ca="1">VLOOKUP(C164,Postupy!$A$3:$C$258,3,0)</f>
        <v>K1</v>
      </c>
      <c r="B164" s="182"/>
      <c r="C164" s="109">
        <v>11</v>
      </c>
      <c r="D164" s="110" t="str">
        <f ca="1">VLOOKUP(C164,Postupy!$A$3:$B$258,2,0)</f>
        <v>76 PC Kolová - Horáček Jindřich</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20.25" thickTop="1" thickBot="1">
      <c r="A165" s="117" t="str">
        <f ca="1">VLOOKUP(C165,Postupy!$A$3:$C$258,3,0)</f>
        <v/>
      </c>
      <c r="B165" s="182"/>
      <c r="C165" s="111">
        <v>118</v>
      </c>
      <c r="D165" s="112" t="str">
        <f ca="1">VLOOKUP(C165,Postupy!$A$3:$B$258,2,0)</f>
        <v xml:space="preserve"> - </v>
      </c>
      <c r="E165" s="157"/>
      <c r="F165" s="213"/>
      <c r="G165" s="187"/>
      <c r="H165" s="384" t="s">
        <v>447</v>
      </c>
      <c r="I165" s="387" t="str">
        <f ca="1">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9.5" thickTop="1" thickBot="1">
      <c r="A166" s="108"/>
      <c r="B166" s="190"/>
      <c r="C166" s="190">
        <f>C164+C165</f>
        <v>129</v>
      </c>
      <c r="D166" s="191"/>
      <c r="E166" s="231"/>
      <c r="F166" s="192"/>
      <c r="G166" s="109">
        <v>11</v>
      </c>
      <c r="H166" s="110" t="str">
        <f ca="1">IF(OR(TRIM(D164)="-",TRIM(D165)="-"), IF(TRIM(D164)="-",D165,D164),IF(AND(E164="",E165="")," ",IF(N(E164)=N(E165)," ",IF(N(E164)&gt;N(E165),D164,D165))))</f>
        <v>76 PC Kolová - Horáček Jindřich</v>
      </c>
      <c r="I166" s="156">
        <v>13</v>
      </c>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20.25" thickTop="1" thickBot="1">
      <c r="A167" s="105"/>
      <c r="B167" s="194"/>
      <c r="C167" s="195"/>
      <c r="D167" s="384" t="s">
        <v>447</v>
      </c>
      <c r="E167" s="387" t="str">
        <f ca="1">IF(OR(TRIM(D168)="-",TRIM(D169)="-"),"",VLOOKUP(MIN(C168,C169),Hřiště!$B$11:$E$266,4,0))</f>
        <v/>
      </c>
      <c r="F167" s="192"/>
      <c r="G167" s="111">
        <v>54</v>
      </c>
      <c r="H167" s="112" t="str">
        <f ca="1">IF(OR(TRIM(D168)="-",TRIM(D169)="-"), IF(TRIM(D168)="-",D169,D168),IF(AND(E168="",E169="")," ",IF(N(E168)=N(E169)," ",IF(N(E168)&gt;N(E169),D168,D169))))</f>
        <v>54 SK Sahara Vědomice - Horáčková Simona</v>
      </c>
      <c r="I167" s="157">
        <v>10</v>
      </c>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9.5" thickTop="1" thickBot="1">
      <c r="A168" s="117" t="str">
        <f ca="1">VLOOKUP(C168,Postupy!$A$3:$C$258,3,0)</f>
        <v>L2</v>
      </c>
      <c r="B168" s="182"/>
      <c r="C168" s="109">
        <v>75</v>
      </c>
      <c r="D168" s="110" t="str">
        <f ca="1">VLOOKUP(C168,Postupy!$A$3:$B$258,2,0)</f>
        <v>98 C.T.P. Club Ořech - Glaserová Dana</v>
      </c>
      <c r="E168" s="156">
        <v>7</v>
      </c>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20.25" thickTop="1" thickBot="1">
      <c r="A169" s="117" t="str">
        <f ca="1">VLOOKUP(C169,Postupy!$A$3:$C$258,3,0)</f>
        <v>AG2</v>
      </c>
      <c r="B169" s="182"/>
      <c r="C169" s="111">
        <v>54</v>
      </c>
      <c r="D169" s="112" t="str">
        <f ca="1">VLOOKUP(C169,Postupy!$A$3:$B$258,2,0)</f>
        <v>54 SK Sahara Vědomice - Horáčková Simona</v>
      </c>
      <c r="E169" s="157">
        <v>13</v>
      </c>
      <c r="F169" s="185"/>
      <c r="G169" s="184"/>
      <c r="H169" s="201"/>
      <c r="I169" s="235"/>
      <c r="J169" s="193"/>
      <c r="K169" s="187"/>
      <c r="L169" s="384" t="s">
        <v>447</v>
      </c>
      <c r="M169" s="387" t="str">
        <f ca="1">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9.5" thickTop="1" thickBot="1">
      <c r="A170" s="108"/>
      <c r="B170" s="190"/>
      <c r="C170" s="190">
        <f>C168+C169</f>
        <v>129</v>
      </c>
      <c r="D170" s="191"/>
      <c r="E170" s="231"/>
      <c r="F170" s="349">
        <f>C166+C170</f>
        <v>258</v>
      </c>
      <c r="G170" s="184"/>
      <c r="H170" s="204"/>
      <c r="I170" s="234"/>
      <c r="J170" s="184"/>
      <c r="K170" s="109">
        <v>11</v>
      </c>
      <c r="L170" s="110" t="str">
        <f ca="1">IF(OR(TRIM(H166)="-",TRIM(H167)="-"), IF(TRIM(H166)="-",H167,H166),IF(AND(I166="",I167="")," ",IF(N(I166)=N(I167)," ",IF(N(I166)&gt;N(I167),H166,H167))))</f>
        <v>76 PC Kolová - Horáček Jindřich</v>
      </c>
      <c r="M170" s="156">
        <v>11</v>
      </c>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20.25" thickTop="1" thickBot="1">
      <c r="A171" s="105"/>
      <c r="B171" s="194"/>
      <c r="C171" s="195"/>
      <c r="D171" s="384" t="s">
        <v>447</v>
      </c>
      <c r="E171" s="387" t="str">
        <f ca="1">IF(OR(TRIM(D172)="-",TRIM(D173)="-"),"",VLOOKUP(MIN(C172,C173),Hřiště!$B$11:$E$266,4,0))</f>
        <v/>
      </c>
      <c r="F171" s="184"/>
      <c r="G171" s="184"/>
      <c r="H171" s="204"/>
      <c r="I171" s="234"/>
      <c r="J171" s="184"/>
      <c r="K171" s="111">
        <v>22</v>
      </c>
      <c r="L171" s="112" t="str">
        <f ca="1">IF(OR(TRIM(H174)="-",TRIM(H175)="-"), IF(TRIM(H174)="-",H175,H174),IF(AND(I174="",I175="")," ",IF(N(I174)=N(I175)," ",IF(N(I174)&gt;N(I175),H174,H175))))</f>
        <v>65 Sokol Kostomlaty - Vaníčková Alena</v>
      </c>
      <c r="M171" s="157">
        <v>13</v>
      </c>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9.5" thickTop="1" thickBot="1">
      <c r="A172" s="117" t="str">
        <f ca="1">VLOOKUP(C172,Postupy!$A$3:$C$258,3,0)</f>
        <v>AQ1</v>
      </c>
      <c r="B172" s="182"/>
      <c r="C172" s="109">
        <v>43</v>
      </c>
      <c r="D172" s="110" t="str">
        <f ca="1">VLOOKUP(C172,Postupy!$A$3:$B$258,2,0)</f>
        <v>43 SK Sahara Vědomice - Přibyl Miloš</v>
      </c>
      <c r="E172" s="156">
        <v>13</v>
      </c>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20.25" thickTop="1" thickBot="1">
      <c r="A173" s="117" t="str">
        <f ca="1">VLOOKUP(C173,Postupy!$A$3:$C$258,3,0)</f>
        <v>A2</v>
      </c>
      <c r="B173" s="182"/>
      <c r="C173" s="111">
        <v>86</v>
      </c>
      <c r="D173" s="112" t="str">
        <f ca="1">VLOOKUP(C173,Postupy!$A$3:$B$258,2,0)</f>
        <v>87 JAPKO - Stejskal Václav</v>
      </c>
      <c r="E173" s="157">
        <v>9</v>
      </c>
      <c r="F173" s="207" t="s">
        <v>119</v>
      </c>
      <c r="G173" s="187"/>
      <c r="H173" s="384" t="s">
        <v>447</v>
      </c>
      <c r="I173" s="387" t="str">
        <f ca="1">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9.5" thickTop="1" thickBot="1">
      <c r="A174" s="108"/>
      <c r="B174" s="190"/>
      <c r="C174" s="190">
        <f>C172+C173</f>
        <v>129</v>
      </c>
      <c r="D174" s="191"/>
      <c r="E174" s="231"/>
      <c r="F174" s="192"/>
      <c r="G174" s="109">
        <v>43</v>
      </c>
      <c r="H174" s="110" t="str">
        <f ca="1">IF(OR(TRIM(D172)="-",TRIM(D173)="-"), IF(TRIM(D172)="-",D173,D172),IF(AND(E172="",E173="")," ",IF(N(E172)=N(E173)," ",IF(N(E172)&gt;N(E173),D172,D173))))</f>
        <v>43 SK Sahara Vědomice - Přibyl Miloš</v>
      </c>
      <c r="I174" s="156">
        <v>11</v>
      </c>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20.25" thickTop="1" thickBot="1">
      <c r="A175" s="105"/>
      <c r="B175" s="194"/>
      <c r="C175" s="195"/>
      <c r="D175" s="384" t="s">
        <v>447</v>
      </c>
      <c r="E175" s="387" t="str">
        <f ca="1">IF(OR(TRIM(D176)="-",TRIM(D177)="-"),"",VLOOKUP(MIN(C176,C177),Hřiště!$B$11:$E$266,4,0))</f>
        <v/>
      </c>
      <c r="F175" s="203"/>
      <c r="G175" s="111">
        <v>22</v>
      </c>
      <c r="H175" s="112" t="str">
        <f ca="1">IF(OR(TRIM(D176)="-",TRIM(D177)="-"), IF(TRIM(D176)="-",D177,D176),IF(AND(E176="",E177="")," ",IF(N(E176)=N(E177)," ",IF(N(E176)&gt;N(E177),D176,D177))))</f>
        <v>65 Sokol Kostomlaty - Vaníčková Alena</v>
      </c>
      <c r="I175" s="157">
        <v>13</v>
      </c>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9.5" thickTop="1" thickBot="1">
      <c r="A176" s="117" t="str">
        <f ca="1">VLOOKUP(C176,Postupy!$A$3:$C$258,3,0)</f>
        <v/>
      </c>
      <c r="B176" s="182"/>
      <c r="C176" s="109">
        <v>107</v>
      </c>
      <c r="D176" s="110" t="str">
        <f ca="1">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20.25" thickTop="1" thickBot="1">
      <c r="A177" s="117" t="str">
        <f ca="1">VLOOKUP(C177,Postupy!$A$3:$C$258,3,0)</f>
        <v>V1</v>
      </c>
      <c r="B177" s="182"/>
      <c r="C177" s="111">
        <v>22</v>
      </c>
      <c r="D177" s="112" t="str">
        <f ca="1">VLOOKUP(C177,Postupy!$A$3:$B$258,2,0)</f>
        <v>65 Sokol Kostomlaty - Vaníčková Alena</v>
      </c>
      <c r="E177" s="157"/>
      <c r="F177" s="209"/>
      <c r="G177" s="184"/>
      <c r="H177" s="201"/>
      <c r="I177" s="234"/>
      <c r="J177" s="184"/>
      <c r="K177" s="184"/>
      <c r="L177" s="210"/>
      <c r="M177" s="235"/>
      <c r="N177" s="193"/>
      <c r="O177" s="187"/>
      <c r="P177" s="384" t="s">
        <v>447</v>
      </c>
      <c r="Q177" s="387" t="str">
        <f ca="1">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9.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 ca="1">IF(OR(TRIM(L170)="-",TRIM(L171)="-"), IF(TRIM(L170)="-",L171,L170),IF(AND(M170="",M171="")," ",IF(N(M170)=N(M171)," ",IF(N(M170)&gt;N(M171),L170,L171))))</f>
        <v>65 Sokol Kostomlaty - Vaníčková Alena</v>
      </c>
      <c r="Q178" s="156">
        <v>13</v>
      </c>
      <c r="R178" s="198"/>
      <c r="S178" s="196"/>
      <c r="T178" s="50"/>
      <c r="U178" s="50"/>
      <c r="V178" s="193"/>
      <c r="W178" s="212"/>
      <c r="X178" s="17"/>
      <c r="Y178" s="17"/>
      <c r="Z178" s="193"/>
      <c r="AA178" s="196"/>
      <c r="AB178" s="17"/>
      <c r="AC178" s="17"/>
      <c r="AD178" s="17"/>
      <c r="AE178" s="17"/>
      <c r="AF178" s="17"/>
      <c r="AG178" s="18"/>
      <c r="AH178" s="17"/>
      <c r="AI178" s="17"/>
      <c r="AJ178" s="17"/>
    </row>
    <row r="179" spans="1:36" ht="20.25" thickTop="1" thickBot="1">
      <c r="A179" s="105"/>
      <c r="B179" s="194"/>
      <c r="C179" s="195"/>
      <c r="D179" s="384" t="s">
        <v>447</v>
      </c>
      <c r="E179" s="387" t="str">
        <f ca="1">IF(OR(TRIM(D180)="-",TRIM(D181)="-"),"",VLOOKUP(MIN(C180,C181),Hřiště!$B$11:$E$266,4,0))</f>
        <v/>
      </c>
      <c r="F179" s="184"/>
      <c r="G179" s="184"/>
      <c r="H179" s="204"/>
      <c r="I179" s="234"/>
      <c r="J179" s="184"/>
      <c r="K179" s="184"/>
      <c r="L179" s="211"/>
      <c r="M179" s="235"/>
      <c r="N179" s="193"/>
      <c r="O179" s="111">
        <v>6</v>
      </c>
      <c r="P179" s="112" t="str">
        <f ca="1">IF(OR(TRIM(L186)="-",TRIM(L187)="-"),IF(TRIM(L186)="-",L187,L186),IF(AND(M186="",M187="")," ",IF(N(M186)=N(M187)," ",IF(N(M186)&gt;N(M187),L186,L187))))</f>
        <v>27 Sokol Kostomlaty - Vlach Jaromír</v>
      </c>
      <c r="Q179" s="157">
        <v>12</v>
      </c>
      <c r="R179" s="185"/>
      <c r="S179" s="184"/>
      <c r="T179" s="50"/>
      <c r="U179" s="184"/>
      <c r="V179" s="193"/>
      <c r="W179" s="212"/>
      <c r="X179" s="17"/>
      <c r="Y179" s="17"/>
      <c r="Z179" s="193"/>
      <c r="AA179" s="196"/>
      <c r="AB179" s="17"/>
      <c r="AC179" s="17"/>
      <c r="AD179" s="17"/>
      <c r="AE179" s="17"/>
      <c r="AF179" s="17"/>
      <c r="AG179" s="18"/>
      <c r="AH179" s="17"/>
      <c r="AI179" s="17"/>
      <c r="AJ179" s="17"/>
    </row>
    <row r="180" spans="1:36" ht="19.5" thickTop="1" thickBot="1">
      <c r="A180" s="117" t="str">
        <f ca="1">VLOOKUP(C180,Postupy!$A$3:$C$258,3,0)</f>
        <v>AA1</v>
      </c>
      <c r="B180" s="182"/>
      <c r="C180" s="109">
        <v>27</v>
      </c>
      <c r="D180" s="110" t="str">
        <f ca="1">VLOOKUP(C180,Postupy!$A$3:$B$258,2,0)</f>
        <v>27 Sokol Kostomlaty - Vlach Jaromír</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20.25" thickTop="1" thickBot="1">
      <c r="A181" s="117" t="str">
        <f ca="1">VLOOKUP(C181,Postupy!$A$3:$C$258,3,0)</f>
        <v/>
      </c>
      <c r="B181" s="182"/>
      <c r="C181" s="111">
        <v>102</v>
      </c>
      <c r="D181" s="112" t="str">
        <f ca="1">VLOOKUP(C181,Postupy!$A$3:$B$258,2,0)</f>
        <v xml:space="preserve"> - </v>
      </c>
      <c r="E181" s="157"/>
      <c r="F181" s="213"/>
      <c r="G181" s="187"/>
      <c r="H181" s="384" t="s">
        <v>447</v>
      </c>
      <c r="I181" s="387" t="str">
        <f ca="1">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9.5" thickTop="1" thickBot="1">
      <c r="A182" s="108"/>
      <c r="B182" s="190"/>
      <c r="C182" s="190">
        <f>C180+C181</f>
        <v>129</v>
      </c>
      <c r="D182" s="191"/>
      <c r="E182" s="231"/>
      <c r="F182" s="192"/>
      <c r="G182" s="109">
        <v>27</v>
      </c>
      <c r="H182" s="110" t="str">
        <f ca="1">IF(OR(TRIM(D180)="-",TRIM(D181)="-"), IF(TRIM(D180)="-",D181,D180),IF(AND(E180="",E181="")," ",IF(N(E180)=N(E181)," ",IF(N(E180)&gt;N(E181),D180,D181))))</f>
        <v>27 Sokol Kostomlaty - Vlach Jaromír</v>
      </c>
      <c r="I182" s="156">
        <v>13</v>
      </c>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20.25" thickTop="1" thickBot="1">
      <c r="A183" s="105"/>
      <c r="B183" s="194"/>
      <c r="C183" s="195"/>
      <c r="D183" s="384" t="s">
        <v>447</v>
      </c>
      <c r="E183" s="387" t="str">
        <f ca="1">IF(OR(TRIM(D184)="-",TRIM(D185)="-"),"",VLOOKUP(MIN(C184,C185),Hřiště!$B$11:$E$266,4,0))</f>
        <v/>
      </c>
      <c r="F183" s="192"/>
      <c r="G183" s="111">
        <v>38</v>
      </c>
      <c r="H183" s="112" t="str">
        <f ca="1">IF(OR(TRIM(D184)="-",TRIM(D185)="-"), IF(TRIM(D184)="-",D185,D184),IF(AND(E184="",E185="")," ",IF(N(E184)=N(E185)," ",IF(N(E184)&gt;N(E185),D184,D185))))</f>
        <v>38 FENYX Adamov - Král Pavel</v>
      </c>
      <c r="I183" s="157">
        <v>5</v>
      </c>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9.5" thickTop="1" thickBot="1">
      <c r="A184" s="117" t="str">
        <f ca="1">VLOOKUP(C184,Postupy!$A$3:$C$258,3,0)</f>
        <v/>
      </c>
      <c r="B184" s="182"/>
      <c r="C184" s="109">
        <v>91</v>
      </c>
      <c r="D184" s="110" t="str">
        <f ca="1">VLOOKUP(C184,Postupy!$A$3:$B$258,2,0)</f>
        <v xml:space="preserve"> - </v>
      </c>
      <c r="E184" s="156"/>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20.25" thickTop="1" thickBot="1">
      <c r="A185" s="117" t="str">
        <f ca="1">VLOOKUP(C185,Postupy!$A$3:$C$258,3,0)</f>
        <v>AL1</v>
      </c>
      <c r="B185" s="182"/>
      <c r="C185" s="111">
        <v>38</v>
      </c>
      <c r="D185" s="112" t="str">
        <f ca="1">VLOOKUP(C185,Postupy!$A$3:$B$258,2,0)</f>
        <v>38 FENYX Adamov - Král Pavel</v>
      </c>
      <c r="E185" s="157"/>
      <c r="F185" s="185"/>
      <c r="G185" s="184"/>
      <c r="H185" s="201"/>
      <c r="I185" s="234"/>
      <c r="J185" s="193"/>
      <c r="K185" s="187"/>
      <c r="L185" s="384" t="s">
        <v>447</v>
      </c>
      <c r="M185" s="387" t="str">
        <f ca="1">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9.5" thickTop="1" thickBot="1">
      <c r="A186" s="108"/>
      <c r="B186" s="190"/>
      <c r="C186" s="190">
        <f>C184+C185</f>
        <v>129</v>
      </c>
      <c r="D186" s="191"/>
      <c r="E186" s="231"/>
      <c r="F186" s="349">
        <f>C182+C186</f>
        <v>258</v>
      </c>
      <c r="G186" s="184"/>
      <c r="H186" s="204"/>
      <c r="I186" s="234"/>
      <c r="J186" s="184"/>
      <c r="K186" s="109">
        <v>27</v>
      </c>
      <c r="L186" s="110" t="str">
        <f ca="1">IF(OR(TRIM(H182)="-",TRIM(H183)="-"), IF(TRIM(H182)="-",H183,H182),IF(AND(I182="",I183="")," ",IF(N(I182)=N(I183)," ",IF(N(I182)&gt;N(I183),H182,H183))))</f>
        <v>27 Sokol Kostomlaty - Vlach Jaromír</v>
      </c>
      <c r="M186" s="156">
        <v>13</v>
      </c>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20.25" thickTop="1" thickBot="1">
      <c r="A187" s="105"/>
      <c r="B187" s="194"/>
      <c r="C187" s="195"/>
      <c r="D187" s="384" t="s">
        <v>447</v>
      </c>
      <c r="E187" s="387" t="str">
        <f ca="1">IF(OR(TRIM(D188)="-",TRIM(D189)="-"),"",VLOOKUP(MIN(C188,C189),Hřiště!$B$11:$E$266,4,0))</f>
        <v/>
      </c>
      <c r="F187" s="184"/>
      <c r="G187" s="184"/>
      <c r="H187" s="204"/>
      <c r="I187" s="234"/>
      <c r="J187" s="184"/>
      <c r="K187" s="111">
        <v>6</v>
      </c>
      <c r="L187" s="112" t="str">
        <f ca="1">IF(OR(TRIM(H190)="-",TRIM(H191)="-"), IF(TRIM(H190)="-",H191,H190),IF(AND(I190="",I191="")," ",IF(N(I190)=N(I191)," ",IF(N(I190)&gt;N(I191),H190,H191))))</f>
        <v>6 PC Sokol Lipník - Froňková Kateřina</v>
      </c>
      <c r="M187" s="157">
        <v>7</v>
      </c>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9.5" thickTop="1" thickBot="1">
      <c r="A188" s="117" t="str">
        <f ca="1">VLOOKUP(C188,Postupy!$A$3:$C$258,3,0)</f>
        <v>AB2</v>
      </c>
      <c r="B188" s="182"/>
      <c r="C188" s="109">
        <v>59</v>
      </c>
      <c r="D188" s="110" t="str">
        <f ca="1">VLOOKUP(C188,Postupy!$A$3:$B$258,2,0)</f>
        <v>114 PCP Lipník - Reinbergrová Václava</v>
      </c>
      <c r="E188" s="156">
        <v>3</v>
      </c>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20.25" thickTop="1" thickBot="1">
      <c r="A189" s="117" t="str">
        <f ca="1">VLOOKUP(C189,Postupy!$A$3:$C$258,3,0)</f>
        <v>Q2</v>
      </c>
      <c r="B189" s="182"/>
      <c r="C189" s="111">
        <v>70</v>
      </c>
      <c r="D189" s="112" t="str">
        <f ca="1">VLOOKUP(C189,Postupy!$A$3:$B$258,2,0)</f>
        <v>17 SK Sahara Vědomice - Demčíková Jiřina</v>
      </c>
      <c r="E189" s="157">
        <v>13</v>
      </c>
      <c r="F189" s="207" t="s">
        <v>119</v>
      </c>
      <c r="G189" s="187"/>
      <c r="H189" s="384" t="s">
        <v>447</v>
      </c>
      <c r="I189" s="387" t="str">
        <f ca="1">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9.5" thickTop="1" thickBot="1">
      <c r="A190" s="108"/>
      <c r="B190" s="190"/>
      <c r="C190" s="190">
        <f>C188+C189</f>
        <v>129</v>
      </c>
      <c r="D190" s="191"/>
      <c r="E190" s="231"/>
      <c r="F190" s="23"/>
      <c r="G190" s="109">
        <v>59</v>
      </c>
      <c r="H190" s="110" t="str">
        <f ca="1">IF(OR(TRIM(D188)="-",TRIM(D189)="-"), IF(TRIM(D188)="-",D189,D188),IF(AND(E188="",E189="")," ",IF(N(E188)=N(E189)," ",IF(N(E188)&gt;N(E189),D188,D189))))</f>
        <v>17 SK Sahara Vědomice - Demčíková Jiřina</v>
      </c>
      <c r="I190" s="156">
        <v>1</v>
      </c>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20.25" thickTop="1" thickBot="1">
      <c r="A191" s="105"/>
      <c r="B191" s="194"/>
      <c r="C191" s="195"/>
      <c r="D191" s="384" t="s">
        <v>447</v>
      </c>
      <c r="E191" s="387" t="str">
        <f ca="1">IF(OR(TRIM(D192)="-",TRIM(D193)="-"),"",VLOOKUP(MIN(C192,C193),Hřiště!$B$11:$E$266,4,0))</f>
        <v/>
      </c>
      <c r="F191" s="203"/>
      <c r="G191" s="111">
        <v>6</v>
      </c>
      <c r="H191" s="112" t="str">
        <f ca="1">IF(OR(TRIM(D192)="-",TRIM(D193)="-"), IF(TRIM(D192)="-",D193,D192),IF(AND(E192="",E193="")," ",IF(N(E192)=N(E193)," ",IF(N(E192)&gt;N(E193),D192,D193))))</f>
        <v>6 PC Sokol Lipník - Froňková Kateřina</v>
      </c>
      <c r="I191" s="157">
        <v>13</v>
      </c>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9.5" thickTop="1" thickBot="1">
      <c r="A192" s="117" t="str">
        <f ca="1">VLOOKUP(C192,Postupy!$A$3:$C$258,3,0)</f>
        <v/>
      </c>
      <c r="B192" s="182"/>
      <c r="C192" s="109">
        <v>123</v>
      </c>
      <c r="D192" s="110" t="str">
        <f ca="1">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20.25" thickTop="1" thickBot="1">
      <c r="A193" s="117" t="str">
        <f ca="1">VLOOKUP(C193,Postupy!$A$3:$C$258,3,0)</f>
        <v>F1</v>
      </c>
      <c r="B193" s="182"/>
      <c r="C193" s="111">
        <v>6</v>
      </c>
      <c r="D193" s="112" t="str">
        <f ca="1">VLOOKUP(C193,Postupy!$A$3:$B$258,2,0)</f>
        <v>6 PC Sokol Lipník - Froňková Kateřina</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 ca="1">IF(OR(TRIM(X194)="-",TRIM(X195)="-"),"",VLOOKUP(MIN(W194,W195),Hřiště!$B$11:$E$266,4,0))</f>
        <v/>
      </c>
      <c r="Z193" s="193"/>
      <c r="AA193" s="196"/>
      <c r="AB193" s="17"/>
      <c r="AC193" s="17"/>
      <c r="AD193" s="17"/>
      <c r="AE193" s="17"/>
      <c r="AF193" s="17"/>
      <c r="AG193" s="18"/>
      <c r="AH193" s="17"/>
      <c r="AI193" s="17"/>
      <c r="AJ193" s="17"/>
    </row>
    <row r="194" spans="1:36" ht="19.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 ca="1">IF(OR(TRIM(T162)="-",TRIM(T163)="-"),IF(TRIM(T162)="-",T163,T162),IF(AND(U162="",U163="")," ",IF(N(U162)=N(U163)," ",IF(N(U162)&gt;N(U163),T162,T163))))</f>
        <v>3 Carreau Brno - Michálek Tomáš</v>
      </c>
      <c r="Y194" s="156">
        <v>13</v>
      </c>
      <c r="Z194" s="198"/>
      <c r="AA194" s="196"/>
      <c r="AB194" s="17"/>
      <c r="AC194" s="17"/>
      <c r="AD194" s="17"/>
      <c r="AE194" s="17"/>
      <c r="AF194" s="17"/>
      <c r="AG194" s="18"/>
      <c r="AH194" s="17"/>
      <c r="AI194" s="17"/>
      <c r="AJ194" s="17"/>
    </row>
    <row r="195" spans="1:36" ht="20.25" thickTop="1" thickBot="1">
      <c r="A195" s="108"/>
      <c r="B195" s="22"/>
      <c r="C195" s="223"/>
      <c r="D195" s="384" t="s">
        <v>447</v>
      </c>
      <c r="E195" s="387" t="str">
        <f ca="1">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 ca="1">IF(OR(TRIM(T226)="-",TRIM(T227)="-"), IF(TRIM(T226)="-",T227,T226),IF(AND(U226="",U227="")," ",IF(N(U226)=N(U227)," ",IF(N(U226)&gt;N(U227),T226,T227))))</f>
        <v>2 PC Sokol Lipník - Vavrovič Petr ml.</v>
      </c>
      <c r="Y195" s="157">
        <v>10</v>
      </c>
      <c r="Z195" s="185"/>
      <c r="AA195" s="184"/>
      <c r="AB195" s="184"/>
      <c r="AC195" s="17"/>
      <c r="AD195" s="17"/>
      <c r="AE195" s="17"/>
      <c r="AF195" s="17"/>
      <c r="AG195" s="18"/>
      <c r="AH195" s="17"/>
      <c r="AI195" s="17"/>
      <c r="AJ195" s="17"/>
    </row>
    <row r="196" spans="1:36" ht="19.5" thickTop="1" thickBot="1">
      <c r="A196" s="117" t="str">
        <f ca="1">VLOOKUP(C196,Postupy!$A$3:$C$258,3,0)</f>
        <v>G1</v>
      </c>
      <c r="B196" s="182"/>
      <c r="C196" s="109">
        <v>7</v>
      </c>
      <c r="D196" s="110" t="str">
        <f ca="1">VLOOKUP(C196,Postupy!$A$3:$B$258,2,0)</f>
        <v>7 PLUK Jablonec - Lukáš Vojtěch</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20.25" thickTop="1" thickBot="1">
      <c r="A197" s="117" t="str">
        <f ca="1">VLOOKUP(C197,Postupy!$A$3:$C$258,3,0)</f>
        <v/>
      </c>
      <c r="B197" s="182"/>
      <c r="C197" s="111">
        <v>122</v>
      </c>
      <c r="D197" s="112" t="str">
        <f ca="1">VLOOKUP(C197,Postupy!$A$3:$B$258,2,0)</f>
        <v xml:space="preserve"> - </v>
      </c>
      <c r="E197" s="157"/>
      <c r="F197" s="186"/>
      <c r="G197" s="187"/>
      <c r="H197" s="384" t="s">
        <v>447</v>
      </c>
      <c r="I197" s="387" t="str">
        <f ca="1">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75" thickBot="1">
      <c r="A198" s="108"/>
      <c r="B198" s="190"/>
      <c r="C198" s="190">
        <f>C196+C197</f>
        <v>129</v>
      </c>
      <c r="D198" s="191"/>
      <c r="E198" s="231"/>
      <c r="F198" s="192"/>
      <c r="G198" s="109">
        <v>7</v>
      </c>
      <c r="H198" s="110" t="str">
        <f ca="1">IF(OR(TRIM(D196)="-",TRIM(D197)="-"), IF(TRIM(D196)="-",D197,D196),IF(AND(E196="",E197="")," ",IF(N(E196)=N(E197)," ",IF(N(E196)&gt;N(E197),D196,D197))))</f>
        <v>7 PLUK Jablonec - Lukáš Vojtěch</v>
      </c>
      <c r="I198" s="156">
        <v>13</v>
      </c>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20.25" thickTop="1" thickBot="1">
      <c r="A199" s="105"/>
      <c r="B199" s="194"/>
      <c r="C199" s="195"/>
      <c r="D199" s="384" t="s">
        <v>447</v>
      </c>
      <c r="E199" s="387" t="str">
        <f ca="1">IF(OR(TRIM(D200)="-",TRIM(D201)="-"),"",VLOOKUP(MIN(C200,C201),Hřiště!$B$11:$E$266,4,0))</f>
        <v/>
      </c>
      <c r="F199" s="192"/>
      <c r="G199" s="111">
        <v>58</v>
      </c>
      <c r="H199" s="112" t="str">
        <f ca="1">IF(OR(TRIM(D200)="-",TRIM(D201)="-"), IF(TRIM(D200)="-",D201,D200),IF(AND(E200="",E201="")," ",IF(N(E200)=N(E201)," ",IF(N(E200)&gt;N(E201),D200,D201))))</f>
        <v>29 PC Sokol Lipník - Froňková Blanka</v>
      </c>
      <c r="I199" s="157">
        <v>6</v>
      </c>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75" thickBot="1">
      <c r="A200" s="117" t="str">
        <f ca="1">VLOOKUP(C200,Postupy!$A$3:$C$258,3,0)</f>
        <v>P2</v>
      </c>
      <c r="B200" s="182"/>
      <c r="C200" s="109">
        <v>71</v>
      </c>
      <c r="D200" s="110" t="str">
        <f ca="1">VLOOKUP(C200,Postupy!$A$3:$B$258,2,0)</f>
        <v>102 Sokol Kostomlaty - Vaníček Rudolf</v>
      </c>
      <c r="E200" s="156">
        <v>12</v>
      </c>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20.25" thickTop="1" thickBot="1">
      <c r="A201" s="117" t="str">
        <f ca="1">VLOOKUP(C201,Postupy!$A$3:$C$258,3,0)</f>
        <v>AC2</v>
      </c>
      <c r="B201" s="182"/>
      <c r="C201" s="111">
        <v>58</v>
      </c>
      <c r="D201" s="112" t="str">
        <f ca="1">VLOOKUP(C201,Postupy!$A$3:$B$258,2,0)</f>
        <v>29 PC Sokol Lipník - Froňková Blanka</v>
      </c>
      <c r="E201" s="157">
        <v>13</v>
      </c>
      <c r="F201" s="185"/>
      <c r="G201" s="184"/>
      <c r="H201" s="201"/>
      <c r="I201" s="235"/>
      <c r="J201" s="193"/>
      <c r="K201" s="187"/>
      <c r="L201" s="384" t="s">
        <v>447</v>
      </c>
      <c r="M201" s="387" t="str">
        <f ca="1">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75" thickBot="1">
      <c r="A202" s="108"/>
      <c r="B202" s="190"/>
      <c r="C202" s="190">
        <f>C200+C201</f>
        <v>129</v>
      </c>
      <c r="D202" s="191"/>
      <c r="E202" s="231"/>
      <c r="F202" s="349">
        <f>C198+C202</f>
        <v>258</v>
      </c>
      <c r="G202" s="184"/>
      <c r="H202" s="204"/>
      <c r="I202" s="234"/>
      <c r="J202" s="184"/>
      <c r="K202" s="109">
        <v>7</v>
      </c>
      <c r="L202" s="110" t="str">
        <f ca="1">IF(OR(TRIM(H198)="-",TRIM(H199)="-"), IF(TRIM(H198)="-",H199,H198),IF(AND(I198="",I199="")," ",IF(N(I198)=N(I199)," ",IF(N(I198)&gt;N(I199),H198,H199))))</f>
        <v>7 PLUK Jablonec - Lukáš Vojtěch</v>
      </c>
      <c r="M202" s="156">
        <v>13</v>
      </c>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20.25" thickTop="1" thickBot="1">
      <c r="A203" s="105"/>
      <c r="B203" s="194"/>
      <c r="C203" s="195"/>
      <c r="D203" s="384" t="s">
        <v>447</v>
      </c>
      <c r="E203" s="387" t="str">
        <f ca="1">IF(OR(TRIM(D204)="-",TRIM(D205)="-"),"",VLOOKUP(MIN(C204,C205),Hřiště!$B$11:$E$266,4,0))</f>
        <v/>
      </c>
      <c r="F203" s="184"/>
      <c r="G203" s="184"/>
      <c r="H203" s="204"/>
      <c r="I203" s="234"/>
      <c r="J203" s="184"/>
      <c r="K203" s="111">
        <v>26</v>
      </c>
      <c r="L203" s="112" t="str">
        <f ca="1">IF(OR(TRIM(H206)="-",TRIM(H207)="-"), IF(TRIM(H206)="-",H207,H206),IF(AND(I206="",I207="")," ",IF(N(I206)=N(I207)," ",IF(N(I206)&gt;N(I207),H206,H207))))</f>
        <v>48 UBU Únětice - Palas Pavel</v>
      </c>
      <c r="M203" s="157">
        <v>6</v>
      </c>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9.5" thickTop="1" thickBot="1">
      <c r="A204" s="117" t="str">
        <f ca="1">VLOOKUP(C204,Postupy!$A$3:$C$258,3,0)</f>
        <v>AM1</v>
      </c>
      <c r="B204" s="182"/>
      <c r="C204" s="109">
        <v>39</v>
      </c>
      <c r="D204" s="110" t="str">
        <f ca="1">VLOOKUP(C204,Postupy!$A$3:$B$258,2,0)</f>
        <v>48 UBU Únětice - Palas Pavel</v>
      </c>
      <c r="E204" s="156"/>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20.25" thickTop="1" thickBot="1">
      <c r="A205" s="117" t="str">
        <f ca="1">VLOOKUP(C205,Postupy!$A$3:$C$258,3,0)</f>
        <v/>
      </c>
      <c r="B205" s="182"/>
      <c r="C205" s="111">
        <v>90</v>
      </c>
      <c r="D205" s="112" t="str">
        <f ca="1">VLOOKUP(C205,Postupy!$A$3:$B$258,2,0)</f>
        <v xml:space="preserve"> - </v>
      </c>
      <c r="E205" s="157"/>
      <c r="F205" s="207" t="s">
        <v>119</v>
      </c>
      <c r="G205" s="187"/>
      <c r="H205" s="384" t="s">
        <v>447</v>
      </c>
      <c r="I205" s="387" t="str">
        <f ca="1">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75" thickBot="1">
      <c r="A206" s="108"/>
      <c r="B206" s="190"/>
      <c r="C206" s="190">
        <f>C204+C205</f>
        <v>129</v>
      </c>
      <c r="D206" s="191"/>
      <c r="E206" s="231"/>
      <c r="F206" s="192"/>
      <c r="G206" s="109">
        <v>39</v>
      </c>
      <c r="H206" s="110" t="str">
        <f ca="1">IF(OR(TRIM(D204)="-",TRIM(D205)="-"), IF(TRIM(D204)="-",D205,D204),IF(AND(E204="",E205="")," ",IF(N(E204)=N(E205)," ",IF(N(E204)&gt;N(E205),D204,D205))))</f>
        <v>48 UBU Únětice - Palas Pavel</v>
      </c>
      <c r="I206" s="156">
        <v>13</v>
      </c>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20.25" thickTop="1" thickBot="1">
      <c r="A207" s="105"/>
      <c r="B207" s="194"/>
      <c r="C207" s="195"/>
      <c r="D207" s="384" t="s">
        <v>447</v>
      </c>
      <c r="E207" s="387" t="str">
        <f ca="1">IF(OR(TRIM(D208)="-",TRIM(D209)="-"),"",VLOOKUP(MIN(C208,C209),Hřiště!$B$11:$E$266,4,0))</f>
        <v/>
      </c>
      <c r="F207" s="203"/>
      <c r="G207" s="111">
        <v>26</v>
      </c>
      <c r="H207" s="112" t="str">
        <f ca="1">IF(OR(TRIM(D208)="-",TRIM(D209)="-"), IF(TRIM(D208)="-",D209,D208),IF(AND(E208="",E209="")," ",IF(N(E208)=N(E209)," ",IF(N(E208)&gt;N(E209),D208,D209))))</f>
        <v>112 SK Sahara Vědomice - Gröschl Zdeněk</v>
      </c>
      <c r="I207" s="157">
        <v>6</v>
      </c>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9.5" thickTop="1" thickBot="1">
      <c r="A208" s="117" t="str">
        <f ca="1">VLOOKUP(C208,Postupy!$A$3:$C$258,3,0)</f>
        <v/>
      </c>
      <c r="B208" s="182"/>
      <c r="C208" s="109">
        <v>103</v>
      </c>
      <c r="D208" s="110" t="str">
        <f ca="1">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20.25" thickTop="1" thickBot="1">
      <c r="A209" s="117" t="str">
        <f ca="1">VLOOKUP(C209,Postupy!$A$3:$C$258,3,0)</f>
        <v>Z1</v>
      </c>
      <c r="B209" s="182"/>
      <c r="C209" s="111">
        <v>26</v>
      </c>
      <c r="D209" s="112" t="str">
        <f ca="1">VLOOKUP(C209,Postupy!$A$3:$B$258,2,0)</f>
        <v>112 SK Sahara Vědomice - Gröschl Zdeněk</v>
      </c>
      <c r="E209" s="157"/>
      <c r="F209" s="209"/>
      <c r="G209" s="184"/>
      <c r="H209" s="201"/>
      <c r="I209" s="234"/>
      <c r="J209" s="184"/>
      <c r="K209" s="184"/>
      <c r="L209" s="210"/>
      <c r="M209" s="235"/>
      <c r="N209" s="193"/>
      <c r="O209" s="187"/>
      <c r="P209" s="384" t="s">
        <v>447</v>
      </c>
      <c r="Q209" s="387" t="str">
        <f ca="1">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75" thickBot="1">
      <c r="A210" s="108"/>
      <c r="B210" s="190"/>
      <c r="C210" s="190">
        <f>C208+C209</f>
        <v>129</v>
      </c>
      <c r="D210" s="191"/>
      <c r="E210" s="231"/>
      <c r="F210" s="349">
        <f>C206+C210</f>
        <v>258</v>
      </c>
      <c r="G210" s="184"/>
      <c r="H210" s="204"/>
      <c r="I210" s="234"/>
      <c r="J210" s="184"/>
      <c r="K210" s="184"/>
      <c r="L210" s="211"/>
      <c r="M210" s="235"/>
      <c r="N210" s="193"/>
      <c r="O210" s="109">
        <v>7</v>
      </c>
      <c r="P210" s="110" t="str">
        <f ca="1">IF(OR(TRIM(L202)="-",TRIM(L203)="-"), IF(TRIM(L202)="-",L203,L202),IF(AND(M202="",M203="")," ",IF(N(M202)=N(M203)," ",IF(N(M202)&gt;N(M203),L202,L203))))</f>
        <v>7 PLUK Jablonec - Lukáš Vojtěch</v>
      </c>
      <c r="Q210" s="156">
        <v>13</v>
      </c>
      <c r="R210" s="193"/>
      <c r="S210" s="184"/>
      <c r="T210" s="184"/>
      <c r="U210" s="184"/>
      <c r="V210" s="184"/>
      <c r="W210" s="196"/>
      <c r="X210" s="17"/>
      <c r="Y210" s="17"/>
      <c r="Z210" s="17"/>
      <c r="AA210" s="17"/>
      <c r="AB210" s="17"/>
      <c r="AC210" s="17"/>
      <c r="AD210" s="17"/>
      <c r="AE210" s="17"/>
      <c r="AF210" s="17"/>
      <c r="AG210" s="18"/>
      <c r="AH210" s="17"/>
      <c r="AI210" s="17"/>
      <c r="AJ210" s="17"/>
    </row>
    <row r="211" spans="1:36" ht="20.25" thickTop="1" thickBot="1">
      <c r="A211" s="105"/>
      <c r="B211" s="194"/>
      <c r="C211" s="195"/>
      <c r="D211" s="384" t="s">
        <v>447</v>
      </c>
      <c r="E211" s="387" t="str">
        <f ca="1">IF(OR(TRIM(D212)="-",TRIM(D213)="-"),"",VLOOKUP(MIN(C212,C213),Hřiště!$B$11:$E$266,4,0))</f>
        <v/>
      </c>
      <c r="F211" s="184"/>
      <c r="G211" s="184"/>
      <c r="H211" s="204"/>
      <c r="I211" s="234"/>
      <c r="J211" s="184"/>
      <c r="K211" s="184"/>
      <c r="L211" s="211"/>
      <c r="M211" s="235"/>
      <c r="N211" s="192"/>
      <c r="O211" s="111">
        <v>10</v>
      </c>
      <c r="P211" s="112" t="str">
        <f ca="1">IF(OR(TRIM(L218)="-",TRIM(L219)="-"),IF(TRIM(L218)="-",L219,L218),IF(AND(M218="",M219="")," ",IF(N(M218)=N(M219)," ",IF(N(M218)&gt;N(M219),L218,L219))))</f>
        <v>10 TOP - ORLOVÁ - Bačo David</v>
      </c>
      <c r="Q211" s="157">
        <v>1</v>
      </c>
      <c r="R211" s="186"/>
      <c r="S211" s="212"/>
      <c r="T211" s="184"/>
      <c r="U211" s="184"/>
      <c r="V211" s="184"/>
      <c r="W211" s="196"/>
      <c r="X211" s="17"/>
      <c r="Y211" s="17"/>
      <c r="Z211" s="17"/>
      <c r="AA211" s="17"/>
      <c r="AB211" s="17"/>
      <c r="AC211" s="17"/>
      <c r="AD211" s="17"/>
      <c r="AE211" s="17"/>
      <c r="AF211" s="17"/>
      <c r="AG211" s="18"/>
      <c r="AH211" s="17"/>
      <c r="AI211" s="17"/>
      <c r="AJ211" s="17"/>
    </row>
    <row r="212" spans="1:36" ht="19.5" thickTop="1" thickBot="1">
      <c r="A212" s="117" t="str">
        <f ca="1">VLOOKUP(C212,Postupy!$A$3:$C$258,3,0)</f>
        <v>W1</v>
      </c>
      <c r="B212" s="182"/>
      <c r="C212" s="109">
        <v>23</v>
      </c>
      <c r="D212" s="110" t="str">
        <f ca="1">VLOOKUP(C212,Postupy!$A$3:$B$258,2,0)</f>
        <v>23 Kulový blesk Olomouc - Konečná Jana</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20.25" thickTop="1" thickBot="1">
      <c r="A213" s="117" t="str">
        <f ca="1">VLOOKUP(C213,Postupy!$A$3:$C$258,3,0)</f>
        <v/>
      </c>
      <c r="B213" s="182"/>
      <c r="C213" s="111">
        <v>106</v>
      </c>
      <c r="D213" s="112" t="str">
        <f ca="1">VLOOKUP(C213,Postupy!$A$3:$B$258,2,0)</f>
        <v xml:space="preserve"> - </v>
      </c>
      <c r="E213" s="157"/>
      <c r="F213" s="213"/>
      <c r="G213" s="187"/>
      <c r="H213" s="384" t="s">
        <v>447</v>
      </c>
      <c r="I213" s="387" t="str">
        <f ca="1">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9.5" thickTop="1" thickBot="1">
      <c r="A214" s="108"/>
      <c r="B214" s="190"/>
      <c r="C214" s="190">
        <f>C212+C213</f>
        <v>129</v>
      </c>
      <c r="D214" s="191"/>
      <c r="E214" s="231"/>
      <c r="F214" s="192"/>
      <c r="G214" s="109">
        <v>23</v>
      </c>
      <c r="H214" s="110" t="str">
        <f ca="1">IF(OR(TRIM(D212)="-",TRIM(D213)="-"), IF(TRIM(D212)="-",D213,D212),IF(AND(E212="",E213="")," ",IF(N(E212)=N(E213)," ",IF(N(E212)&gt;N(E213),D212,D213))))</f>
        <v>23 Kulový blesk Olomouc - Konečná Jana</v>
      </c>
      <c r="I214" s="156">
        <v>10</v>
      </c>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20.25" thickTop="1" thickBot="1">
      <c r="A215" s="105"/>
      <c r="B215" s="194"/>
      <c r="C215" s="195"/>
      <c r="D215" s="384" t="s">
        <v>447</v>
      </c>
      <c r="E215" s="387" t="str">
        <f ca="1">IF(OR(TRIM(D216)="-",TRIM(D217)="-"),"",VLOOKUP(MIN(C216,C217),Hřiště!$B$11:$E$266,4,0))</f>
        <v/>
      </c>
      <c r="F215" s="192"/>
      <c r="G215" s="111">
        <v>42</v>
      </c>
      <c r="H215" s="112" t="str">
        <f ca="1">IF(OR(TRIM(D216)="-",TRIM(D217)="-"), IF(TRIM(D216)="-",D217,D216),IF(AND(E216="",E217="")," ",IF(N(E216)=N(E217)," ",IF(N(E216)&gt;N(E217),D216,D217))))</f>
        <v>131 PKT Velký Šanc - Sedláčková Hedvika</v>
      </c>
      <c r="I215" s="157">
        <v>13</v>
      </c>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9.5" thickTop="1" thickBot="1">
      <c r="A216" s="117" t="str">
        <f ca="1">VLOOKUP(C216,Postupy!$A$3:$C$258,3,0)</f>
        <v/>
      </c>
      <c r="B216" s="182"/>
      <c r="C216" s="109">
        <v>87</v>
      </c>
      <c r="D216" s="110" t="str">
        <f ca="1">VLOOKUP(C216,Postupy!$A$3:$B$258,2,0)</f>
        <v xml:space="preserve"> - </v>
      </c>
      <c r="E216" s="156"/>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20.25" thickTop="1" thickBot="1">
      <c r="A217" s="117" t="str">
        <f ca="1">VLOOKUP(C217,Postupy!$A$3:$C$258,3,0)</f>
        <v>AP1</v>
      </c>
      <c r="B217" s="182"/>
      <c r="C217" s="111">
        <v>42</v>
      </c>
      <c r="D217" s="112" t="str">
        <f ca="1">VLOOKUP(C217,Postupy!$A$3:$B$258,2,0)</f>
        <v>131 PKT Velký Šanc - Sedláčková Hedvika</v>
      </c>
      <c r="E217" s="157"/>
      <c r="F217" s="185"/>
      <c r="G217" s="184"/>
      <c r="H217" s="201"/>
      <c r="I217" s="235"/>
      <c r="J217" s="193"/>
      <c r="K217" s="187"/>
      <c r="L217" s="384" t="s">
        <v>447</v>
      </c>
      <c r="M217" s="387" t="str">
        <f ca="1">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9.5" thickTop="1" thickBot="1">
      <c r="A218" s="108"/>
      <c r="B218" s="190"/>
      <c r="C218" s="190">
        <f>C216+C217</f>
        <v>129</v>
      </c>
      <c r="D218" s="191"/>
      <c r="E218" s="231"/>
      <c r="F218" s="349">
        <f>C214+C218</f>
        <v>258</v>
      </c>
      <c r="G218" s="184"/>
      <c r="H218" s="204"/>
      <c r="I218" s="234"/>
      <c r="J218" s="184"/>
      <c r="K218" s="109">
        <v>23</v>
      </c>
      <c r="L218" s="110" t="str">
        <f ca="1">IF(OR(TRIM(H214)="-",TRIM(H215)="-"), IF(TRIM(H214)="-",H215,H214),IF(AND(I214="",I215="")," ",IF(N(I214)=N(I215)," ",IF(N(I214)&gt;N(I215),H214,H215))))</f>
        <v>131 PKT Velký Šanc - Sedláčková Hedvika</v>
      </c>
      <c r="M218" s="156">
        <v>11</v>
      </c>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20.25" thickTop="1" thickBot="1">
      <c r="A219" s="105"/>
      <c r="B219" s="194"/>
      <c r="C219" s="195"/>
      <c r="D219" s="384" t="s">
        <v>447</v>
      </c>
      <c r="E219" s="387" t="str">
        <f ca="1">IF(OR(TRIM(D220)="-",TRIM(D221)="-"),"",VLOOKUP(MIN(C220,C221),Hřiště!$B$11:$E$266,4,0))</f>
        <v/>
      </c>
      <c r="F219" s="184"/>
      <c r="G219" s="184"/>
      <c r="H219" s="204"/>
      <c r="I219" s="234"/>
      <c r="J219" s="184"/>
      <c r="K219" s="111">
        <v>10</v>
      </c>
      <c r="L219" s="112" t="str">
        <f ca="1">IF(OR(TRIM(H222)="-",TRIM(H223)="-"), IF(TRIM(H222)="-",H223,H222),IF(AND(I222="",I223="")," ",IF(N(I222)=N(I223)," ",IF(N(I222)&gt;N(I223),H222,H223))))</f>
        <v>10 TOP - ORLOVÁ - Bačo David</v>
      </c>
      <c r="M219" s="157">
        <v>13</v>
      </c>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9.5" thickTop="1" thickBot="1">
      <c r="A220" s="117" t="str">
        <f ca="1">VLOOKUP(C220,Postupy!$A$3:$C$258,3,0)</f>
        <v>AF2</v>
      </c>
      <c r="B220" s="182"/>
      <c r="C220" s="109">
        <v>55</v>
      </c>
      <c r="D220" s="110" t="str">
        <f ca="1">VLOOKUP(C220,Postupy!$A$3:$B$258,2,0)</f>
        <v>118 PEK Stolín - Hájková Iveta</v>
      </c>
      <c r="E220" s="156">
        <v>10</v>
      </c>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20.25" thickTop="1" thickBot="1">
      <c r="A221" s="117" t="str">
        <f ca="1">VLOOKUP(C221,Postupy!$A$3:$C$258,3,0)</f>
        <v>M2</v>
      </c>
      <c r="B221" s="182"/>
      <c r="C221" s="111">
        <v>74</v>
      </c>
      <c r="D221" s="112" t="str">
        <f ca="1">VLOOKUP(C221,Postupy!$A$3:$B$258,2,0)</f>
        <v>13 PC Sokol Lipník - Zdobinský Michal ml.</v>
      </c>
      <c r="E221" s="157">
        <v>13</v>
      </c>
      <c r="F221" s="207" t="s">
        <v>119</v>
      </c>
      <c r="G221" s="187"/>
      <c r="H221" s="384" t="s">
        <v>447</v>
      </c>
      <c r="I221" s="387" t="str">
        <f ca="1">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9.5" thickTop="1" thickBot="1">
      <c r="A222" s="108"/>
      <c r="B222" s="190"/>
      <c r="C222" s="190">
        <f>C220+C221</f>
        <v>129</v>
      </c>
      <c r="D222" s="191"/>
      <c r="E222" s="231"/>
      <c r="F222" s="23"/>
      <c r="G222" s="109">
        <v>55</v>
      </c>
      <c r="H222" s="110" t="str">
        <f ca="1">IF(OR(TRIM(D220)="-",TRIM(D221)="-"), IF(TRIM(D220)="-",D221,D220),IF(AND(E220="",E221="")," ",IF(N(E220)=N(E221)," ",IF(N(E220)&gt;N(E221),D220,D221))))</f>
        <v>13 PC Sokol Lipník - Zdobinský Michal ml.</v>
      </c>
      <c r="I222" s="156">
        <v>12</v>
      </c>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20.25" thickTop="1" thickBot="1">
      <c r="A223" s="105"/>
      <c r="B223" s="194"/>
      <c r="C223" s="195"/>
      <c r="D223" s="384" t="s">
        <v>447</v>
      </c>
      <c r="E223" s="387" t="str">
        <f ca="1">IF(OR(TRIM(D224)="-",TRIM(D225)="-"),"",VLOOKUP(MIN(C224,C225),Hřiště!$B$11:$E$266,4,0))</f>
        <v/>
      </c>
      <c r="F223" s="203"/>
      <c r="G223" s="111">
        <v>10</v>
      </c>
      <c r="H223" s="112" t="str">
        <f ca="1">IF(OR(TRIM(D224)="-",TRIM(D225)="-"), IF(TRIM(D224)="-",D225,D224),IF(AND(E224="",E225="")," ",IF(N(E224)=N(E225)," ",IF(N(E224)&gt;N(E225),D224,D225))))</f>
        <v>10 TOP - ORLOVÁ - Bačo David</v>
      </c>
      <c r="I223" s="157">
        <v>13</v>
      </c>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9.5" thickTop="1" thickBot="1">
      <c r="A224" s="117" t="str">
        <f ca="1">VLOOKUP(C224,Postupy!$A$3:$C$258,3,0)</f>
        <v/>
      </c>
      <c r="B224" s="182"/>
      <c r="C224" s="109">
        <v>119</v>
      </c>
      <c r="D224" s="110" t="str">
        <f ca="1">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20.25" thickTop="1" thickBot="1">
      <c r="A225" s="117" t="str">
        <f ca="1">VLOOKUP(C225,Postupy!$A$3:$C$258,3,0)</f>
        <v>J1</v>
      </c>
      <c r="B225" s="182"/>
      <c r="C225" s="111">
        <v>10</v>
      </c>
      <c r="D225" s="112" t="str">
        <f ca="1">VLOOKUP(C225,Postupy!$A$3:$B$258,2,0)</f>
        <v>10 TOP - ORLOVÁ - Bačo David</v>
      </c>
      <c r="E225" s="157"/>
      <c r="F225" s="209"/>
      <c r="G225" s="184"/>
      <c r="H225" s="201"/>
      <c r="I225" s="234"/>
      <c r="J225" s="184"/>
      <c r="K225" s="184"/>
      <c r="L225" s="210"/>
      <c r="M225" s="234"/>
      <c r="N225" s="184"/>
      <c r="O225" s="184"/>
      <c r="P225" s="211"/>
      <c r="Q225" s="235"/>
      <c r="R225" s="193"/>
      <c r="S225" s="187"/>
      <c r="T225" s="384" t="s">
        <v>447</v>
      </c>
      <c r="U225" s="387" t="str">
        <f ca="1">IF(OR(TRIM(T226)="-",TRIM(T227)="-"),"",VLOOKUP(MIN(S226,S227),Hřiště!$B$11:$E$266,4,0))</f>
        <v/>
      </c>
      <c r="V225" s="184"/>
      <c r="W225" s="196"/>
      <c r="X225" s="17"/>
      <c r="Y225" s="17"/>
      <c r="Z225" s="17"/>
      <c r="AA225" s="17"/>
      <c r="AB225" s="17"/>
      <c r="AC225" s="17"/>
      <c r="AD225" s="17"/>
      <c r="AE225" s="17"/>
      <c r="AF225" s="17"/>
      <c r="AG225" s="18"/>
      <c r="AH225" s="17"/>
      <c r="AI225" s="17"/>
      <c r="AJ225" s="17"/>
    </row>
    <row r="226" spans="1:36" ht="19.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 ca="1">IF(OR(TRIM(P210)="-",TRIM(P211)="-"), IF(TRIM(P210)="-",P211,P210),IF(AND(Q210="",Q211="")," ",IF(N(Q210)=N(Q211)," ",IF(N(Q210)&gt;N(Q211),P210,P211))))</f>
        <v>7 PLUK Jablonec - Lukáš Vojtěch</v>
      </c>
      <c r="U226" s="156">
        <v>7</v>
      </c>
      <c r="V226" s="198"/>
      <c r="W226" s="184"/>
      <c r="X226" s="17"/>
      <c r="Y226" s="17"/>
      <c r="Z226" s="17"/>
      <c r="AA226" s="17"/>
      <c r="AB226" s="17"/>
      <c r="AC226" s="17"/>
      <c r="AD226" s="17"/>
      <c r="AE226" s="17"/>
      <c r="AF226" s="17"/>
      <c r="AG226" s="18"/>
      <c r="AH226" s="17"/>
      <c r="AI226" s="17"/>
      <c r="AJ226" s="17"/>
    </row>
    <row r="227" spans="1:36" ht="20.25" thickTop="1" thickBot="1">
      <c r="A227" s="105"/>
      <c r="B227" s="194"/>
      <c r="C227" s="195"/>
      <c r="D227" s="384" t="s">
        <v>447</v>
      </c>
      <c r="E227" s="387" t="str">
        <f ca="1">IF(OR(TRIM(D228)="-",TRIM(D229)="-"),"",VLOOKUP(MIN(C228,C229),Hřiště!$B$11:$E$266,4,0))</f>
        <v/>
      </c>
      <c r="F227" s="23"/>
      <c r="G227" s="184"/>
      <c r="H227" s="204"/>
      <c r="I227" s="234"/>
      <c r="J227" s="184"/>
      <c r="K227" s="184"/>
      <c r="L227" s="217"/>
      <c r="M227" s="234"/>
      <c r="N227" s="184"/>
      <c r="O227" s="184"/>
      <c r="P227" s="217"/>
      <c r="Q227" s="234"/>
      <c r="R227" s="184"/>
      <c r="S227" s="111">
        <v>2</v>
      </c>
      <c r="T227" s="112" t="str">
        <f ca="1">IF(OR(TRIM(P242)="-",TRIM(P243)="-"), IF(TRIM(P242)="-",P243,P242),IF(AND(Q242="",Q243="")," ",IF(N(Q242)=N(Q243)," ",IF(N(Q242)&gt;N(Q243),P242,P243))))</f>
        <v>2 PC Sokol Lipník - Vavrovič Petr ml.</v>
      </c>
      <c r="U227" s="157">
        <v>13</v>
      </c>
      <c r="V227" s="185"/>
      <c r="W227" s="184"/>
      <c r="X227" s="17"/>
      <c r="Y227" s="18"/>
      <c r="Z227" s="17"/>
      <c r="AA227" s="17"/>
      <c r="AB227" s="17"/>
      <c r="AC227" s="17"/>
      <c r="AD227" s="17"/>
      <c r="AE227" s="17"/>
      <c r="AF227" s="17"/>
      <c r="AG227" s="18"/>
      <c r="AH227" s="17"/>
      <c r="AI227" s="17"/>
      <c r="AJ227" s="17"/>
    </row>
    <row r="228" spans="1:36" ht="19.5" thickTop="1" thickBot="1">
      <c r="A228" s="117" t="str">
        <f ca="1">VLOOKUP(C228,Postupy!$A$3:$C$258,3,0)</f>
        <v>O1</v>
      </c>
      <c r="B228" s="182"/>
      <c r="C228" s="109">
        <v>15</v>
      </c>
      <c r="D228" s="110" t="str">
        <f ca="1">VLOOKUP(C228,Postupy!$A$3:$B$258,2,0)</f>
        <v>15 PLUK Jablonec - Palicová Markéta</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20.25" thickTop="1" thickBot="1">
      <c r="A229" s="117" t="str">
        <f ca="1">VLOOKUP(C229,Postupy!$A$3:$C$258,3,0)</f>
        <v/>
      </c>
      <c r="B229" s="182"/>
      <c r="C229" s="111">
        <v>114</v>
      </c>
      <c r="D229" s="112" t="str">
        <f ca="1">VLOOKUP(C229,Postupy!$A$3:$B$258,2,0)</f>
        <v xml:space="preserve"> - </v>
      </c>
      <c r="E229" s="157"/>
      <c r="F229" s="213"/>
      <c r="G229" s="187"/>
      <c r="H229" s="384" t="s">
        <v>447</v>
      </c>
      <c r="I229" s="387" t="str">
        <f ca="1">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75" thickBot="1">
      <c r="A230" s="108"/>
      <c r="B230" s="190"/>
      <c r="C230" s="190">
        <f>C228+C229</f>
        <v>129</v>
      </c>
      <c r="D230" s="191"/>
      <c r="E230" s="231"/>
      <c r="F230" s="192"/>
      <c r="G230" s="109">
        <v>15</v>
      </c>
      <c r="H230" s="110" t="str">
        <f ca="1">IF(OR(TRIM(D228)="-",TRIM(D229)="-"), IF(TRIM(D228)="-",D229,D228),IF(AND(E228="",E229="")," ",IF(N(E228)=N(E229)," ",IF(N(E228)&gt;N(E229),D228,D229))))</f>
        <v>15 PLUK Jablonec - Palicová Markéta</v>
      </c>
      <c r="I230" s="156">
        <v>9</v>
      </c>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20.25" thickTop="1" thickBot="1">
      <c r="A231" s="105"/>
      <c r="B231" s="194"/>
      <c r="C231" s="195"/>
      <c r="D231" s="384" t="s">
        <v>447</v>
      </c>
      <c r="E231" s="387" t="str">
        <f ca="1">IF(OR(TRIM(D232)="-",TRIM(D233)="-"),"",VLOOKUP(MIN(C232,C233),Hřiště!$B$11:$E$266,4,0))</f>
        <v/>
      </c>
      <c r="F231" s="192"/>
      <c r="G231" s="111">
        <v>50</v>
      </c>
      <c r="H231" s="112" t="str">
        <f ca="1">IF(OR(TRIM(D232)="-",TRIM(D233)="-"), IF(TRIM(D232)="-",D233,D232),IF(AND(E232="",E233="")," ",IF(N(E232)=N(E233)," ",IF(N(E232)&gt;N(E233),D232,D233))))</f>
        <v>37 1. KPK Vrchlabí - Řezníček Jiří</v>
      </c>
      <c r="I231" s="157">
        <v>13</v>
      </c>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9.5" thickTop="1" thickBot="1">
      <c r="A232" s="117" t="str">
        <f ca="1">VLOOKUP(C232,Postupy!$A$3:$C$258,3,0)</f>
        <v>H2</v>
      </c>
      <c r="B232" s="182"/>
      <c r="C232" s="109">
        <v>79</v>
      </c>
      <c r="D232" s="110" t="str">
        <f ca="1">VLOOKUP(C232,Postupy!$A$3:$B$258,2,0)</f>
        <v>79 PO Chotěboř - Pachla Pavel</v>
      </c>
      <c r="E232" s="156">
        <v>5</v>
      </c>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20.25" thickTop="1" thickBot="1">
      <c r="A233" s="117" t="str">
        <f ca="1">VLOOKUP(C233,Postupy!$A$3:$C$258,3,0)</f>
        <v>AK2</v>
      </c>
      <c r="B233" s="182"/>
      <c r="C233" s="111">
        <v>50</v>
      </c>
      <c r="D233" s="112" t="str">
        <f ca="1">VLOOKUP(C233,Postupy!$A$3:$B$258,2,0)</f>
        <v>37 1. KPK Vrchlabí - Řezníček Jiří</v>
      </c>
      <c r="E233" s="157">
        <v>13</v>
      </c>
      <c r="F233" s="185"/>
      <c r="G233" s="184"/>
      <c r="H233" s="201"/>
      <c r="I233" s="235"/>
      <c r="J233" s="193"/>
      <c r="K233" s="187"/>
      <c r="L233" s="384" t="s">
        <v>447</v>
      </c>
      <c r="M233" s="387" t="str">
        <f ca="1">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75" thickBot="1">
      <c r="A234" s="108"/>
      <c r="B234" s="190"/>
      <c r="C234" s="190">
        <f>C232+C233</f>
        <v>129</v>
      </c>
      <c r="D234" s="191"/>
      <c r="E234" s="231"/>
      <c r="F234" s="349">
        <f>C230+C234</f>
        <v>258</v>
      </c>
      <c r="G234" s="184"/>
      <c r="H234" s="204"/>
      <c r="I234" s="234"/>
      <c r="J234" s="184"/>
      <c r="K234" s="109">
        <v>15</v>
      </c>
      <c r="L234" s="110" t="str">
        <f ca="1">IF(OR(TRIM(H230)="-",TRIM(H231)="-"), IF(TRIM(H230)="-",H231,H230),IF(AND(I230="",I231="")," ",IF(N(I230)=N(I231)," ",IF(N(I230)&gt;N(I231),H230,H231))))</f>
        <v>37 1. KPK Vrchlabí - Řezníček Jiří</v>
      </c>
      <c r="M234" s="156">
        <v>8</v>
      </c>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20.25" thickTop="1" thickBot="1">
      <c r="A235" s="105"/>
      <c r="B235" s="194"/>
      <c r="C235" s="195"/>
      <c r="D235" s="384" t="s">
        <v>447</v>
      </c>
      <c r="E235" s="387" t="str">
        <f ca="1">IF(OR(TRIM(D236)="-",TRIM(D237)="-"),"",VLOOKUP(MIN(C236,C237),Hřiště!$B$11:$E$266,4,0))</f>
        <v/>
      </c>
      <c r="F235" s="184"/>
      <c r="G235" s="184"/>
      <c r="H235" s="204"/>
      <c r="I235" s="234"/>
      <c r="J235" s="184"/>
      <c r="K235" s="111">
        <v>18</v>
      </c>
      <c r="L235" s="112" t="str">
        <f ca="1">IF(OR(TRIM(H238)="-",TRIM(H239)="-"), IF(TRIM(H238)="-",H239,H238),IF(AND(I238="",I239="")," ",IF(N(I238)=N(I239)," ",IF(N(I238)&gt;N(I239),H238,H239))))</f>
        <v>104 PK Polouvsí - Ondryhal Josef</v>
      </c>
      <c r="M235" s="157">
        <v>13</v>
      </c>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9.5" thickTop="1" thickBot="1">
      <c r="A236" s="117" t="str">
        <f ca="1">VLOOKUP(C236,Postupy!$A$3:$C$258,3,0)</f>
        <v>AN2</v>
      </c>
      <c r="B236" s="182"/>
      <c r="C236" s="109">
        <v>47</v>
      </c>
      <c r="D236" s="110" t="str">
        <f ca="1">VLOOKUP(C236,Postupy!$A$3:$B$258,2,0)</f>
        <v>126 1. KPK Vrchlabí - Lukeš Jakub</v>
      </c>
      <c r="E236" s="156">
        <v>11</v>
      </c>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20.25" thickTop="1" thickBot="1">
      <c r="A237" s="117" t="str">
        <f ca="1">VLOOKUP(C237,Postupy!$A$3:$C$258,3,0)</f>
        <v>E2</v>
      </c>
      <c r="B237" s="182"/>
      <c r="C237" s="111">
        <v>82</v>
      </c>
      <c r="D237" s="112" t="str">
        <f ca="1">VLOOKUP(C237,Postupy!$A$3:$B$258,2,0)</f>
        <v>82 Petank Club Praha - Kašparová Barbora</v>
      </c>
      <c r="E237" s="157">
        <v>13</v>
      </c>
      <c r="F237" s="207" t="s">
        <v>119</v>
      </c>
      <c r="G237" s="187"/>
      <c r="H237" s="384" t="s">
        <v>447</v>
      </c>
      <c r="I237" s="387" t="str">
        <f ca="1">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75" thickBot="1">
      <c r="A238" s="108"/>
      <c r="B238" s="190"/>
      <c r="C238" s="190">
        <f>C236+C237</f>
        <v>129</v>
      </c>
      <c r="D238" s="191"/>
      <c r="E238" s="231"/>
      <c r="F238" s="192"/>
      <c r="G238" s="109">
        <v>47</v>
      </c>
      <c r="H238" s="110" t="str">
        <f ca="1">IF(OR(TRIM(D236)="-",TRIM(D237)="-"), IF(TRIM(D236)="-",D237,D236),IF(AND(E236="",E237="")," ",IF(N(E236)=N(E237)," ",IF(N(E236)&gt;N(E237),D236,D237))))</f>
        <v>82 Petank Club Praha - Kašparová Barbora</v>
      </c>
      <c r="I238" s="156">
        <v>0</v>
      </c>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20.25" thickTop="1" thickBot="1">
      <c r="A239" s="105"/>
      <c r="B239" s="194"/>
      <c r="C239" s="195"/>
      <c r="D239" s="384" t="s">
        <v>447</v>
      </c>
      <c r="E239" s="387" t="str">
        <f ca="1">IF(OR(TRIM(D240)="-",TRIM(D241)="-"),"",VLOOKUP(MIN(C240,C241),Hřiště!$B$11:$E$266,4,0))</f>
        <v/>
      </c>
      <c r="F239" s="203"/>
      <c r="G239" s="111">
        <v>18</v>
      </c>
      <c r="H239" s="112" t="str">
        <f ca="1">IF(OR(TRIM(D240)="-",TRIM(D241)="-"), IF(TRIM(D240)="-",D241,D240),IF(AND(E240="",E241="")," ",IF(N(E240)=N(E241)," ",IF(N(E240)&gt;N(E241),D240,D241))))</f>
        <v>104 PK Polouvsí - Ondryhal Josef</v>
      </c>
      <c r="I239" s="157">
        <v>13</v>
      </c>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9.5" thickTop="1" thickBot="1">
      <c r="A240" s="117" t="str">
        <f ca="1">VLOOKUP(C240,Postupy!$A$3:$C$258,3,0)</f>
        <v/>
      </c>
      <c r="B240" s="182"/>
      <c r="C240" s="109">
        <v>111</v>
      </c>
      <c r="D240" s="110" t="str">
        <f ca="1">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20.25" thickTop="1" thickBot="1">
      <c r="A241" s="117" t="str">
        <f ca="1">VLOOKUP(C241,Postupy!$A$3:$C$258,3,0)</f>
        <v>R1</v>
      </c>
      <c r="B241" s="182"/>
      <c r="C241" s="111">
        <v>18</v>
      </c>
      <c r="D241" s="112" t="str">
        <f ca="1">VLOOKUP(C241,Postupy!$A$3:$B$258,2,0)</f>
        <v>104 PK Polouvsí - Ondryhal Josef</v>
      </c>
      <c r="E241" s="157"/>
      <c r="F241" s="209"/>
      <c r="G241" s="184"/>
      <c r="H241" s="201"/>
      <c r="I241" s="234"/>
      <c r="J241" s="184"/>
      <c r="K241" s="184"/>
      <c r="L241" s="210"/>
      <c r="M241" s="235"/>
      <c r="N241" s="193"/>
      <c r="O241" s="187"/>
      <c r="P241" s="384" t="s">
        <v>447</v>
      </c>
      <c r="Q241" s="387" t="str">
        <f ca="1">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75" thickBot="1">
      <c r="A242" s="108"/>
      <c r="B242" s="190"/>
      <c r="C242" s="190">
        <f>C240+C241</f>
        <v>129</v>
      </c>
      <c r="D242" s="191"/>
      <c r="E242" s="231"/>
      <c r="F242" s="349">
        <f>C238+C242</f>
        <v>258</v>
      </c>
      <c r="G242" s="349"/>
      <c r="H242" s="204"/>
      <c r="I242" s="234"/>
      <c r="J242" s="184"/>
      <c r="K242" s="184"/>
      <c r="L242" s="211"/>
      <c r="M242" s="235"/>
      <c r="N242" s="193"/>
      <c r="O242" s="109">
        <v>15</v>
      </c>
      <c r="P242" s="110" t="str">
        <f ca="1">IF(OR(TRIM(L234)="-",TRIM(L235)="-"), IF(TRIM(L234)="-",L235,L234),IF(AND(M234="",M235="")," ",IF(N(M234)=N(M235)," ",IF(N(M234)&gt;N(M235),L234,L235))))</f>
        <v>104 PK Polouvsí - Ondryhal Josef</v>
      </c>
      <c r="Q242" s="156">
        <v>3</v>
      </c>
      <c r="R242" s="198"/>
      <c r="S242" s="196"/>
      <c r="T242" s="50"/>
      <c r="U242" s="50"/>
      <c r="V242" s="184"/>
      <c r="W242" s="184"/>
      <c r="X242" s="17"/>
      <c r="Y242" s="17"/>
      <c r="Z242" s="17"/>
      <c r="AA242" s="17"/>
      <c r="AB242" s="17"/>
      <c r="AC242" s="17"/>
      <c r="AD242" s="17"/>
      <c r="AE242" s="17"/>
      <c r="AF242" s="17"/>
      <c r="AG242" s="18"/>
      <c r="AH242" s="17"/>
      <c r="AI242" s="17"/>
      <c r="AJ242" s="17"/>
    </row>
    <row r="243" spans="1:36" ht="20.25" thickTop="1" thickBot="1">
      <c r="A243" s="105"/>
      <c r="B243" s="194"/>
      <c r="C243" s="195"/>
      <c r="D243" s="384" t="s">
        <v>447</v>
      </c>
      <c r="E243" s="387" t="str">
        <f ca="1">IF(OR(TRIM(D244)="-",TRIM(D245)="-"),"",VLOOKUP(MIN(C244,C245),Hřiště!$B$11:$E$266,4,0))</f>
        <v/>
      </c>
      <c r="F243" s="349"/>
      <c r="G243" s="184"/>
      <c r="H243" s="204"/>
      <c r="I243" s="234"/>
      <c r="J243" s="184"/>
      <c r="K243" s="184"/>
      <c r="L243" s="211"/>
      <c r="M243" s="235"/>
      <c r="N243" s="193"/>
      <c r="O243" s="111">
        <v>2</v>
      </c>
      <c r="P243" s="112" t="str">
        <f ca="1">IF(OR(TRIM(L250)="-",TRIM(L251)="-"),IF(TRIM(L250)="-",L251,L250),IF(AND(M250="",M251="")," ",IF(N(M250)=N(M251)," ",IF(N(M250)&gt;N(M251),L250,L251))))</f>
        <v>2 PC Sokol Lipník - Vavrovič Petr ml.</v>
      </c>
      <c r="Q243" s="157">
        <v>13</v>
      </c>
      <c r="R243" s="185"/>
      <c r="S243" s="184"/>
      <c r="U243" s="184"/>
      <c r="V243" s="184"/>
      <c r="W243" s="193"/>
      <c r="X243" s="17"/>
      <c r="Y243" s="17"/>
      <c r="Z243" s="17"/>
      <c r="AA243" s="17"/>
      <c r="AB243" s="17"/>
      <c r="AC243" s="17"/>
      <c r="AD243" s="17"/>
      <c r="AE243" s="17"/>
      <c r="AF243" s="17"/>
      <c r="AG243" s="18"/>
      <c r="AH243" s="17"/>
      <c r="AI243" s="17"/>
      <c r="AJ243" s="17"/>
    </row>
    <row r="244" spans="1:36" ht="19.5" thickTop="1" thickBot="1">
      <c r="A244" s="117" t="str">
        <f ca="1">VLOOKUP(C244,Postupy!$A$3:$C$258,3,0)</f>
        <v>AE1</v>
      </c>
      <c r="B244" s="182"/>
      <c r="C244" s="109">
        <v>31</v>
      </c>
      <c r="D244" s="110" t="str">
        <f ca="1">VLOOKUP(C244,Postupy!$A$3:$B$258,2,0)</f>
        <v>31 PLUK Jablonec - Lukáš Petr</v>
      </c>
      <c r="E244" s="156"/>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20.25" thickTop="1" thickBot="1">
      <c r="A245" s="117" t="str">
        <f ca="1">VLOOKUP(C245,Postupy!$A$3:$C$258,3,0)</f>
        <v/>
      </c>
      <c r="B245" s="182"/>
      <c r="C245" s="111">
        <v>98</v>
      </c>
      <c r="D245" s="112" t="str">
        <f ca="1">VLOOKUP(C245,Postupy!$A$3:$B$258,2,0)</f>
        <v xml:space="preserve"> - </v>
      </c>
      <c r="E245" s="157"/>
      <c r="F245" s="213"/>
      <c r="G245" s="187"/>
      <c r="H245" s="384" t="s">
        <v>447</v>
      </c>
      <c r="I245" s="387" t="str">
        <f ca="1">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75" thickBot="1">
      <c r="A246" s="108"/>
      <c r="B246" s="190"/>
      <c r="C246" s="190">
        <f>C244+C245</f>
        <v>129</v>
      </c>
      <c r="D246" s="191"/>
      <c r="E246" s="231"/>
      <c r="F246" s="192"/>
      <c r="G246" s="109">
        <v>31</v>
      </c>
      <c r="H246" s="110" t="str">
        <f ca="1">IF(OR(TRIM(D244)="-",TRIM(D245)="-"), IF(TRIM(D244)="-",D245,D244),IF(AND(E244="",E245="")," ",IF(N(E244)=N(E245)," ",IF(N(E244)&gt;N(E245),D244,D245))))</f>
        <v>31 PLUK Jablonec - Lukáš Petr</v>
      </c>
      <c r="I246" s="156">
        <v>13</v>
      </c>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20.25" thickTop="1" thickBot="1">
      <c r="A247" s="105"/>
      <c r="B247" s="194"/>
      <c r="C247" s="195"/>
      <c r="D247" s="384" t="s">
        <v>447</v>
      </c>
      <c r="E247" s="387" t="str">
        <f ca="1">IF(OR(TRIM(D248)="-",TRIM(D249)="-"),"",VLOOKUP(MIN(C248,C249),Hřiště!$B$11:$E$266,4,0))</f>
        <v/>
      </c>
      <c r="F247" s="192"/>
      <c r="G247" s="111">
        <v>34</v>
      </c>
      <c r="H247" s="112" t="str">
        <f ca="1">IF(OR(TRIM(D248)="-",TRIM(D249)="-"), IF(TRIM(D248)="-",D249,D248),IF(AND(E248="",E249="")," ",IF(N(E248)=N(E249)," ",IF(N(E248)&gt;N(E249),D248,D249))))</f>
        <v>120 Petank Club Praha - Křešťáková Jana</v>
      </c>
      <c r="I247" s="157">
        <v>2</v>
      </c>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9.5" thickTop="1" thickBot="1">
      <c r="A248" s="117" t="str">
        <f ca="1">VLOOKUP(C248,Postupy!$A$3:$C$258,3,0)</f>
        <v/>
      </c>
      <c r="B248" s="182"/>
      <c r="C248" s="109">
        <v>95</v>
      </c>
      <c r="D248" s="110" t="str">
        <f ca="1">VLOOKUP(C248,Postupy!$A$3:$B$258,2,0)</f>
        <v xml:space="preserve"> - </v>
      </c>
      <c r="E248" s="156"/>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20.25" thickTop="1" thickBot="1">
      <c r="A249" s="117" t="str">
        <f ca="1">VLOOKUP(C249,Postupy!$A$3:$C$258,3,0)</f>
        <v>AH1</v>
      </c>
      <c r="B249" s="182"/>
      <c r="C249" s="111">
        <v>34</v>
      </c>
      <c r="D249" s="112" t="str">
        <f ca="1">VLOOKUP(C249,Postupy!$A$3:$B$258,2,0)</f>
        <v>120 Petank Club Praha - Křešťáková Jana</v>
      </c>
      <c r="E249" s="157"/>
      <c r="F249" s="185"/>
      <c r="G249" s="184"/>
      <c r="H249" s="201"/>
      <c r="I249" s="234"/>
      <c r="J249" s="193"/>
      <c r="K249" s="187"/>
      <c r="L249" s="384" t="s">
        <v>447</v>
      </c>
      <c r="M249" s="387" t="str">
        <f ca="1">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75" thickBot="1">
      <c r="A250" s="108"/>
      <c r="B250" s="190"/>
      <c r="C250" s="190">
        <f>C248+C249</f>
        <v>129</v>
      </c>
      <c r="D250" s="191"/>
      <c r="E250" s="231"/>
      <c r="F250" s="349">
        <f>C246+C250</f>
        <v>258</v>
      </c>
      <c r="G250" s="184"/>
      <c r="H250" s="204"/>
      <c r="I250" s="234"/>
      <c r="J250" s="184"/>
      <c r="K250" s="109">
        <v>31</v>
      </c>
      <c r="L250" s="110" t="str">
        <f ca="1">IF(OR(TRIM(H246)="-",TRIM(H247)="-"), IF(TRIM(H246)="-",H247,H246),IF(AND(I246="",I247="")," ",IF(N(I246)=N(I247)," ",IF(N(I246)&gt;N(I247),H246,H247))))</f>
        <v>31 PLUK Jablonec - Lukáš Petr</v>
      </c>
      <c r="M250" s="156">
        <v>12</v>
      </c>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20.25" thickTop="1" thickBot="1">
      <c r="A251" s="105"/>
      <c r="B251" s="194"/>
      <c r="C251" s="195"/>
      <c r="D251" s="384" t="s">
        <v>447</v>
      </c>
      <c r="E251" s="387" t="str">
        <f ca="1">IF(OR(TRIM(D252)="-",TRIM(D253)="-"),"",VLOOKUP(MIN(C252,C253),Hřiště!$B$11:$E$266,4,0))</f>
        <v/>
      </c>
      <c r="F251" s="184"/>
      <c r="G251" s="184"/>
      <c r="H251" s="204"/>
      <c r="I251" s="234"/>
      <c r="J251" s="184"/>
      <c r="K251" s="111">
        <v>2</v>
      </c>
      <c r="L251" s="112" t="str">
        <f ca="1">IF(OR(TRIM(H254)="-",TRIM(H255)="-"), IF(TRIM(H254)="-",H255,H254),IF(AND(I254="",I255="")," ",IF(N(I254)=N(I255)," ",IF(N(I254)&gt;N(I255),H254,H255))))</f>
        <v>2 PC Sokol Lipník - Vavrovič Petr ml.</v>
      </c>
      <c r="M251" s="157">
        <v>13</v>
      </c>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9.5" thickTop="1" thickBot="1">
      <c r="A252" s="117" t="str">
        <f ca="1">VLOOKUP(C252,Postupy!$A$3:$C$258,3,0)</f>
        <v>X2</v>
      </c>
      <c r="B252" s="182"/>
      <c r="C252" s="109">
        <v>63</v>
      </c>
      <c r="D252" s="110" t="str">
        <f ca="1">VLOOKUP(C252,Postupy!$A$3:$B$258,2,0)</f>
        <v>24 TOP - ORLOVÁ - Ulmann Jiří</v>
      </c>
      <c r="E252" s="156">
        <v>13</v>
      </c>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20.25" thickTop="1" thickBot="1">
      <c r="A253" s="117" t="str">
        <f ca="1">VLOOKUP(C253,Postupy!$A$3:$C$258,3,0)</f>
        <v>U2</v>
      </c>
      <c r="B253" s="182"/>
      <c r="C253" s="111">
        <v>66</v>
      </c>
      <c r="D253" s="112" t="str">
        <f ca="1">VLOOKUP(C253,Postupy!$A$3:$B$258,2,0)</f>
        <v>21 PLUK Jablonec - Lukášová Jana</v>
      </c>
      <c r="E253" s="157">
        <v>9</v>
      </c>
      <c r="F253" s="207" t="s">
        <v>119</v>
      </c>
      <c r="G253" s="187"/>
      <c r="H253" s="384" t="s">
        <v>447</v>
      </c>
      <c r="I253" s="387" t="str">
        <f ca="1">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75" thickBot="1">
      <c r="A254" s="108"/>
      <c r="B254" s="190"/>
      <c r="C254" s="190">
        <f>C252+C253</f>
        <v>129</v>
      </c>
      <c r="D254" s="191"/>
      <c r="E254" s="231"/>
      <c r="F254" s="23"/>
      <c r="G254" s="109">
        <v>63</v>
      </c>
      <c r="H254" s="110" t="str">
        <f ca="1">IF(OR(TRIM(D252)="-",TRIM(D253)="-"), IF(TRIM(D252)="-",D253,D252),IF(AND(E252="",E253="")," ",IF(N(E252)=N(E253)," ",IF(N(E252)&gt;N(E253),D252,D253))))</f>
        <v>24 TOP - ORLOVÁ - Ulmann Jiří</v>
      </c>
      <c r="I254" s="156">
        <v>9</v>
      </c>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20.25" thickTop="1" thickBot="1">
      <c r="A255" s="105"/>
      <c r="B255" s="194"/>
      <c r="C255" s="195"/>
      <c r="D255" s="384" t="s">
        <v>447</v>
      </c>
      <c r="E255" s="387" t="str">
        <f ca="1">IF(OR(TRIM(D256)="-",TRIM(D257)="-"),"",VLOOKUP(MIN(C256,C257),Hřiště!$B$11:$E$266,4,0))</f>
        <v/>
      </c>
      <c r="F255" s="203"/>
      <c r="G255" s="111">
        <v>2</v>
      </c>
      <c r="H255" s="112" t="str">
        <f ca="1">IF(OR(TRIM(D256)="-",TRIM(D257)="-"), IF(TRIM(D256)="-",D257,D256),IF(AND(E256="",E257="")," ",IF(N(E256)=N(E257)," ",IF(N(E256)&gt;N(E257),D256,D257))))</f>
        <v>2 PC Sokol Lipník - Vavrovič Petr ml.</v>
      </c>
      <c r="I255" s="157">
        <v>13</v>
      </c>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9.5" thickTop="1" thickBot="1">
      <c r="A256" s="117" t="str">
        <f ca="1">VLOOKUP(C256,Postupy!$A$3:$C$258,3,0)</f>
        <v/>
      </c>
      <c r="B256" s="182"/>
      <c r="C256" s="109">
        <v>127</v>
      </c>
      <c r="D256" s="110" t="str">
        <f ca="1">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9.5" thickTop="1" thickBot="1">
      <c r="A257" s="117" t="str">
        <f ca="1">VLOOKUP(C257,Postupy!$A$3:$C$258,3,0)</f>
        <v>B1</v>
      </c>
      <c r="B257" s="182"/>
      <c r="C257" s="111">
        <v>2</v>
      </c>
      <c r="D257" s="112" t="str">
        <f ca="1">VLOOKUP(C257,Postupy!$A$3:$B$258,2,0)</f>
        <v>2 PC Sokol Lipník - Vavrovič Petr ml.</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00000000000006"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00000000000006"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00000000000006"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0866141732283472" right="0.70866141732283472" top="0.78740157480314965" bottom="0.78740157480314965" header="0.31496062992125984" footer="0.31496062992125984"/>
  <pageSetup paperSize="9" scale="75" orientation="portrait" horizontalDpi="0" verticalDpi="0" r:id="rId1"/>
  <legacyDrawing r:id="rId2"/>
</worksheet>
</file>

<file path=xl/worksheets/sheet17.xml><?xml version="1.0" encoding="utf-8"?>
<worksheet xmlns="http://schemas.openxmlformats.org/spreadsheetml/2006/main" xmlns:r="http://schemas.openxmlformats.org/officeDocument/2006/relationships">
  <sheetPr codeName="List23">
    <pageSetUpPr fitToPage="1"/>
  </sheetPr>
  <dimension ref="A1:AJ133"/>
  <sheetViews>
    <sheetView workbookViewId="0">
      <pane xSplit="4" ySplit="3" topLeftCell="E49" activePane="bottomRight" state="frozen"/>
      <selection pane="topRight"/>
      <selection pane="bottomLeft"/>
      <selection pane="bottomRight" activeCell="G50" sqref="G50"/>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8.9" customHeight="1" thickBot="1">
      <c r="A3" s="29"/>
      <c r="B3" s="33"/>
      <c r="C3" s="259"/>
      <c r="D3" s="384" t="s">
        <v>447</v>
      </c>
      <c r="E3" s="387" t="str">
        <f ca="1">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 ca="1">VLOOKUP(C4,Postupy!$A$3:$C$66,3,0)</f>
        <v>A1</v>
      </c>
      <c r="B4" s="182"/>
      <c r="C4" s="109">
        <v>1</v>
      </c>
      <c r="D4" s="110" t="str">
        <f ca="1">VLOOKUP(C4,Postupy!$A$3:$B$66,2,0)</f>
        <v>1 Carreau Brno - Michálek Ivo</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 ca="1">VLOOKUP(C5,Postupy!$A$3:$C$66,3,0)</f>
        <v>W2</v>
      </c>
      <c r="B5" s="182"/>
      <c r="C5" s="111">
        <v>64</v>
      </c>
      <c r="D5" s="112" t="str">
        <f ca="1">VLOOKUP(C5,Postupy!$A$3:$B$66,2,0)</f>
        <v>109 JAPKO - Stejskal Petr</v>
      </c>
      <c r="E5" s="157"/>
      <c r="F5" s="186"/>
      <c r="G5" s="187"/>
      <c r="H5" s="384" t="s">
        <v>447</v>
      </c>
      <c r="I5" s="387" t="str">
        <f ca="1">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65</v>
      </c>
      <c r="D6" s="191"/>
      <c r="E6" s="386"/>
      <c r="F6" s="192"/>
      <c r="G6" s="109">
        <v>1</v>
      </c>
      <c r="H6" s="110" t="str">
        <f ca="1">IF(OR(TRIM(D4)="-",TRIM(D5)="-"), IF(TRIM(D4)="-",D5,D4),IF(AND(E4="",E5="")," ",IF(N(E4)=N(E5)," ",IF(N(E4)&gt;N(E5),D4,D5))))</f>
        <v xml:space="preserve">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 ca="1">IF(OR(TRIM(D8)="-",TRIM(D9)="-"),"",VLOOKUP(MIN(C8,C9),Hřiště!$B$11:$E$75,4,0))</f>
        <v/>
      </c>
      <c r="F7" s="385"/>
      <c r="G7" s="111">
        <v>32</v>
      </c>
      <c r="H7" s="112" t="str">
        <f ca="1">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 ca="1">VLOOKUP(C8,Postupy!$A$3:$C$66,3,0)</f>
        <v>AG1</v>
      </c>
      <c r="B8" s="182"/>
      <c r="C8" s="109">
        <v>33</v>
      </c>
      <c r="D8" s="110" t="str">
        <f ca="1">VLOOKUP(C8,Postupy!$A$3:$B$66,2,0)</f>
        <v>33 1. KPK Vrchlabí - Brázda Vladimír</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 ca="1">VLOOKUP(C9,Postupy!$A$3:$C$66,3,0)</f>
        <v>AF1</v>
      </c>
      <c r="B9" s="182"/>
      <c r="C9" s="111">
        <v>32</v>
      </c>
      <c r="D9" s="112" t="str">
        <f ca="1">VLOOKUP(C9,Postupy!$A$3:$B$66,2,0)</f>
        <v>32 Club Rodamiento - Kamaryt Josef</v>
      </c>
      <c r="E9" s="157"/>
      <c r="F9" s="185"/>
      <c r="G9" s="184"/>
      <c r="H9" s="201"/>
      <c r="I9" s="235"/>
      <c r="J9" s="193"/>
      <c r="K9" s="187"/>
      <c r="L9" s="384" t="s">
        <v>447</v>
      </c>
      <c r="M9" s="387" t="str">
        <f ca="1">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65</v>
      </c>
      <c r="D10" s="191"/>
      <c r="E10" s="231"/>
      <c r="F10" s="349">
        <f>C6+C10</f>
        <v>130</v>
      </c>
      <c r="G10" s="184"/>
      <c r="H10" s="204"/>
      <c r="I10" s="234"/>
      <c r="J10" s="184"/>
      <c r="K10" s="109">
        <v>1</v>
      </c>
      <c r="L10" s="110" t="str">
        <f ca="1">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 ca="1">IF(OR(TRIM(D12)="-",TRIM(D13)="-"),"",VLOOKUP(MIN(C12,C13),Hřiště!$B$11:$E$75,4,0))</f>
        <v/>
      </c>
      <c r="F11" s="184"/>
      <c r="G11" s="184"/>
      <c r="H11" s="204"/>
      <c r="I11" s="234"/>
      <c r="J11" s="184"/>
      <c r="K11" s="111">
        <v>16</v>
      </c>
      <c r="L11" s="112" t="str">
        <f ca="1">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 ca="1">VLOOKUP(C12,Postupy!$A$3:$C$66,3,0)</f>
        <v>Q1</v>
      </c>
      <c r="B12" s="182"/>
      <c r="C12" s="109">
        <v>17</v>
      </c>
      <c r="D12" s="110" t="str">
        <f ca="1">VLOOKUP(C12,Postupy!$A$3:$B$66,2,0)</f>
        <v>70 Orel Řečkovice - Hanák Pavel</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 ca="1">VLOOKUP(C13,Postupy!$A$3:$C$66,3,0)</f>
        <v>AM2</v>
      </c>
      <c r="B13" s="182"/>
      <c r="C13" s="111">
        <v>48</v>
      </c>
      <c r="D13" s="112" t="str">
        <f ca="1">VLOOKUP(C13,Postupy!$A$3:$B$66,2,0)</f>
        <v>39 FRAPECO - Felčárek Jaroslav</v>
      </c>
      <c r="E13" s="157"/>
      <c r="F13" s="207" t="s">
        <v>119</v>
      </c>
      <c r="G13" s="187"/>
      <c r="H13" s="384" t="s">
        <v>447</v>
      </c>
      <c r="I13" s="387" t="str">
        <f ca="1">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65</v>
      </c>
      <c r="D14" s="191"/>
      <c r="E14" s="231"/>
      <c r="F14" s="192"/>
      <c r="G14" s="109">
        <v>17</v>
      </c>
      <c r="H14" s="110" t="str">
        <f ca="1">IF(OR(TRIM(D12)="-",TRIM(D13)="-"), IF(TRIM(D12)="-",D13,D12),IF(AND(E12="",E13="")," ",IF(N(E12)=N(E13)," ",IF(N(E12)&gt;N(E13),D12,D13))))</f>
        <v xml:space="preserve">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 ca="1">IF(OR(TRIM(D16)="-",TRIM(D17)="-"),"",VLOOKUP(MIN(C16,C17),Hřiště!$B$11:$E$75,4,0))</f>
        <v/>
      </c>
      <c r="F15" s="203"/>
      <c r="G15" s="111">
        <v>16</v>
      </c>
      <c r="H15" s="112" t="str">
        <f ca="1">IF(OR(TRIM(D16)="-",TRIM(D17)="-"), IF(TRIM(D16)="-",D17,D16),IF(AND(E16="",E17="")," ",IF(N(E16)=N(E17)," ",IF(N(E16)&gt;N(E17),D16,D17))))</f>
        <v xml:space="preserve">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 ca="1">VLOOKUP(C16,Postupy!$A$3:$C$66,3,0)</f>
        <v>AL2</v>
      </c>
      <c r="B16" s="182"/>
      <c r="C16" s="109">
        <v>49</v>
      </c>
      <c r="D16" s="110" t="str">
        <f ca="1">VLOOKUP(C16,Postupy!$A$3:$B$66,2,0)</f>
        <v>135 VARAN - Tintěrová Kateřina</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 ca="1">VLOOKUP(C17,Postupy!$A$3:$C$66,3,0)</f>
        <v>P1</v>
      </c>
      <c r="B17" s="182"/>
      <c r="C17" s="111">
        <v>16</v>
      </c>
      <c r="D17" s="112" t="str">
        <f ca="1">VLOOKUP(C17,Postupy!$A$3:$B$66,2,0)</f>
        <v>71 Bowle 09 Klatovy - Hulec Zdeněk</v>
      </c>
      <c r="E17" s="157"/>
      <c r="F17" s="209"/>
      <c r="G17" s="184"/>
      <c r="H17" s="201"/>
      <c r="I17" s="234"/>
      <c r="J17" s="184"/>
      <c r="K17" s="184"/>
      <c r="L17" s="210"/>
      <c r="M17" s="235"/>
      <c r="N17" s="193"/>
      <c r="O17" s="187"/>
      <c r="P17" s="384" t="s">
        <v>447</v>
      </c>
      <c r="Q17" s="387" t="str">
        <f ca="1">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65</v>
      </c>
      <c r="D18" s="191"/>
      <c r="E18" s="231"/>
      <c r="F18" s="349">
        <f>C14+C18</f>
        <v>130</v>
      </c>
      <c r="G18" s="184"/>
      <c r="H18" s="204"/>
      <c r="I18" s="234"/>
      <c r="J18" s="184"/>
      <c r="K18" s="184"/>
      <c r="L18" s="211"/>
      <c r="M18" s="235"/>
      <c r="N18" s="193"/>
      <c r="O18" s="109">
        <v>1</v>
      </c>
      <c r="P18" s="110" t="str">
        <f ca="1">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 ca="1">IF(OR(TRIM(D20)="-",TRIM(D21)="-"),"",VLOOKUP(MIN(C20,C21),Hřiště!$B$11:$E$75,4,0))</f>
        <v/>
      </c>
      <c r="F19" s="184"/>
      <c r="G19" s="184"/>
      <c r="H19" s="204"/>
      <c r="I19" s="234"/>
      <c r="J19" s="184"/>
      <c r="K19" s="184"/>
      <c r="L19" s="211"/>
      <c r="M19" s="235"/>
      <c r="N19" s="192"/>
      <c r="O19" s="111">
        <v>8</v>
      </c>
      <c r="P19" s="112" t="str">
        <f ca="1">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 ca="1">VLOOKUP(C20,Postupy!$A$3:$C$66,3,0)</f>
        <v>I1</v>
      </c>
      <c r="B20" s="182"/>
      <c r="C20" s="109">
        <v>9</v>
      </c>
      <c r="D20" s="110" t="str">
        <f ca="1">VLOOKUP(C20,Postupy!$A$3:$B$66,2,0)</f>
        <v>9 VARAN - Valenz Lukáš</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 ca="1">VLOOKUP(C21,Postupy!$A$3:$C$66,3,0)</f>
        <v>AE2</v>
      </c>
      <c r="B21" s="182"/>
      <c r="C21" s="111">
        <v>56</v>
      </c>
      <c r="D21" s="112" t="str">
        <f ca="1">VLOOKUP(C21,Postupy!$A$3:$B$66,2,0)</f>
        <v>56 SK Pétanque Řepy - Hladík Jaroslav</v>
      </c>
      <c r="E21" s="157"/>
      <c r="F21" s="213"/>
      <c r="G21" s="187"/>
      <c r="H21" s="384" t="s">
        <v>447</v>
      </c>
      <c r="I21" s="387" t="str">
        <f ca="1">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65</v>
      </c>
      <c r="D22" s="191"/>
      <c r="E22" s="231"/>
      <c r="F22" s="192"/>
      <c r="G22" s="109">
        <v>9</v>
      </c>
      <c r="H22" s="110" t="str">
        <f ca="1">IF(OR(TRIM(D20)="-",TRIM(D21)="-"), IF(TRIM(D20)="-",D21,D20),IF(AND(E20="",E21="")," ",IF(N(E20)=N(E21)," ",IF(N(E20)&gt;N(E21),D20,D21))))</f>
        <v xml:space="preserve">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 ca="1">IF(OR(TRIM(D24)="-",TRIM(D25)="-"),"",VLOOKUP(MIN(C24,C25),Hřiště!$B$11:$E$75,4,0))</f>
        <v/>
      </c>
      <c r="F23" s="192"/>
      <c r="G23" s="111">
        <v>24</v>
      </c>
      <c r="H23" s="112" t="str">
        <f ca="1">IF(OR(TRIM(D24)="-",TRIM(D25)="-"), IF(TRIM(D24)="-",D25,D24),IF(AND(E24="",E25="")," ",IF(N(E24)=N(E25)," ",IF(N(E24)&gt;N(E25),D24,D25))))</f>
        <v xml:space="preserve">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 ca="1">VLOOKUP(C24,Postupy!$A$3:$C$66,3,0)</f>
        <v>AO1</v>
      </c>
      <c r="B24" s="182"/>
      <c r="C24" s="109">
        <v>41</v>
      </c>
      <c r="D24" s="110" t="str">
        <f ca="1">VLOOKUP(C24,Postupy!$A$3:$B$66,2,0)</f>
        <v>41 SKP Kulová osma - Pilát Petr</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 ca="1">VLOOKUP(C25,Postupy!$A$3:$C$66,3,0)</f>
        <v>X1</v>
      </c>
      <c r="B25" s="182"/>
      <c r="C25" s="111">
        <v>24</v>
      </c>
      <c r="D25" s="112" t="str">
        <f ca="1">VLOOKUP(C25,Postupy!$A$3:$B$66,2,0)</f>
        <v>110 PK Polouvsí - Valošková Sára</v>
      </c>
      <c r="E25" s="157"/>
      <c r="F25" s="185"/>
      <c r="G25" s="184"/>
      <c r="H25" s="201"/>
      <c r="I25" s="235"/>
      <c r="J25" s="193"/>
      <c r="K25" s="187"/>
      <c r="L25" s="384" t="s">
        <v>447</v>
      </c>
      <c r="M25" s="387" t="str">
        <f ca="1">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65</v>
      </c>
      <c r="D26" s="191"/>
      <c r="E26" s="231"/>
      <c r="F26" s="349">
        <f>C22+C26</f>
        <v>130</v>
      </c>
      <c r="G26" s="184"/>
      <c r="H26" s="204"/>
      <c r="I26" s="234"/>
      <c r="J26" s="184"/>
      <c r="K26" s="109">
        <v>9</v>
      </c>
      <c r="L26" s="110" t="str">
        <f ca="1">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 ca="1">IF(OR(TRIM(D28)="-",TRIM(D29)="-"),"",VLOOKUP(MIN(C28,C29),Hřiště!$B$11:$E$75,4,0))</f>
        <v/>
      </c>
      <c r="F27" s="184"/>
      <c r="G27" s="184"/>
      <c r="H27" s="204"/>
      <c r="I27" s="234"/>
      <c r="J27" s="184"/>
      <c r="K27" s="111">
        <v>8</v>
      </c>
      <c r="L27" s="112" t="str">
        <f ca="1">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 ca="1">VLOOKUP(C28,Postupy!$A$3:$C$66,3,0)</f>
        <v>Y1</v>
      </c>
      <c r="B28" s="182"/>
      <c r="C28" s="109">
        <v>25</v>
      </c>
      <c r="D28" s="110" t="str">
        <f ca="1">VLOOKUP(C28,Postupy!$A$3:$B$66,2,0)</f>
        <v>62 Carreau Brno - Grepl Jiří</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 ca="1">VLOOKUP(C29,Postupy!$A$3:$C$66,3,0)</f>
        <v>AN1</v>
      </c>
      <c r="B29" s="182"/>
      <c r="C29" s="111">
        <v>40</v>
      </c>
      <c r="D29" s="112" t="str">
        <f ca="1">VLOOKUP(C29,Postupy!$A$3:$B$66,2,0)</f>
        <v>40 HAPEK - Bureš Pavel st.</v>
      </c>
      <c r="E29" s="157"/>
      <c r="F29" s="207" t="s">
        <v>119</v>
      </c>
      <c r="G29" s="187"/>
      <c r="H29" s="384" t="s">
        <v>447</v>
      </c>
      <c r="I29" s="387" t="str">
        <f ca="1">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65</v>
      </c>
      <c r="D30" s="191"/>
      <c r="E30" s="231"/>
      <c r="F30" s="23"/>
      <c r="G30" s="109">
        <v>25</v>
      </c>
      <c r="H30" s="110" t="str">
        <f ca="1">IF(OR(TRIM(D28)="-",TRIM(D29)="-"), IF(TRIM(D28)="-",D29,D28),IF(AND(E28="",E29="")," ",IF(N(E28)=N(E29)," ",IF(N(E28)&gt;N(E29),D28,D29))))</f>
        <v xml:space="preserve">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 ca="1">IF(OR(TRIM(D32)="-",TRIM(D33)="-"),"",VLOOKUP(MIN(C32,C33),Hřiště!$B$11:$E$75,4,0))</f>
        <v/>
      </c>
      <c r="F31" s="203"/>
      <c r="G31" s="111">
        <v>8</v>
      </c>
      <c r="H31" s="112" t="str">
        <f ca="1">IF(OR(TRIM(D32)="-",TRIM(D33)="-"), IF(TRIM(D32)="-",D33,D32),IF(AND(E32="",E33="")," ",IF(N(E32)=N(E33)," ",IF(N(E32)&gt;N(E33),D32,D33))))</f>
        <v xml:space="preserve">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 ca="1">VLOOKUP(C32,Postupy!$A$3:$C$66,3,0)</f>
        <v>AD2</v>
      </c>
      <c r="B32" s="182"/>
      <c r="C32" s="109">
        <v>57</v>
      </c>
      <c r="D32" s="110" t="str">
        <f ca="1">VLOOKUP(C32,Postupy!$A$3:$B$66,2,0)</f>
        <v>57 SKP Hranice VI-Valšovice - Kutá Miloslava</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 ca="1">VLOOKUP(C33,Postupy!$A$3:$C$66,3,0)</f>
        <v>H1</v>
      </c>
      <c r="B33" s="182"/>
      <c r="C33" s="111">
        <v>8</v>
      </c>
      <c r="D33" s="112" t="str">
        <f ca="1">VLOOKUP(C33,Postupy!$A$3:$B$66,2,0)</f>
        <v>8 1. KPK Vrchlabí - Bílek Vojtěch</v>
      </c>
      <c r="E33" s="157"/>
      <c r="F33" s="209"/>
      <c r="G33" s="184"/>
      <c r="H33" s="201"/>
      <c r="I33" s="234"/>
      <c r="J33" s="184"/>
      <c r="K33" s="184"/>
      <c r="L33" s="210"/>
      <c r="M33" s="234"/>
      <c r="N33" s="184"/>
      <c r="O33" s="184"/>
      <c r="P33" s="211"/>
      <c r="Q33" s="235"/>
      <c r="R33" s="193"/>
      <c r="S33" s="187"/>
      <c r="T33" s="384" t="s">
        <v>447</v>
      </c>
      <c r="U33" s="387" t="str">
        <f ca="1">IF(OR(TRIM(T34)="-",TRIM(T35)="-"),"",VLOOKUP(MIN(S34,S35),Hřiště!$B$11:$E$75,4,0))</f>
        <v/>
      </c>
      <c r="V33" s="184"/>
      <c r="W33" s="184"/>
      <c r="X33" s="17"/>
      <c r="Y33" s="17"/>
      <c r="Z33" s="17"/>
      <c r="AA33" s="17"/>
      <c r="AB33" s="17"/>
      <c r="AC33" s="17"/>
      <c r="AD33" s="17"/>
      <c r="AE33" s="17"/>
      <c r="AF33" s="17"/>
      <c r="AG33" s="17"/>
      <c r="AH33" s="17"/>
      <c r="AI33" s="17"/>
      <c r="AJ33" s="17"/>
    </row>
    <row r="34" spans="1:36" ht="19.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 ca="1">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 ca="1">IF(OR(TRIM(D36)="-",TRIM(D37)="-"),"",VLOOKUP(MIN(C36,C37),Hřiště!$B$11:$E$75,4,0))</f>
        <v/>
      </c>
      <c r="F35" s="23"/>
      <c r="G35" s="184"/>
      <c r="H35" s="204"/>
      <c r="I35" s="234"/>
      <c r="J35" s="184"/>
      <c r="K35" s="184"/>
      <c r="L35" s="217"/>
      <c r="M35" s="234"/>
      <c r="N35" s="184"/>
      <c r="O35" s="184"/>
      <c r="P35" s="217"/>
      <c r="Q35" s="234"/>
      <c r="R35" s="184"/>
      <c r="S35" s="111">
        <v>4</v>
      </c>
      <c r="T35" s="112" t="str">
        <f ca="1">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 ca="1">VLOOKUP(C36,Postupy!$A$3:$C$66,3,0)</f>
        <v>E1</v>
      </c>
      <c r="B36" s="182"/>
      <c r="C36" s="109">
        <v>5</v>
      </c>
      <c r="D36" s="110" t="str">
        <f ca="1">VLOOKUP(C36,Postupy!$A$3:$B$66,2,0)</f>
        <v>5 Carreau Brno - Slobodová Veronika</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 ca="1">VLOOKUP(C37,Postupy!$A$3:$C$66,3,0)</f>
        <v>AA2</v>
      </c>
      <c r="B37" s="182"/>
      <c r="C37" s="111">
        <v>60</v>
      </c>
      <c r="D37" s="112" t="str">
        <f ca="1">VLOOKUP(C37,Postupy!$A$3:$B$66,2,0)</f>
        <v>60 SKP Hranice VI-Valšovice - Svobodová Lenka</v>
      </c>
      <c r="E37" s="157"/>
      <c r="F37" s="213"/>
      <c r="G37" s="187"/>
      <c r="H37" s="384" t="s">
        <v>447</v>
      </c>
      <c r="I37" s="387" t="str">
        <f ca="1">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65</v>
      </c>
      <c r="D38" s="191"/>
      <c r="E38" s="231"/>
      <c r="F38" s="192"/>
      <c r="G38" s="109">
        <v>5</v>
      </c>
      <c r="H38" s="110" t="str">
        <f ca="1">IF(OR(TRIM(D36)="-",TRIM(D37)="-"), IF(TRIM(D36)="-",D37,D36),IF(AND(E36="",E37="")," ",IF(N(E36)=N(E37)," ",IF(N(E36)&gt;N(E37),D36,D37))))</f>
        <v xml:space="preserve">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 ca="1">IF(OR(TRIM(D40)="-",TRIM(D41)="-"),"",VLOOKUP(MIN(C40,C41),Hřiště!$B$11:$E$75,4,0))</f>
        <v/>
      </c>
      <c r="F39" s="192"/>
      <c r="G39" s="111">
        <v>28</v>
      </c>
      <c r="H39" s="112" t="str">
        <f ca="1">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 ca="1">VLOOKUP(C40,Postupy!$A$3:$C$66,3,0)</f>
        <v>AK1</v>
      </c>
      <c r="B40" s="182"/>
      <c r="C40" s="109">
        <v>37</v>
      </c>
      <c r="D40" s="110" t="str">
        <f ca="1">VLOOKUP(C40,Postupy!$A$3:$B$66,2,0)</f>
        <v>50 SKP Kulová osma - Krejčín Leoš</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 ca="1">VLOOKUP(C41,Postupy!$A$3:$C$66,3,0)</f>
        <v>AB1</v>
      </c>
      <c r="B41" s="182"/>
      <c r="C41" s="111">
        <v>28</v>
      </c>
      <c r="D41" s="112" t="str">
        <f ca="1">VLOOKUP(C41,Postupy!$A$3:$B$66,2,0)</f>
        <v>28 SK Pétanque Řepy - Pastorek Jaroslav</v>
      </c>
      <c r="E41" s="157"/>
      <c r="F41" s="185"/>
      <c r="G41" s="184"/>
      <c r="H41" s="201"/>
      <c r="I41" s="235"/>
      <c r="J41" s="193"/>
      <c r="K41" s="187"/>
      <c r="L41" s="384" t="s">
        <v>447</v>
      </c>
      <c r="M41" s="387" t="str">
        <f ca="1">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65</v>
      </c>
      <c r="D42" s="191"/>
      <c r="E42" s="231"/>
      <c r="F42" s="349">
        <f>C38+C42</f>
        <v>130</v>
      </c>
      <c r="G42" s="184"/>
      <c r="H42" s="204"/>
      <c r="I42" s="234"/>
      <c r="J42" s="184"/>
      <c r="K42" s="109">
        <v>5</v>
      </c>
      <c r="L42" s="110" t="str">
        <f ca="1">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 ca="1">IF(OR(TRIM(D44)="-",TRIM(D45)="-"),"",VLOOKUP(MIN(C44,C45),Hřiště!$B$11:$E$75,4,0))</f>
        <v/>
      </c>
      <c r="F43" s="184"/>
      <c r="G43" s="184"/>
      <c r="H43" s="204"/>
      <c r="I43" s="234"/>
      <c r="J43" s="184"/>
      <c r="K43" s="111">
        <v>12</v>
      </c>
      <c r="L43" s="112" t="str">
        <f ca="1">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 ca="1">VLOOKUP(C44,Postupy!$A$3:$C$66,3,0)</f>
        <v>U1</v>
      </c>
      <c r="B44" s="182"/>
      <c r="C44" s="109">
        <v>21</v>
      </c>
      <c r="D44" s="110" t="str">
        <f ca="1">VLOOKUP(C44,Postupy!$A$3:$B$66,2,0)</f>
        <v>66 PK 1293 Vojnův Městec - Fereš Pavel</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 ca="1">VLOOKUP(C45,Postupy!$A$3:$C$66,3,0)</f>
        <v>AQ2</v>
      </c>
      <c r="B45" s="182"/>
      <c r="C45" s="111">
        <v>44</v>
      </c>
      <c r="D45" s="112" t="str">
        <f ca="1">VLOOKUP(C45,Postupy!$A$3:$B$66,2,0)</f>
        <v>44 Petank Club Praha - Vorel Jan</v>
      </c>
      <c r="E45" s="157"/>
      <c r="F45" s="207" t="s">
        <v>119</v>
      </c>
      <c r="G45" s="187"/>
      <c r="H45" s="384" t="s">
        <v>447</v>
      </c>
      <c r="I45" s="387" t="str">
        <f ca="1">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65</v>
      </c>
      <c r="D46" s="191"/>
      <c r="E46" s="231"/>
      <c r="F46" s="192"/>
      <c r="G46" s="109">
        <v>21</v>
      </c>
      <c r="H46" s="110" t="str">
        <f ca="1">IF(OR(TRIM(D44)="-",TRIM(D45)="-"), IF(TRIM(D44)="-",D45,D44),IF(AND(E44="",E45="")," ",IF(N(E44)=N(E45)," ",IF(N(E44)&gt;N(E45),D44,D45))))</f>
        <v xml:space="preserve">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 ca="1">IF(OR(TRIM(D48)="-",TRIM(D49)="-"),"",VLOOKUP(MIN(C48,C49),Hřiště!$B$11:$E$75,4,0))</f>
        <v/>
      </c>
      <c r="F47" s="203"/>
      <c r="G47" s="111">
        <v>12</v>
      </c>
      <c r="H47" s="112" t="str">
        <f ca="1">IF(OR(TRIM(D48)="-",TRIM(D49)="-"), IF(TRIM(D48)="-",D49,D48),IF(AND(E48="",E49="")," ",IF(N(E48)=N(E49)," ",IF(N(E48)&gt;N(E49),D48,D49))))</f>
        <v xml:space="preserve">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 ca="1">VLOOKUP(C48,Postupy!$A$3:$C$66,3,0)</f>
        <v>AH2</v>
      </c>
      <c r="B48" s="182"/>
      <c r="C48" s="109">
        <v>53</v>
      </c>
      <c r="D48" s="110" t="str">
        <f ca="1">VLOOKUP(C48,Postupy!$A$3:$B$66,2,0)</f>
        <v>139 ČPK Poděbrady - Karbulka Jan</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 ca="1">VLOOKUP(C49,Postupy!$A$3:$C$66,3,0)</f>
        <v>L1</v>
      </c>
      <c r="B49" s="182"/>
      <c r="C49" s="111">
        <v>12</v>
      </c>
      <c r="D49" s="112" t="str">
        <f ca="1">VLOOKUP(C49,Postupy!$A$3:$B$66,2,0)</f>
        <v>12 FRAPECO - Řehoř Miroslav</v>
      </c>
      <c r="E49" s="157"/>
      <c r="F49" s="209"/>
      <c r="G49" s="184"/>
      <c r="H49" s="201"/>
      <c r="I49" s="234"/>
      <c r="J49" s="184"/>
      <c r="K49" s="184"/>
      <c r="L49" s="210"/>
      <c r="M49" s="235"/>
      <c r="N49" s="193"/>
      <c r="O49" s="187"/>
      <c r="P49" s="384" t="s">
        <v>447</v>
      </c>
      <c r="Q49" s="387" t="str">
        <f ca="1">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65</v>
      </c>
      <c r="D50" s="191"/>
      <c r="E50" s="231"/>
      <c r="F50" s="349">
        <f>C46+C50</f>
        <v>130</v>
      </c>
      <c r="G50" s="184"/>
      <c r="H50" s="204"/>
      <c r="I50" s="234"/>
      <c r="J50" s="184"/>
      <c r="K50" s="184"/>
      <c r="L50" s="211"/>
      <c r="M50" s="235"/>
      <c r="N50" s="193"/>
      <c r="O50" s="109">
        <v>5</v>
      </c>
      <c r="P50" s="110" t="str">
        <f ca="1">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 ca="1">IF(OR(TRIM(D52)="-",TRIM(D53)="-"),"",VLOOKUP(MIN(C52,C53),Hřiště!$B$11:$E$75,4,0))</f>
        <v/>
      </c>
      <c r="F51" s="184"/>
      <c r="G51" s="184"/>
      <c r="H51" s="204"/>
      <c r="I51" s="234"/>
      <c r="J51" s="184"/>
      <c r="K51" s="184"/>
      <c r="L51" s="211"/>
      <c r="M51" s="235"/>
      <c r="N51" s="193"/>
      <c r="O51" s="111">
        <v>4</v>
      </c>
      <c r="P51" s="112" t="str">
        <f ca="1">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 ca="1">VLOOKUP(C52,Postupy!$A$3:$C$66,3,0)</f>
        <v>M1</v>
      </c>
      <c r="B52" s="182"/>
      <c r="C52" s="109">
        <v>13</v>
      </c>
      <c r="D52" s="110" t="str">
        <f ca="1">VLOOKUP(C52,Postupy!$A$3:$B$66,2,0)</f>
        <v>99 SK Sahara Vědomice - Kocourek Pavel</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 ca="1">VLOOKUP(C53,Postupy!$A$3:$C$66,3,0)</f>
        <v>AI2</v>
      </c>
      <c r="B53" s="182"/>
      <c r="C53" s="111">
        <v>52</v>
      </c>
      <c r="D53" s="112" t="str">
        <f ca="1">VLOOKUP(C53,Postupy!$A$3:$B$66,2,0)</f>
        <v>35 SK Sahara Vědomice - Demčík Milan St.</v>
      </c>
      <c r="E53" s="157"/>
      <c r="F53" s="213"/>
      <c r="G53" s="187"/>
      <c r="H53" s="384" t="s">
        <v>447</v>
      </c>
      <c r="I53" s="387" t="str">
        <f ca="1">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65</v>
      </c>
      <c r="D54" s="191"/>
      <c r="E54" s="231"/>
      <c r="F54" s="192"/>
      <c r="G54" s="109">
        <v>13</v>
      </c>
      <c r="H54" s="110" t="str">
        <f ca="1">IF(OR(TRIM(D52)="-",TRIM(D53)="-"), IF(TRIM(D52)="-",D53,D52),IF(AND(E52="",E53="")," ",IF(N(E52)=N(E53)," ",IF(N(E52)&gt;N(E53),D52,D53))))</f>
        <v xml:space="preserve">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 ca="1">IF(OR(TRIM(D56)="-",TRIM(D57)="-"),"",VLOOKUP(MIN(C56,C57),Hřiště!$B$11:$E$75,4,0))</f>
        <v/>
      </c>
      <c r="F55" s="192"/>
      <c r="G55" s="111">
        <v>20</v>
      </c>
      <c r="H55" s="112" t="str">
        <f ca="1">IF(OR(TRIM(D56)="-",TRIM(D57)="-"), IF(TRIM(D56)="-",D57,D56),IF(AND(E56="",E57="")," ",IF(N(E56)=N(E57)," ",IF(N(E56)&gt;N(E57),D56,D57))))</f>
        <v xml:space="preserve">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 ca="1">VLOOKUP(C56,Postupy!$A$3:$C$66,3,0)</f>
        <v>AP2</v>
      </c>
      <c r="B56" s="182"/>
      <c r="C56" s="109">
        <v>45</v>
      </c>
      <c r="D56" s="110" t="str">
        <f ca="1">VLOOKUP(C56,Postupy!$A$3:$B$66,2,0)</f>
        <v>45 SKP Hranice VI-Valšovice - Tománek Petr</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 ca="1">VLOOKUP(C57,Postupy!$A$3:$C$66,3,0)</f>
        <v>T1</v>
      </c>
      <c r="B57" s="182"/>
      <c r="C57" s="111">
        <v>20</v>
      </c>
      <c r="D57" s="112" t="str">
        <f ca="1">VLOOKUP(C57,Postupy!$A$3:$B$66,2,0)</f>
        <v>20 SKP Hranice VI-Valšovice - Jakeš Zbyněk</v>
      </c>
      <c r="E57" s="157"/>
      <c r="F57" s="185"/>
      <c r="G57" s="184"/>
      <c r="H57" s="201"/>
      <c r="I57" s="234"/>
      <c r="J57" s="193"/>
      <c r="K57" s="187"/>
      <c r="L57" s="384" t="s">
        <v>447</v>
      </c>
      <c r="M57" s="387" t="str">
        <f ca="1">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65</v>
      </c>
      <c r="D58" s="191"/>
      <c r="E58" s="231"/>
      <c r="F58" s="349">
        <f>C54+C58</f>
        <v>130</v>
      </c>
      <c r="G58" s="184"/>
      <c r="H58" s="204"/>
      <c r="I58" s="234"/>
      <c r="J58" s="184"/>
      <c r="K58" s="109">
        <v>13</v>
      </c>
      <c r="L58" s="110" t="str">
        <f ca="1">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 ca="1">IF(OR(TRIM(D60)="-",TRIM(D61)="-"),"",VLOOKUP(MIN(C60,C61),Hřiště!$B$11:$E$75,4,0))</f>
        <v/>
      </c>
      <c r="F59" s="184"/>
      <c r="G59" s="184"/>
      <c r="H59" s="204"/>
      <c r="I59" s="234"/>
      <c r="J59" s="184"/>
      <c r="K59" s="111">
        <v>4</v>
      </c>
      <c r="L59" s="112" t="str">
        <f ca="1">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 ca="1">VLOOKUP(C60,Postupy!$A$3:$C$66,3,0)</f>
        <v>AC1</v>
      </c>
      <c r="B60" s="182"/>
      <c r="C60" s="109">
        <v>29</v>
      </c>
      <c r="D60" s="110" t="str">
        <f ca="1">VLOOKUP(C60,Postupy!$A$3:$B$66,2,0)</f>
        <v>58 PC Sokol Lipník - Fafek Petr</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 ca="1">VLOOKUP(C61,Postupy!$A$3:$C$66,3,0)</f>
        <v>AJ1</v>
      </c>
      <c r="B61" s="182"/>
      <c r="C61" s="111">
        <v>36</v>
      </c>
      <c r="D61" s="112" t="str">
        <f ca="1">VLOOKUP(C61,Postupy!$A$3:$B$66,2,0)</f>
        <v>51 Orel Řečkovice - Hanák David</v>
      </c>
      <c r="E61" s="157"/>
      <c r="F61" s="207" t="s">
        <v>119</v>
      </c>
      <c r="G61" s="187"/>
      <c r="H61" s="384" t="s">
        <v>447</v>
      </c>
      <c r="I61" s="387" t="str">
        <f ca="1">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65</v>
      </c>
      <c r="D62" s="191"/>
      <c r="E62" s="231"/>
      <c r="F62" s="23"/>
      <c r="G62" s="109">
        <v>29</v>
      </c>
      <c r="H62" s="110" t="str">
        <f ca="1">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 ca="1">IF(OR(TRIM(D64)="-",TRIM(D65)="-"),"",VLOOKUP(MIN(C64,C65),Hřiště!$B$11:$E$75,4,0))</f>
        <v/>
      </c>
      <c r="F63" s="203"/>
      <c r="G63" s="111">
        <v>4</v>
      </c>
      <c r="H63" s="112" t="str">
        <f ca="1">IF(OR(TRIM(D64)="-",TRIM(D65)="-"), IF(TRIM(D64)="-",D65,D64),IF(AND(E64="",E65="")," ",IF(N(E64)=N(E65)," ",IF(N(E64)&gt;N(E65),D64,D65))))</f>
        <v xml:space="preserve">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20.25" thickTop="1" thickBot="1">
      <c r="A64" s="117" t="str">
        <f ca="1">VLOOKUP(C64,Postupy!$A$3:$C$66,3,0)</f>
        <v>Z2</v>
      </c>
      <c r="B64" s="182"/>
      <c r="C64" s="109">
        <v>61</v>
      </c>
      <c r="D64" s="110" t="str">
        <f ca="1">VLOOKUP(C64,Postupy!$A$3:$B$66,2,0)</f>
        <v>26 SK Pétanque Řepy - Holoubek Pavel</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20.25" thickTop="1" thickBot="1">
      <c r="A65" s="117" t="str">
        <f ca="1">VLOOKUP(C65,Postupy!$A$3:$C$66,3,0)</f>
        <v>D1</v>
      </c>
      <c r="B65" s="182"/>
      <c r="C65" s="111">
        <v>4</v>
      </c>
      <c r="D65" s="112" t="str">
        <f ca="1">VLOOKUP(C65,Postupy!$A$3:$B$66,2,0)</f>
        <v>4 PC Kolová - Kauca Jindřich</v>
      </c>
      <c r="E65" s="157"/>
      <c r="F65" s="209"/>
      <c r="G65" s="184"/>
      <c r="H65" s="193"/>
      <c r="I65" s="234"/>
      <c r="J65" s="184"/>
      <c r="K65" s="184"/>
      <c r="L65" s="221"/>
      <c r="M65" s="234"/>
      <c r="N65" s="184"/>
      <c r="O65" s="184"/>
      <c r="P65" s="184"/>
      <c r="Q65" s="234"/>
      <c r="R65" s="184"/>
      <c r="S65" s="184"/>
      <c r="T65" s="184"/>
      <c r="U65" s="184"/>
      <c r="V65" s="193"/>
      <c r="W65" s="187"/>
      <c r="X65" s="384" t="s">
        <v>447</v>
      </c>
      <c r="Y65" s="387" t="str">
        <f ca="1">IF(OR(TRIM(X66)="-",TRIM(X67)="-"),"",VLOOKUP(MIN(W66,W67),Hřiště!$B$11:$E$75,4,0))</f>
        <v/>
      </c>
      <c r="Z65" s="17"/>
      <c r="AA65" s="17"/>
      <c r="AB65" s="17"/>
      <c r="AC65" s="17"/>
      <c r="AD65" s="17"/>
      <c r="AE65" s="17"/>
      <c r="AF65" s="17"/>
      <c r="AG65" s="17"/>
      <c r="AH65" s="17"/>
      <c r="AI65" s="17"/>
      <c r="AJ65" s="17"/>
    </row>
    <row r="66" spans="1:36" ht="19.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 ca="1">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20.25" thickTop="1" thickBot="1">
      <c r="A67" s="108"/>
      <c r="B67" s="22"/>
      <c r="C67" s="223"/>
      <c r="D67" s="384" t="s">
        <v>447</v>
      </c>
      <c r="E67" s="387" t="str">
        <f ca="1">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 ca="1">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9.5" thickTop="1" thickBot="1">
      <c r="A68" s="117" t="str">
        <f ca="1">VLOOKUP(C68,Postupy!$A$3:$C$66,3,0)</f>
        <v>C1</v>
      </c>
      <c r="B68" s="182"/>
      <c r="C68" s="109">
        <v>3</v>
      </c>
      <c r="D68" s="110" t="str">
        <f ca="1">VLOOKUP(C68,Postupy!$A$3:$B$66,2,0)</f>
        <v>3 Carreau Brno - Michálek Tomáš</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20.25" thickTop="1" thickBot="1">
      <c r="A69" s="117" t="str">
        <f ca="1">VLOOKUP(C69,Postupy!$A$3:$C$66,3,0)</f>
        <v>Y2</v>
      </c>
      <c r="B69" s="182"/>
      <c r="C69" s="111">
        <v>62</v>
      </c>
      <c r="D69" s="112" t="str">
        <f ca="1">VLOOKUP(C69,Postupy!$A$3:$B$66,2,0)</f>
        <v>25 Club Rodamiento - Dlouhá Ivana</v>
      </c>
      <c r="E69" s="157"/>
      <c r="F69" s="186"/>
      <c r="G69" s="187"/>
      <c r="H69" s="384" t="s">
        <v>447</v>
      </c>
      <c r="I69" s="387" t="str">
        <f ca="1">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75" thickBot="1">
      <c r="A70" s="108"/>
      <c r="B70" s="190"/>
      <c r="C70" s="190">
        <f>C68+C69</f>
        <v>65</v>
      </c>
      <c r="D70" s="191"/>
      <c r="E70" s="231"/>
      <c r="F70" s="192"/>
      <c r="G70" s="109">
        <v>3</v>
      </c>
      <c r="H70" s="110" t="str">
        <f ca="1">IF(OR(TRIM(D68)="-",TRIM(D69)="-"), IF(TRIM(D68)="-",D69,D68),IF(AND(E68="",E69="")," ",IF(N(E68)=N(E69)," ",IF(N(E68)&gt;N(E69),D68,D69))))</f>
        <v xml:space="preserve">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20.25" thickTop="1" thickBot="1">
      <c r="A71" s="105"/>
      <c r="B71" s="194"/>
      <c r="C71" s="195"/>
      <c r="D71" s="384" t="s">
        <v>447</v>
      </c>
      <c r="E71" s="387" t="str">
        <f ca="1">IF(OR(TRIM(D72)="-",TRIM(D73)="-"),"",VLOOKUP(MIN(C72,C73),Hřiště!$B$11:$E$75,4,0))</f>
        <v/>
      </c>
      <c r="F71" s="192"/>
      <c r="G71" s="111">
        <v>30</v>
      </c>
      <c r="H71" s="112" t="str">
        <f ca="1">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75" thickBot="1">
      <c r="A72" s="117" t="str">
        <f ca="1">VLOOKUP(C72,Postupy!$A$3:$C$66,3,0)</f>
        <v>AI1</v>
      </c>
      <c r="B72" s="182"/>
      <c r="C72" s="109">
        <v>35</v>
      </c>
      <c r="D72" s="110" t="str">
        <f ca="1">VLOOKUP(C72,Postupy!$A$3:$B$66,2,0)</f>
        <v>121 PCP Lipník - Kmoch Miroslav</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20.25" thickTop="1" thickBot="1">
      <c r="A73" s="117" t="str">
        <f ca="1">VLOOKUP(C73,Postupy!$A$3:$C$66,3,0)</f>
        <v>AD1</v>
      </c>
      <c r="B73" s="182"/>
      <c r="C73" s="111">
        <v>30</v>
      </c>
      <c r="D73" s="112" t="str">
        <f ca="1">VLOOKUP(C73,Postupy!$A$3:$B$66,2,0)</f>
        <v>30 POP Praha - Resl Jan</v>
      </c>
      <c r="E73" s="157"/>
      <c r="F73" s="185"/>
      <c r="G73" s="184"/>
      <c r="H73" s="201"/>
      <c r="I73" s="235"/>
      <c r="J73" s="193"/>
      <c r="K73" s="187"/>
      <c r="L73" s="384" t="s">
        <v>447</v>
      </c>
      <c r="M73" s="387" t="str">
        <f ca="1">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75" thickBot="1">
      <c r="A74" s="108"/>
      <c r="B74" s="190"/>
      <c r="C74" s="190">
        <f>C72+C73</f>
        <v>65</v>
      </c>
      <c r="D74" s="191"/>
      <c r="E74" s="231"/>
      <c r="F74" s="349">
        <f>C70+C74</f>
        <v>130</v>
      </c>
      <c r="G74" s="184"/>
      <c r="H74" s="204"/>
      <c r="I74" s="234"/>
      <c r="J74" s="184"/>
      <c r="K74" s="109">
        <v>3</v>
      </c>
      <c r="L74" s="110" t="str">
        <f ca="1">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20.25" thickTop="1" thickBot="1">
      <c r="A75" s="105"/>
      <c r="B75" s="194"/>
      <c r="C75" s="195"/>
      <c r="D75" s="384" t="s">
        <v>447</v>
      </c>
      <c r="E75" s="387" t="str">
        <f ca="1">IF(OR(TRIM(D76)="-",TRIM(D77)="-"),"",VLOOKUP(MIN(C76,C77),Hřiště!$B$11:$E$75,4,0))</f>
        <v/>
      </c>
      <c r="F75" s="184"/>
      <c r="G75" s="184"/>
      <c r="H75" s="204"/>
      <c r="I75" s="234"/>
      <c r="J75" s="184"/>
      <c r="K75" s="111">
        <v>14</v>
      </c>
      <c r="L75" s="112" t="str">
        <f ca="1">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9.5" thickTop="1" thickBot="1">
      <c r="A76" s="117" t="str">
        <f ca="1">VLOOKUP(C76,Postupy!$A$3:$C$66,3,0)</f>
        <v>AO2</v>
      </c>
      <c r="B76" s="182"/>
      <c r="C76" s="109">
        <v>46</v>
      </c>
      <c r="D76" s="110" t="str">
        <f ca="1">VLOOKUP(C76,Postupy!$A$3:$B$66,2,0)</f>
        <v>127 JAPKO - Fukal Milan</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20.25" thickTop="1" thickBot="1">
      <c r="A77" s="117" t="str">
        <f ca="1">VLOOKUP(C77,Postupy!$A$3:$C$66,3,0)</f>
        <v>S1</v>
      </c>
      <c r="B77" s="182"/>
      <c r="C77" s="111">
        <v>19</v>
      </c>
      <c r="D77" s="112" t="str">
        <f ca="1">VLOOKUP(C77,Postupy!$A$3:$B$66,2,0)</f>
        <v>19 1. KPK Vrchlabí - Srnský Lubomír</v>
      </c>
      <c r="E77" s="157"/>
      <c r="F77" s="207" t="s">
        <v>119</v>
      </c>
      <c r="G77" s="187"/>
      <c r="H77" s="384" t="s">
        <v>447</v>
      </c>
      <c r="I77" s="387" t="str">
        <f ca="1">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75" thickBot="1">
      <c r="A78" s="108"/>
      <c r="B78" s="190"/>
      <c r="C78" s="190">
        <f>C76+C77</f>
        <v>65</v>
      </c>
      <c r="D78" s="191"/>
      <c r="E78" s="231"/>
      <c r="F78" s="192"/>
      <c r="G78" s="109">
        <v>19</v>
      </c>
      <c r="H78" s="110" t="str">
        <f ca="1">IF(OR(TRIM(D76)="-",TRIM(D77)="-"), IF(TRIM(D76)="-",D77,D76),IF(AND(E76="",E77="")," ",IF(N(E76)=N(E77)," ",IF(N(E76)&gt;N(E77),D76,D77))))</f>
        <v xml:space="preserve">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20.25" thickTop="1" thickBot="1">
      <c r="A79" s="105"/>
      <c r="B79" s="194"/>
      <c r="C79" s="195"/>
      <c r="D79" s="384" t="s">
        <v>447</v>
      </c>
      <c r="E79" s="387" t="str">
        <f ca="1">IF(OR(TRIM(D80)="-",TRIM(D81)="-"),"",VLOOKUP(MIN(C80,C81),Hřiště!$B$11:$E$75,4,0))</f>
        <v/>
      </c>
      <c r="F79" s="203"/>
      <c r="G79" s="111">
        <v>14</v>
      </c>
      <c r="H79" s="112" t="str">
        <f ca="1">IF(OR(TRIM(D80)="-",TRIM(D81)="-"), IF(TRIM(D80)="-",D81,D80),IF(AND(E80="",E81="")," ",IF(N(E80)=N(E81)," ",IF(N(E80)&gt;N(E81),D80,D81))))</f>
        <v xml:space="preserve">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9.5" thickTop="1" thickBot="1">
      <c r="A80" s="117" t="str">
        <f ca="1">VLOOKUP(C80,Postupy!$A$3:$C$66,3,0)</f>
        <v>AJ2</v>
      </c>
      <c r="B80" s="182"/>
      <c r="C80" s="109">
        <v>51</v>
      </c>
      <c r="D80" s="110" t="str">
        <f ca="1">VLOOKUP(C80,Postupy!$A$3:$B$66,2,0)</f>
        <v>36 HRODE KRUMSÍN - Pírek Martin</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20.25" thickTop="1" thickBot="1">
      <c r="A81" s="117" t="str">
        <f ca="1">VLOOKUP(C81,Postupy!$A$3:$C$66,3,0)</f>
        <v>N1</v>
      </c>
      <c r="B81" s="182"/>
      <c r="C81" s="111">
        <v>14</v>
      </c>
      <c r="D81" s="112" t="str">
        <f ca="1">VLOOKUP(C81,Postupy!$A$3:$B$66,2,0)</f>
        <v>14 FRAPECO - Ondryáš Jiří</v>
      </c>
      <c r="E81" s="157"/>
      <c r="F81" s="209"/>
      <c r="G81" s="184"/>
      <c r="H81" s="201"/>
      <c r="I81" s="234"/>
      <c r="J81" s="184"/>
      <c r="K81" s="184"/>
      <c r="L81" s="210"/>
      <c r="M81" s="235"/>
      <c r="N81" s="193"/>
      <c r="O81" s="187"/>
      <c r="P81" s="384" t="s">
        <v>447</v>
      </c>
      <c r="Q81" s="387" t="str">
        <f ca="1">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75" thickBot="1">
      <c r="A82" s="108"/>
      <c r="B82" s="190"/>
      <c r="C82" s="190">
        <f>C80+C81</f>
        <v>65</v>
      </c>
      <c r="D82" s="191"/>
      <c r="E82" s="231"/>
      <c r="F82" s="349">
        <f>C78+C82</f>
        <v>130</v>
      </c>
      <c r="G82" s="184"/>
      <c r="H82" s="204"/>
      <c r="I82" s="234"/>
      <c r="J82" s="184"/>
      <c r="K82" s="184"/>
      <c r="L82" s="211"/>
      <c r="M82" s="235"/>
      <c r="N82" s="193"/>
      <c r="O82" s="109">
        <v>3</v>
      </c>
      <c r="P82" s="110" t="str">
        <f ca="1">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20.25" thickTop="1" thickBot="1">
      <c r="A83" s="105"/>
      <c r="B83" s="194"/>
      <c r="C83" s="195"/>
      <c r="D83" s="384" t="s">
        <v>447</v>
      </c>
      <c r="E83" s="387" t="str">
        <f ca="1">IF(OR(TRIM(D84)="-",TRIM(D85)="-"),"",VLOOKUP(MIN(C84,C85),Hřiště!$B$11:$E$75,4,0))</f>
        <v/>
      </c>
      <c r="F83" s="184"/>
      <c r="G83" s="184"/>
      <c r="H83" s="204"/>
      <c r="I83" s="234"/>
      <c r="J83" s="184"/>
      <c r="K83" s="184"/>
      <c r="L83" s="211"/>
      <c r="M83" s="235"/>
      <c r="N83" s="192"/>
      <c r="O83" s="111">
        <v>6</v>
      </c>
      <c r="P83" s="112" t="str">
        <f ca="1">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9.5" thickTop="1" thickBot="1">
      <c r="A84" s="117" t="str">
        <f ca="1">VLOOKUP(C84,Postupy!$A$3:$C$66,3,0)</f>
        <v>K1</v>
      </c>
      <c r="B84" s="182"/>
      <c r="C84" s="109">
        <v>11</v>
      </c>
      <c r="D84" s="110" t="str">
        <f ca="1">VLOOKUP(C84,Postupy!$A$3:$B$66,2,0)</f>
        <v>76 PC Kolová - Horáček Jindřich</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20.25" thickTop="1" thickBot="1">
      <c r="A85" s="117" t="str">
        <f ca="1">VLOOKUP(C85,Postupy!$A$3:$C$66,3,0)</f>
        <v>AG2</v>
      </c>
      <c r="B85" s="182"/>
      <c r="C85" s="111">
        <v>54</v>
      </c>
      <c r="D85" s="112" t="str">
        <f ca="1">VLOOKUP(C85,Postupy!$A$3:$B$66,2,0)</f>
        <v>54 SK Sahara Vědomice - Horáčková Simona</v>
      </c>
      <c r="E85" s="157"/>
      <c r="F85" s="213"/>
      <c r="G85" s="187"/>
      <c r="H85" s="384" t="s">
        <v>447</v>
      </c>
      <c r="I85" s="387" t="str">
        <f ca="1">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9.5" thickTop="1" thickBot="1">
      <c r="A86" s="108"/>
      <c r="B86" s="190"/>
      <c r="C86" s="190">
        <f>C84+C85</f>
        <v>65</v>
      </c>
      <c r="D86" s="191"/>
      <c r="E86" s="231"/>
      <c r="F86" s="192"/>
      <c r="G86" s="109">
        <v>11</v>
      </c>
      <c r="H86" s="110" t="str">
        <f ca="1">IF(OR(TRIM(D84)="-",TRIM(D85)="-"), IF(TRIM(D84)="-",D85,D84),IF(AND(E84="",E85="")," ",IF(N(E84)=N(E85)," ",IF(N(E84)&gt;N(E85),D84,D85))))</f>
        <v xml:space="preserve">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20.25" thickTop="1" thickBot="1">
      <c r="A87" s="105"/>
      <c r="B87" s="194"/>
      <c r="C87" s="195"/>
      <c r="D87" s="384" t="s">
        <v>447</v>
      </c>
      <c r="E87" s="387" t="str">
        <f ca="1">IF(OR(TRIM(D88)="-",TRIM(D89)="-"),"",VLOOKUP(MIN(C88,C89),Hřiště!$B$11:$E$75,4,0))</f>
        <v/>
      </c>
      <c r="F87" s="192"/>
      <c r="G87" s="111">
        <v>22</v>
      </c>
      <c r="H87" s="112" t="str">
        <f ca="1">IF(OR(TRIM(D88)="-",TRIM(D89)="-"), IF(TRIM(D88)="-",D89,D88),IF(AND(E88="",E89="")," ",IF(N(E88)=N(E89)," ",IF(N(E88)&gt;N(E89),D88,D89))))</f>
        <v xml:space="preserve">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9.5" thickTop="1" thickBot="1">
      <c r="A88" s="117" t="str">
        <f ca="1">VLOOKUP(C88,Postupy!$A$3:$C$66,3,0)</f>
        <v>AQ1</v>
      </c>
      <c r="B88" s="182"/>
      <c r="C88" s="109">
        <v>43</v>
      </c>
      <c r="D88" s="110" t="str">
        <f ca="1">VLOOKUP(C88,Postupy!$A$3:$B$66,2,0)</f>
        <v>43 SK Sahara Vědomice - Přibyl Miloš</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20.25" thickTop="1" thickBot="1">
      <c r="A89" s="117" t="str">
        <f ca="1">VLOOKUP(C89,Postupy!$A$3:$C$66,3,0)</f>
        <v>V1</v>
      </c>
      <c r="B89" s="182"/>
      <c r="C89" s="111">
        <v>22</v>
      </c>
      <c r="D89" s="112" t="str">
        <f ca="1">VLOOKUP(C89,Postupy!$A$3:$B$66,2,0)</f>
        <v>65 Sokol Kostomlaty - Vaníčková Alena</v>
      </c>
      <c r="E89" s="157"/>
      <c r="F89" s="185"/>
      <c r="G89" s="184"/>
      <c r="H89" s="201"/>
      <c r="I89" s="235"/>
      <c r="J89" s="193"/>
      <c r="K89" s="187"/>
      <c r="L89" s="384" t="s">
        <v>447</v>
      </c>
      <c r="M89" s="387" t="str">
        <f ca="1">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9.5" thickTop="1" thickBot="1">
      <c r="A90" s="108"/>
      <c r="B90" s="190"/>
      <c r="C90" s="190">
        <f>C88+C89</f>
        <v>65</v>
      </c>
      <c r="D90" s="191"/>
      <c r="E90" s="231"/>
      <c r="F90" s="349">
        <f>C86+C90</f>
        <v>130</v>
      </c>
      <c r="G90" s="184"/>
      <c r="H90" s="204"/>
      <c r="I90" s="234"/>
      <c r="J90" s="184"/>
      <c r="K90" s="109">
        <v>11</v>
      </c>
      <c r="L90" s="110" t="str">
        <f ca="1">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20.25" thickTop="1" thickBot="1">
      <c r="A91" s="105"/>
      <c r="B91" s="194"/>
      <c r="C91" s="195"/>
      <c r="D91" s="384" t="s">
        <v>447</v>
      </c>
      <c r="E91" s="387" t="str">
        <f ca="1">IF(OR(TRIM(D92)="-",TRIM(D93)="-"),"",VLOOKUP(MIN(C92,C93),Hřiště!$B$11:$E$75,4,0))</f>
        <v/>
      </c>
      <c r="F91" s="184"/>
      <c r="G91" s="184"/>
      <c r="H91" s="204"/>
      <c r="I91" s="234"/>
      <c r="J91" s="184"/>
      <c r="K91" s="111">
        <v>6</v>
      </c>
      <c r="L91" s="112" t="str">
        <f ca="1">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9.5" thickTop="1" thickBot="1">
      <c r="A92" s="117" t="str">
        <f ca="1">VLOOKUP(C92,Postupy!$A$3:$C$66,3,0)</f>
        <v>AA1</v>
      </c>
      <c r="B92" s="182"/>
      <c r="C92" s="109">
        <v>27</v>
      </c>
      <c r="D92" s="110" t="str">
        <f ca="1">VLOOKUP(C92,Postupy!$A$3:$B$66,2,0)</f>
        <v>27 Sokol Kostomlaty - Vlach Jaromír</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20.25" thickTop="1" thickBot="1">
      <c r="A93" s="117" t="str">
        <f ca="1">VLOOKUP(C93,Postupy!$A$3:$C$66,3,0)</f>
        <v>AL1</v>
      </c>
      <c r="B93" s="182"/>
      <c r="C93" s="111">
        <v>38</v>
      </c>
      <c r="D93" s="112" t="str">
        <f ca="1">VLOOKUP(C93,Postupy!$A$3:$B$66,2,0)</f>
        <v>38 FENYX Adamov - Král Pavel</v>
      </c>
      <c r="E93" s="157"/>
      <c r="F93" s="207" t="s">
        <v>119</v>
      </c>
      <c r="G93" s="187"/>
      <c r="H93" s="384" t="s">
        <v>447</v>
      </c>
      <c r="I93" s="387" t="str">
        <f ca="1">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9.5" thickTop="1" thickBot="1">
      <c r="A94" s="108"/>
      <c r="B94" s="190"/>
      <c r="C94" s="190">
        <f>C92+C93</f>
        <v>65</v>
      </c>
      <c r="D94" s="191"/>
      <c r="E94" s="231"/>
      <c r="F94" s="23"/>
      <c r="G94" s="109">
        <v>27</v>
      </c>
      <c r="H94" s="110" t="str">
        <f ca="1">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20.25" thickTop="1" thickBot="1">
      <c r="A95" s="105"/>
      <c r="B95" s="194"/>
      <c r="C95" s="195"/>
      <c r="D95" s="384" t="s">
        <v>447</v>
      </c>
      <c r="E95" s="387" t="str">
        <f ca="1">IF(OR(TRIM(D96)="-",TRIM(D97)="-"),"",VLOOKUP(MIN(C96,C97),Hřiště!$B$11:$E$75,4,0))</f>
        <v/>
      </c>
      <c r="F95" s="203"/>
      <c r="G95" s="111">
        <v>6</v>
      </c>
      <c r="H95" s="112" t="str">
        <f ca="1">IF(OR(TRIM(D96)="-",TRIM(D97)="-"), IF(TRIM(D96)="-",D97,D96),IF(AND(E96="",E97="")," ",IF(N(E96)=N(E97)," ",IF(N(E96)&gt;N(E97),D96,D97))))</f>
        <v xml:space="preserve">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9.5" thickTop="1" thickBot="1">
      <c r="A96" s="117" t="str">
        <f ca="1">VLOOKUP(C96,Postupy!$A$3:$C$66,3,0)</f>
        <v>AB2</v>
      </c>
      <c r="B96" s="182"/>
      <c r="C96" s="109">
        <v>59</v>
      </c>
      <c r="D96" s="110" t="str">
        <f ca="1">VLOOKUP(C96,Postupy!$A$3:$B$66,2,0)</f>
        <v>114 PCP Lipník - Reinbergrová Václava</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20.25" thickTop="1" thickBot="1">
      <c r="A97" s="117" t="str">
        <f ca="1">VLOOKUP(C97,Postupy!$A$3:$C$66,3,0)</f>
        <v>F1</v>
      </c>
      <c r="B97" s="182"/>
      <c r="C97" s="111">
        <v>6</v>
      </c>
      <c r="D97" s="112" t="str">
        <f ca="1">VLOOKUP(C97,Postupy!$A$3:$B$66,2,0)</f>
        <v>6 PC Sokol Lipník - Froňková Kateřina</v>
      </c>
      <c r="E97" s="157"/>
      <c r="F97" s="209"/>
      <c r="G97" s="184"/>
      <c r="H97" s="201"/>
      <c r="I97" s="234"/>
      <c r="J97" s="184"/>
      <c r="K97" s="184"/>
      <c r="L97" s="210"/>
      <c r="M97" s="234"/>
      <c r="N97" s="184"/>
      <c r="O97" s="184"/>
      <c r="P97" s="211"/>
      <c r="Q97" s="235"/>
      <c r="R97" s="193"/>
      <c r="S97" s="187"/>
      <c r="T97" s="384" t="s">
        <v>447</v>
      </c>
      <c r="U97" s="387" t="str">
        <f ca="1">IF(OR(TRIM(T98)="-",TRIM(T99)="-"),"",VLOOKUP(MIN(S98,S99),Hřiště!$B$11:$E$75,4,0))</f>
        <v/>
      </c>
      <c r="V97" s="184"/>
      <c r="W97" s="196"/>
      <c r="X97" s="17"/>
      <c r="Y97" s="17"/>
      <c r="Z97" s="17"/>
      <c r="AA97" s="17"/>
      <c r="AB97" s="17"/>
      <c r="AC97" s="17"/>
      <c r="AD97" s="17"/>
      <c r="AE97" s="17"/>
      <c r="AF97" s="17"/>
      <c r="AG97" s="17"/>
      <c r="AH97" s="17"/>
      <c r="AI97" s="17"/>
      <c r="AJ97" s="17"/>
    </row>
    <row r="98" spans="1:36" ht="19.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 ca="1">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20.25" thickTop="1" thickBot="1">
      <c r="A99" s="105"/>
      <c r="B99" s="194"/>
      <c r="C99" s="195"/>
      <c r="D99" s="384" t="s">
        <v>447</v>
      </c>
      <c r="E99" s="387" t="str">
        <f ca="1">IF(OR(TRIM(D100)="-",TRIM(D101)="-"),"",VLOOKUP(MIN(C100,C101),Hřiště!$B$11:$E$75,4,0))</f>
        <v/>
      </c>
      <c r="F99" s="23"/>
      <c r="G99" s="184"/>
      <c r="H99" s="204"/>
      <c r="I99" s="234"/>
      <c r="J99" s="184"/>
      <c r="K99" s="184"/>
      <c r="L99" s="217"/>
      <c r="M99" s="234"/>
      <c r="N99" s="184"/>
      <c r="O99" s="184"/>
      <c r="P99" s="217"/>
      <c r="Q99" s="234"/>
      <c r="R99" s="184"/>
      <c r="S99" s="111">
        <v>2</v>
      </c>
      <c r="T99" s="112" t="str">
        <f ca="1">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9.5" thickTop="1" thickBot="1">
      <c r="A100" s="117" t="str">
        <f ca="1">VLOOKUP(C100,Postupy!$A$3:$C$66,3,0)</f>
        <v>G1</v>
      </c>
      <c r="B100" s="182"/>
      <c r="C100" s="109">
        <v>7</v>
      </c>
      <c r="D100" s="110" t="str">
        <f ca="1">VLOOKUP(C100,Postupy!$A$3:$B$66,2,0)</f>
        <v>7 PLUK Jablonec - Lukáš Vojtěch</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20.25" thickTop="1" thickBot="1">
      <c r="A101" s="117" t="str">
        <f ca="1">VLOOKUP(C101,Postupy!$A$3:$C$66,3,0)</f>
        <v>AC2</v>
      </c>
      <c r="B101" s="182"/>
      <c r="C101" s="111">
        <v>58</v>
      </c>
      <c r="D101" s="112" t="str">
        <f ca="1">VLOOKUP(C101,Postupy!$A$3:$B$66,2,0)</f>
        <v>29 PC Sokol Lipník - Froňková Blanka</v>
      </c>
      <c r="E101" s="157"/>
      <c r="F101" s="213"/>
      <c r="G101" s="187"/>
      <c r="H101" s="384" t="s">
        <v>447</v>
      </c>
      <c r="I101" s="387" t="str">
        <f ca="1">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75" thickBot="1">
      <c r="A102" s="108"/>
      <c r="B102" s="190"/>
      <c r="C102" s="190">
        <f>C100+C101</f>
        <v>65</v>
      </c>
      <c r="D102" s="191"/>
      <c r="E102" s="231"/>
      <c r="F102" s="192"/>
      <c r="G102" s="109">
        <v>7</v>
      </c>
      <c r="H102" s="110" t="str">
        <f ca="1">IF(OR(TRIM(D100)="-",TRIM(D101)="-"), IF(TRIM(D100)="-",D101,D100),IF(AND(E100="",E101="")," ",IF(N(E100)=N(E101)," ",IF(N(E100)&gt;N(E101),D100,D101))))</f>
        <v xml:space="preserve">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20.25" thickTop="1" thickBot="1">
      <c r="A103" s="105"/>
      <c r="B103" s="194"/>
      <c r="C103" s="195"/>
      <c r="D103" s="384" t="s">
        <v>447</v>
      </c>
      <c r="E103" s="387" t="str">
        <f ca="1">IF(OR(TRIM(D104)="-",TRIM(D105)="-"),"",VLOOKUP(MIN(C104,C105),Hřiště!$B$11:$E$75,4,0))</f>
        <v/>
      </c>
      <c r="F103" s="192"/>
      <c r="G103" s="111">
        <v>26</v>
      </c>
      <c r="H103" s="112" t="str">
        <f ca="1">IF(OR(TRIM(D104)="-",TRIM(D105)="-"), IF(TRIM(D104)="-",D105,D104),IF(AND(E104="",E105="")," ",IF(N(E104)=N(E105)," ",IF(N(E104)&gt;N(E105),D104,D105))))</f>
        <v xml:space="preserve">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9.5" thickTop="1" thickBot="1">
      <c r="A104" s="117" t="str">
        <f ca="1">VLOOKUP(C104,Postupy!$A$3:$C$66,3,0)</f>
        <v>AM1</v>
      </c>
      <c r="B104" s="182"/>
      <c r="C104" s="109">
        <v>39</v>
      </c>
      <c r="D104" s="110" t="str">
        <f ca="1">VLOOKUP(C104,Postupy!$A$3:$B$66,2,0)</f>
        <v>48 UBU Únětice - Palas Pavel</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20.25" thickTop="1" thickBot="1">
      <c r="A105" s="117" t="str">
        <f ca="1">VLOOKUP(C105,Postupy!$A$3:$C$66,3,0)</f>
        <v>Z1</v>
      </c>
      <c r="B105" s="182"/>
      <c r="C105" s="111">
        <v>26</v>
      </c>
      <c r="D105" s="112" t="str">
        <f ca="1">VLOOKUP(C105,Postupy!$A$3:$B$66,2,0)</f>
        <v>112 SK Sahara Vědomice - Gröschl Zdeněk</v>
      </c>
      <c r="E105" s="157"/>
      <c r="F105" s="185"/>
      <c r="G105" s="184"/>
      <c r="H105" s="201"/>
      <c r="I105" s="235"/>
      <c r="J105" s="193"/>
      <c r="K105" s="187"/>
      <c r="L105" s="384" t="s">
        <v>447</v>
      </c>
      <c r="M105" s="387" t="str">
        <f ca="1">IF(OR(TRIM(L106)="-",TRIM(L107)="-"),"",VLOOKUP(MIN(K106,K107),Hřiště!$B$11:$E$75,4,0))</f>
        <v/>
      </c>
      <c r="N105" s="203"/>
      <c r="O105" s="184"/>
      <c r="P105" s="211"/>
      <c r="Q105" s="235"/>
      <c r="R105" s="193"/>
      <c r="S105" s="196"/>
      <c r="T105" s="184"/>
      <c r="U105" s="50"/>
      <c r="V105" s="184"/>
      <c r="W105" s="184"/>
      <c r="X105" s="384" t="s">
        <v>447</v>
      </c>
      <c r="Y105" s="387" t="str">
        <f ca="1">IF(OR(TRIM(X106)="-",TRIM(X107)="-"),"",VLOOKUP(MIN(W106,W107),Hřiště!$B$11:$E$75,4,0))</f>
        <v/>
      </c>
      <c r="Z105" s="184"/>
      <c r="AA105" s="184"/>
      <c r="AB105" s="17"/>
      <c r="AC105" s="17"/>
      <c r="AD105" s="17"/>
      <c r="AE105" s="17"/>
      <c r="AF105" s="17"/>
      <c r="AG105" s="17"/>
      <c r="AH105" s="17"/>
      <c r="AI105" s="17"/>
      <c r="AJ105" s="17"/>
    </row>
    <row r="106" spans="1:36" ht="19.5" thickTop="1" thickBot="1">
      <c r="A106" s="108"/>
      <c r="B106" s="190"/>
      <c r="C106" s="190">
        <f>C104+C105</f>
        <v>65</v>
      </c>
      <c r="D106" s="191"/>
      <c r="E106" s="231"/>
      <c r="F106" s="349">
        <f>C102+C106</f>
        <v>130</v>
      </c>
      <c r="G106" s="184"/>
      <c r="H106" s="204"/>
      <c r="I106" s="234"/>
      <c r="J106" s="184"/>
      <c r="K106" s="109">
        <v>7</v>
      </c>
      <c r="L106" s="110" t="str">
        <f ca="1">IF(OR(TRIM(H102)="-",TRIM(H103)="-"), IF(TRIM(H102)="-",H103,H102),IF(AND(I102="",I103="")," ",IF(N(I102)=N(I103)," ",IF(N(I102)&gt;N(I103),H102,H103))))</f>
        <v xml:space="preserve"> </v>
      </c>
      <c r="M106" s="156"/>
      <c r="N106" s="183"/>
      <c r="O106" s="50"/>
      <c r="P106" s="211"/>
      <c r="Q106" s="235"/>
      <c r="R106" s="193"/>
      <c r="S106" s="196"/>
      <c r="T106" s="50"/>
      <c r="U106" s="50"/>
      <c r="V106" s="184"/>
      <c r="W106" s="109">
        <v>4</v>
      </c>
      <c r="X106" s="110" t="str">
        <f ca="1">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20.25" thickTop="1" thickBot="1">
      <c r="A107" s="105"/>
      <c r="B107" s="194"/>
      <c r="C107" s="195"/>
      <c r="D107" s="384" t="s">
        <v>447</v>
      </c>
      <c r="E107" s="387" t="str">
        <f ca="1">IF(OR(TRIM(D108)="-",TRIM(D109)="-"),"",VLOOKUP(MIN(C108,C109),Hřiště!$B$11:$E$75,4,0))</f>
        <v/>
      </c>
      <c r="F107" s="184"/>
      <c r="G107" s="184"/>
      <c r="H107" s="204"/>
      <c r="I107" s="234"/>
      <c r="J107" s="184"/>
      <c r="K107" s="111">
        <v>10</v>
      </c>
      <c r="L107" s="112" t="str">
        <f ca="1">IF(OR(TRIM(H110)="-",TRIM(H111)="-"), IF(TRIM(H110)="-",H111,H110),IF(AND(I110="",I111="")," ",IF(N(I110)=N(I111)," ",IF(N(I110)&gt;N(I111),H110,H111))))</f>
        <v xml:space="preserve"> </v>
      </c>
      <c r="M107" s="157"/>
      <c r="N107" s="186"/>
      <c r="O107" s="196"/>
      <c r="P107" s="211"/>
      <c r="Q107" s="235"/>
      <c r="R107" s="193"/>
      <c r="S107" s="196"/>
      <c r="T107" s="50"/>
      <c r="U107" s="50"/>
      <c r="V107" s="184"/>
      <c r="W107" s="111">
        <v>3</v>
      </c>
      <c r="X107" s="112" t="str">
        <f ca="1">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9.5" thickTop="1" thickBot="1">
      <c r="A108" s="117" t="str">
        <f ca="1">VLOOKUP(C108,Postupy!$A$3:$C$66,3,0)</f>
        <v>W1</v>
      </c>
      <c r="B108" s="182"/>
      <c r="C108" s="109">
        <v>23</v>
      </c>
      <c r="D108" s="110" t="str">
        <f ca="1">VLOOKUP(C108,Postupy!$A$3:$B$66,2,0)</f>
        <v>23 Kulový blesk Olomouc - Konečná Jana</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20.25" thickTop="1" thickBot="1">
      <c r="A109" s="117" t="str">
        <f ca="1">VLOOKUP(C109,Postupy!$A$3:$C$66,3,0)</f>
        <v>AP1</v>
      </c>
      <c r="B109" s="182"/>
      <c r="C109" s="111">
        <v>42</v>
      </c>
      <c r="D109" s="112" t="str">
        <f ca="1">VLOOKUP(C109,Postupy!$A$3:$B$66,2,0)</f>
        <v>131 PKT Velký Šanc - Sedláčková Hedvika</v>
      </c>
      <c r="E109" s="157"/>
      <c r="F109" s="207" t="s">
        <v>119</v>
      </c>
      <c r="G109" s="187"/>
      <c r="H109" s="384" t="s">
        <v>447</v>
      </c>
      <c r="I109" s="387" t="str">
        <f ca="1">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75" thickBot="1">
      <c r="A110" s="108"/>
      <c r="B110" s="190"/>
      <c r="C110" s="190">
        <f>C108+C109</f>
        <v>65</v>
      </c>
      <c r="D110" s="191"/>
      <c r="E110" s="231"/>
      <c r="F110" s="192"/>
      <c r="G110" s="109">
        <v>23</v>
      </c>
      <c r="H110" s="110" t="str">
        <f ca="1">IF(OR(TRIM(D108)="-",TRIM(D109)="-"), IF(TRIM(D108)="-",D109,D108),IF(AND(E108="",E109="")," ",IF(N(E108)=N(E109)," ",IF(N(E108)&gt;N(E109),D108,D109))))</f>
        <v xml:space="preserve">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20.25" thickTop="1" thickBot="1">
      <c r="A111" s="105"/>
      <c r="B111" s="194"/>
      <c r="C111" s="195"/>
      <c r="D111" s="384" t="s">
        <v>447</v>
      </c>
      <c r="E111" s="387" t="str">
        <f ca="1">IF(OR(TRIM(D112)="-",TRIM(D113)="-"),"",VLOOKUP(MIN(C112,C113),Hřiště!$B$11:$E$75,4,0))</f>
        <v/>
      </c>
      <c r="F111" s="203"/>
      <c r="G111" s="111">
        <v>10</v>
      </c>
      <c r="H111" s="112" t="str">
        <f ca="1">IF(OR(TRIM(D112)="-",TRIM(D113)="-"), IF(TRIM(D112)="-",D113,D112),IF(AND(E112="",E113="")," ",IF(N(E112)=N(E113)," ",IF(N(E112)&gt;N(E113),D112,D113))))</f>
        <v xml:space="preserve">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9.5" thickTop="1" thickBot="1">
      <c r="A112" s="117" t="str">
        <f ca="1">VLOOKUP(C112,Postupy!$A$3:$C$66,3,0)</f>
        <v>AF2</v>
      </c>
      <c r="B112" s="182"/>
      <c r="C112" s="109">
        <v>55</v>
      </c>
      <c r="D112" s="110" t="str">
        <f ca="1">VLOOKUP(C112,Postupy!$A$3:$B$66,2,0)</f>
        <v>118 PEK Stolín - Hájková Iveta</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20.25" thickTop="1" thickBot="1">
      <c r="A113" s="117" t="str">
        <f ca="1">VLOOKUP(C113,Postupy!$A$3:$C$66,3,0)</f>
        <v>J1</v>
      </c>
      <c r="B113" s="182"/>
      <c r="C113" s="111">
        <v>10</v>
      </c>
      <c r="D113" s="112" t="str">
        <f ca="1">VLOOKUP(C113,Postupy!$A$3:$B$66,2,0)</f>
        <v>10 TOP - ORLOVÁ - Bačo David</v>
      </c>
      <c r="E113" s="157"/>
      <c r="F113" s="209"/>
      <c r="G113" s="184"/>
      <c r="H113" s="201"/>
      <c r="I113" s="234"/>
      <c r="J113" s="184"/>
      <c r="K113" s="184"/>
      <c r="L113" s="210"/>
      <c r="M113" s="235"/>
      <c r="N113" s="193"/>
      <c r="O113" s="187"/>
      <c r="P113" s="384" t="s">
        <v>447</v>
      </c>
      <c r="Q113" s="387" t="str">
        <f ca="1">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75" thickBot="1">
      <c r="A114" s="108"/>
      <c r="B114" s="190"/>
      <c r="C114" s="190">
        <f>C112+C113</f>
        <v>65</v>
      </c>
      <c r="D114" s="191"/>
      <c r="E114" s="231"/>
      <c r="F114" s="349">
        <f>C110+C114</f>
        <v>130</v>
      </c>
      <c r="G114" s="349"/>
      <c r="H114" s="204"/>
      <c r="I114" s="234"/>
      <c r="J114" s="184"/>
      <c r="K114" s="184"/>
      <c r="L114" s="211"/>
      <c r="M114" s="235"/>
      <c r="N114" s="193"/>
      <c r="O114" s="109">
        <v>7</v>
      </c>
      <c r="P114" s="110" t="str">
        <f ca="1">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20.25" thickTop="1" thickBot="1">
      <c r="A115" s="105"/>
      <c r="B115" s="194"/>
      <c r="C115" s="195"/>
      <c r="D115" s="384" t="s">
        <v>447</v>
      </c>
      <c r="E115" s="387" t="str">
        <f ca="1">IF(OR(TRIM(D116)="-",TRIM(D117)="-"),"",VLOOKUP(MIN(C116,C117),Hřiště!$B$11:$E$75,4,0))</f>
        <v/>
      </c>
      <c r="F115" s="349"/>
      <c r="G115" s="184"/>
      <c r="H115" s="204"/>
      <c r="I115" s="234"/>
      <c r="J115" s="184"/>
      <c r="K115" s="184"/>
      <c r="L115" s="211"/>
      <c r="M115" s="235"/>
      <c r="N115" s="193"/>
      <c r="O115" s="111">
        <v>2</v>
      </c>
      <c r="P115" s="112" t="str">
        <f ca="1">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9.5" thickTop="1" thickBot="1">
      <c r="A116" s="117" t="str">
        <f ca="1">VLOOKUP(C116,Postupy!$A$3:$C$66,3,0)</f>
        <v>O1</v>
      </c>
      <c r="B116" s="182"/>
      <c r="C116" s="109">
        <v>15</v>
      </c>
      <c r="D116" s="110" t="str">
        <f ca="1">VLOOKUP(C116,Postupy!$A$3:$B$66,2,0)</f>
        <v>15 PLUK Jablonec - Palicová Markéta</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20.25" thickTop="1" thickBot="1">
      <c r="A117" s="117" t="str">
        <f ca="1">VLOOKUP(C117,Postupy!$A$3:$C$66,3,0)</f>
        <v>AK2</v>
      </c>
      <c r="B117" s="182"/>
      <c r="C117" s="111">
        <v>50</v>
      </c>
      <c r="D117" s="112" t="str">
        <f ca="1">VLOOKUP(C117,Postupy!$A$3:$B$66,2,0)</f>
        <v>37 1. KPK Vrchlabí - Řezníček Jiří</v>
      </c>
      <c r="E117" s="157"/>
      <c r="F117" s="213"/>
      <c r="G117" s="187"/>
      <c r="H117" s="384" t="s">
        <v>447</v>
      </c>
      <c r="I117" s="387" t="str">
        <f ca="1">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75" thickBot="1">
      <c r="A118" s="108"/>
      <c r="B118" s="190"/>
      <c r="C118" s="190">
        <f>C116+C117</f>
        <v>65</v>
      </c>
      <c r="D118" s="191"/>
      <c r="E118" s="231"/>
      <c r="F118" s="192"/>
      <c r="G118" s="109">
        <v>15</v>
      </c>
      <c r="H118" s="110" t="str">
        <f ca="1">IF(OR(TRIM(D116)="-",TRIM(D117)="-"), IF(TRIM(D116)="-",D117,D116),IF(AND(E116="",E117="")," ",IF(N(E116)=N(E117)," ",IF(N(E116)&gt;N(E117),D116,D117))))</f>
        <v xml:space="preserve">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20.25" thickTop="1" thickBot="1">
      <c r="A119" s="105"/>
      <c r="B119" s="194"/>
      <c r="C119" s="195"/>
      <c r="D119" s="384" t="s">
        <v>447</v>
      </c>
      <c r="E119" s="387" t="str">
        <f ca="1">IF(OR(TRIM(D120)="-",TRIM(D121)="-"),"",VLOOKUP(MIN(C120,C121),Hřiště!$B$11:$E$75,4,0))</f>
        <v/>
      </c>
      <c r="F119" s="192"/>
      <c r="G119" s="111">
        <v>18</v>
      </c>
      <c r="H119" s="112" t="str">
        <f ca="1">IF(OR(TRIM(D120)="-",TRIM(D121)="-"), IF(TRIM(D120)="-",D121,D120),IF(AND(E120="",E121="")," ",IF(N(E120)=N(E121)," ",IF(N(E120)&gt;N(E121),D120,D121))))</f>
        <v xml:space="preserve">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9.5" thickTop="1" thickBot="1">
      <c r="A120" s="117" t="str">
        <f ca="1">VLOOKUP(C120,Postupy!$A$3:$C$66,3,0)</f>
        <v>AN2</v>
      </c>
      <c r="B120" s="182"/>
      <c r="C120" s="109">
        <v>47</v>
      </c>
      <c r="D120" s="110" t="str">
        <f ca="1">VLOOKUP(C120,Postupy!$A$3:$B$66,2,0)</f>
        <v>126 1. KPK Vrchlabí - Lukeš Jakub</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20.25" thickTop="1" thickBot="1">
      <c r="A121" s="117" t="str">
        <f ca="1">VLOOKUP(C121,Postupy!$A$3:$C$66,3,0)</f>
        <v>R1</v>
      </c>
      <c r="B121" s="182"/>
      <c r="C121" s="111">
        <v>18</v>
      </c>
      <c r="D121" s="112" t="str">
        <f ca="1">VLOOKUP(C121,Postupy!$A$3:$B$66,2,0)</f>
        <v>104 PK Polouvsí - Ondryhal Josef</v>
      </c>
      <c r="E121" s="157"/>
      <c r="F121" s="185"/>
      <c r="G121" s="184"/>
      <c r="H121" s="201"/>
      <c r="I121" s="234"/>
      <c r="J121" s="193"/>
      <c r="K121" s="187"/>
      <c r="L121" s="384" t="s">
        <v>447</v>
      </c>
      <c r="M121" s="387" t="str">
        <f ca="1">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75" thickBot="1">
      <c r="A122" s="108"/>
      <c r="B122" s="190"/>
      <c r="C122" s="190">
        <f>C120+C121</f>
        <v>65</v>
      </c>
      <c r="D122" s="191"/>
      <c r="E122" s="231"/>
      <c r="F122" s="349">
        <f>C118+C122</f>
        <v>130</v>
      </c>
      <c r="G122" s="184"/>
      <c r="H122" s="204"/>
      <c r="I122" s="234"/>
      <c r="J122" s="184"/>
      <c r="K122" s="109">
        <v>15</v>
      </c>
      <c r="L122" s="110" t="str">
        <f ca="1">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20.25" thickTop="1" thickBot="1">
      <c r="A123" s="105"/>
      <c r="B123" s="194"/>
      <c r="C123" s="195"/>
      <c r="D123" s="384" t="s">
        <v>447</v>
      </c>
      <c r="E123" s="387" t="str">
        <f ca="1">IF(OR(TRIM(D124)="-",TRIM(D125)="-"),"",VLOOKUP(MIN(C124,C125),Hřiště!$B$11:$E$75,4,0))</f>
        <v/>
      </c>
      <c r="F123" s="184"/>
      <c r="G123" s="184"/>
      <c r="H123" s="204"/>
      <c r="I123" s="234"/>
      <c r="J123" s="184"/>
      <c r="K123" s="111">
        <v>2</v>
      </c>
      <c r="L123" s="112" t="str">
        <f ca="1">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9.5" thickTop="1" thickBot="1">
      <c r="A124" s="117" t="str">
        <f ca="1">VLOOKUP(C124,Postupy!$A$3:$C$66,3,0)</f>
        <v>AE1</v>
      </c>
      <c r="B124" s="182"/>
      <c r="C124" s="109">
        <v>31</v>
      </c>
      <c r="D124" s="110" t="str">
        <f ca="1">VLOOKUP(C124,Postupy!$A$3:$B$66,2,0)</f>
        <v>31 PLUK Jablonec - Lukáš Petr</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20.25" thickTop="1" thickBot="1">
      <c r="A125" s="117" t="str">
        <f ca="1">VLOOKUP(C125,Postupy!$A$3:$C$66,3,0)</f>
        <v>AH1</v>
      </c>
      <c r="B125" s="182"/>
      <c r="C125" s="111">
        <v>34</v>
      </c>
      <c r="D125" s="112" t="str">
        <f ca="1">VLOOKUP(C125,Postupy!$A$3:$B$66,2,0)</f>
        <v>120 Petank Club Praha - Křešťáková Jana</v>
      </c>
      <c r="E125" s="157"/>
      <c r="F125" s="207" t="s">
        <v>119</v>
      </c>
      <c r="G125" s="187"/>
      <c r="H125" s="384" t="s">
        <v>447</v>
      </c>
      <c r="I125" s="387" t="str">
        <f ca="1">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75" thickBot="1">
      <c r="A126" s="108"/>
      <c r="B126" s="190"/>
      <c r="C126" s="190">
        <f>C124+C125</f>
        <v>65</v>
      </c>
      <c r="D126" s="191"/>
      <c r="E126" s="231"/>
      <c r="F126" s="23"/>
      <c r="G126" s="109">
        <v>31</v>
      </c>
      <c r="H126" s="110" t="str">
        <f ca="1">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20.25" thickTop="1" thickBot="1">
      <c r="A127" s="105"/>
      <c r="B127" s="194"/>
      <c r="C127" s="195"/>
      <c r="D127" s="384" t="s">
        <v>447</v>
      </c>
      <c r="E127" s="387" t="str">
        <f ca="1">IF(OR(TRIM(D128)="-",TRIM(D129)="-"),"",VLOOKUP(MIN(C128,C129),Hřiště!$B$11:$E$75,4,0))</f>
        <v/>
      </c>
      <c r="F127" s="203"/>
      <c r="G127" s="111">
        <v>2</v>
      </c>
      <c r="H127" s="112" t="str">
        <f ca="1">IF(OR(TRIM(D128)="-",TRIM(D129)="-"), IF(TRIM(D128)="-",D129,D128),IF(AND(E128="",E129="")," ",IF(N(E128)=N(E129)," ",IF(N(E128)&gt;N(E129),D128,D129))))</f>
        <v xml:space="preserve">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9.5" thickTop="1" thickBot="1">
      <c r="A128" s="117" t="str">
        <f ca="1">VLOOKUP(C128,Postupy!$A$3:$C$66,3,0)</f>
        <v>X2</v>
      </c>
      <c r="B128" s="182"/>
      <c r="C128" s="109">
        <v>63</v>
      </c>
      <c r="D128" s="110" t="str">
        <f ca="1">VLOOKUP(C128,Postupy!$A$3:$B$66,2,0)</f>
        <v>24 TOP - ORLOVÁ - Ulmann Jiří</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9.5" thickTop="1" thickBot="1">
      <c r="A129" s="117" t="str">
        <f ca="1">VLOOKUP(C129,Postupy!$A$3:$C$66,3,0)</f>
        <v>B1</v>
      </c>
      <c r="B129" s="182"/>
      <c r="C129" s="111">
        <v>2</v>
      </c>
      <c r="D129" s="112" t="str">
        <f ca="1">VLOOKUP(C129,Postupy!$A$3:$B$66,2,0)</f>
        <v>2 PC Sokol Lipník - Vavrovič Petr ml.</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00000000000006"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00000000000006"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00000000000006"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450000000000003"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8.9" customHeight="1" thickBot="1">
      <c r="A3" s="29"/>
      <c r="B3" s="33"/>
      <c r="C3" s="259"/>
      <c r="D3" s="384" t="s">
        <v>447</v>
      </c>
      <c r="E3" s="387" t="str">
        <f ca="1">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75" thickBot="1">
      <c r="A4" s="117" t="str">
        <f ca="1">VLOOKUP(C4,Postupy!$A$3:$C$34,3,0)</f>
        <v>A1</v>
      </c>
      <c r="B4" s="182"/>
      <c r="C4" s="109">
        <v>1</v>
      </c>
      <c r="D4" s="343" t="str">
        <f ca="1">VLOOKUP(C4,Postupy!$A$3:$BG$34,59,0)</f>
        <v xml:space="preserve"> </v>
      </c>
      <c r="E4" s="156">
        <f ca="1">VLOOKUP(C4,Postupy!$A$3:$BH$34,60,0)</f>
        <v>0</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20.25" thickTop="1" thickBot="1">
      <c r="A5" s="117" t="str">
        <f ca="1">VLOOKUP(C5,Postupy!$A$3:$C$34,3,0)</f>
        <v>AF1</v>
      </c>
      <c r="B5" s="182"/>
      <c r="C5" s="111">
        <v>32</v>
      </c>
      <c r="D5" s="343" t="str">
        <f ca="1">VLOOKUP(C5,Postupy!$A$3:$BG$34,59,0)</f>
        <v xml:space="preserve"> </v>
      </c>
      <c r="E5" s="157">
        <f ca="1">VLOOKUP(C5,Postupy!$A$3:$BH$34,60,0)</f>
        <v>0</v>
      </c>
      <c r="F5" s="186"/>
      <c r="G5" s="187"/>
      <c r="H5" s="384" t="s">
        <v>447</v>
      </c>
      <c r="I5" s="387" t="str">
        <f ca="1">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75" thickBot="1">
      <c r="A6" s="108"/>
      <c r="B6" s="190"/>
      <c r="C6" s="190">
        <f>C4+C5</f>
        <v>33</v>
      </c>
      <c r="D6" s="191"/>
      <c r="E6" s="23"/>
      <c r="F6" s="192"/>
      <c r="G6" s="109">
        <v>1</v>
      </c>
      <c r="H6" s="110" t="str">
        <f ca="1">IF(OR(TRIM(D4)="-",TRIM(D5)="-"), IF(TRIM(D4)="-",D5,D4),IF(AND(E4="",E5="")," ",IF(N(E4)=N(E5)," ",IF(N(E4)&gt;N(E5),D4,D5))))</f>
        <v xml:space="preserve"> </v>
      </c>
      <c r="I6" s="156">
        <f ca="1">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20.25" thickTop="1" thickBot="1">
      <c r="A7" s="105"/>
      <c r="B7" s="194"/>
      <c r="C7" s="195"/>
      <c r="D7" s="384" t="s">
        <v>447</v>
      </c>
      <c r="E7" s="387" t="str">
        <f ca="1">IF(OR(TRIM(D8)="-",TRIM(D9)="-"),"",VLOOKUP(MIN(C8,C9),Hřiště!$B$11:$E$75,4,0))</f>
        <v/>
      </c>
      <c r="F7" s="192"/>
      <c r="G7" s="111">
        <v>16</v>
      </c>
      <c r="H7" s="112" t="str">
        <f ca="1">IF(OR(TRIM(D8)="-",TRIM(D9)="-"), IF(TRIM(D8)="-",D9,D8),IF(AND(E8="",E9="")," ",IF(N(E8)=N(E9)," ",IF(N(E8)&gt;N(E9),D8,D9))))</f>
        <v xml:space="preserve"> </v>
      </c>
      <c r="I7" s="157">
        <f ca="1">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75" thickBot="1">
      <c r="A8" s="117" t="str">
        <f ca="1">VLOOKUP(C8,Postupy!$A$3:$C$34,3,0)</f>
        <v>Q1</v>
      </c>
      <c r="B8" s="182"/>
      <c r="C8" s="109">
        <v>17</v>
      </c>
      <c r="D8" s="343" t="str">
        <f ca="1">VLOOKUP(C8,Postupy!$A$3:$BG$34,59,0)</f>
        <v xml:space="preserve"> </v>
      </c>
      <c r="E8" s="156">
        <f ca="1">VLOOKUP(C8,Postupy!$A$3:$BH$34,60,0)</f>
        <v>0</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20.25" thickTop="1" thickBot="1">
      <c r="A9" s="117" t="str">
        <f ca="1">VLOOKUP(C9,Postupy!$A$3:$C$34,3,0)</f>
        <v>P1</v>
      </c>
      <c r="B9" s="182"/>
      <c r="C9" s="111">
        <v>16</v>
      </c>
      <c r="D9" s="343" t="str">
        <f ca="1">VLOOKUP(C9,Postupy!$A$3:$BG$34,59,0)</f>
        <v xml:space="preserve"> </v>
      </c>
      <c r="E9" s="157">
        <f ca="1">VLOOKUP(C9,Postupy!$A$3:$BH$34,60,0)</f>
        <v>0</v>
      </c>
      <c r="F9" s="185"/>
      <c r="G9" s="184"/>
      <c r="H9" s="201"/>
      <c r="I9" s="193"/>
      <c r="J9" s="193"/>
      <c r="K9" s="187"/>
      <c r="L9" s="384" t="s">
        <v>447</v>
      </c>
      <c r="M9" s="387" t="str">
        <f ca="1">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75" thickBot="1">
      <c r="A10" s="108"/>
      <c r="B10" s="190"/>
      <c r="C10" s="190">
        <f>C8+C9</f>
        <v>33</v>
      </c>
      <c r="D10" s="191"/>
      <c r="E10" s="23"/>
      <c r="F10" s="199">
        <f>C6+C10</f>
        <v>66</v>
      </c>
      <c r="G10" s="184"/>
      <c r="H10" s="204"/>
      <c r="I10" s="184"/>
      <c r="J10" s="184"/>
      <c r="K10" s="109">
        <v>1</v>
      </c>
      <c r="L10" s="110" t="str">
        <f ca="1">IF(OR(TRIM(H6)="-",TRIM(H7)="-"), IF(TRIM(H6)="-",H7,H6),IF(AND(I6="",I7="")," ",IF(N(I6)=N(I7)," ",IF(N(I6)&gt;N(I7),H6,H7))))</f>
        <v xml:space="preserve"> </v>
      </c>
      <c r="M10" s="156">
        <f ca="1">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20.25" thickTop="1" thickBot="1">
      <c r="A11" s="105"/>
      <c r="B11" s="194"/>
      <c r="C11" s="195"/>
      <c r="D11" s="384" t="s">
        <v>447</v>
      </c>
      <c r="E11" s="387" t="str">
        <f ca="1">IF(OR(TRIM(D12)="-",TRIM(D13)="-"),"",VLOOKUP(MIN(C12,C13),Hřiště!$B$11:$E$75,4,0))</f>
        <v/>
      </c>
      <c r="F11" s="184"/>
      <c r="G11" s="184"/>
      <c r="H11" s="204"/>
      <c r="I11" s="184"/>
      <c r="J11" s="184"/>
      <c r="K11" s="111">
        <v>8</v>
      </c>
      <c r="L11" s="112" t="str">
        <f ca="1">IF(OR(TRIM(H14)="-",TRIM(H15)="-"), IF(TRIM(H14)="-",H15,H14),IF(AND(I14="",I15="")," ",IF(N(I14)=N(I15)," ",IF(N(I14)&gt;N(I15),H14,H15))))</f>
        <v xml:space="preserve"> </v>
      </c>
      <c r="M11" s="157">
        <f ca="1">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9.5" thickTop="1" thickBot="1">
      <c r="A12" s="117" t="str">
        <f ca="1">VLOOKUP(C12,Postupy!$A$3:$C$34,3,0)</f>
        <v>I1</v>
      </c>
      <c r="B12" s="182"/>
      <c r="C12" s="109">
        <v>9</v>
      </c>
      <c r="D12" s="343" t="str">
        <f ca="1">VLOOKUP(C12,Postupy!$A$3:$BG$34,59,0)</f>
        <v xml:space="preserve"> </v>
      </c>
      <c r="E12" s="156">
        <f ca="1">VLOOKUP(C12,Postupy!$A$3:$BH$34,60,0)</f>
        <v>0</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20.25" thickTop="1" thickBot="1">
      <c r="A13" s="117" t="str">
        <f ca="1">VLOOKUP(C13,Postupy!$A$3:$C$34,3,0)</f>
        <v>X1</v>
      </c>
      <c r="B13" s="182"/>
      <c r="C13" s="111">
        <v>24</v>
      </c>
      <c r="D13" s="343" t="str">
        <f ca="1">VLOOKUP(C13,Postupy!$A$3:$BG$34,59,0)</f>
        <v xml:space="preserve"> </v>
      </c>
      <c r="E13" s="157">
        <f ca="1">VLOOKUP(C13,Postupy!$A$3:$BH$34,60,0)</f>
        <v>0</v>
      </c>
      <c r="F13" s="207" t="s">
        <v>119</v>
      </c>
      <c r="G13" s="187"/>
      <c r="H13" s="384" t="s">
        <v>447</v>
      </c>
      <c r="I13" s="387" t="str">
        <f ca="1">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75" thickBot="1">
      <c r="A14" s="108"/>
      <c r="B14" s="190"/>
      <c r="C14" s="190">
        <f>C12+C13</f>
        <v>33</v>
      </c>
      <c r="D14" s="191"/>
      <c r="E14" s="23"/>
      <c r="F14" s="192"/>
      <c r="G14" s="109">
        <v>9</v>
      </c>
      <c r="H14" s="110" t="str">
        <f ca="1">IF(OR(TRIM(D12)="-",TRIM(D13)="-"), IF(TRIM(D12)="-",D13,D12),IF(AND(E12="",E13="")," ",IF(N(E12)=N(E13)," ",IF(N(E12)&gt;N(E13),D12,D13))))</f>
        <v xml:space="preserve"> </v>
      </c>
      <c r="I14" s="156">
        <f ca="1">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20.25" thickTop="1" thickBot="1">
      <c r="A15" s="105"/>
      <c r="B15" s="194"/>
      <c r="C15" s="195"/>
      <c r="D15" s="384" t="s">
        <v>447</v>
      </c>
      <c r="E15" s="387" t="str">
        <f ca="1">IF(OR(TRIM(D16)="-",TRIM(D17)="-"),"",VLOOKUP(MIN(C16,C17),Hřiště!$B$11:$E$75,4,0))</f>
        <v/>
      </c>
      <c r="F15" s="203"/>
      <c r="G15" s="111">
        <v>8</v>
      </c>
      <c r="H15" s="112" t="str">
        <f ca="1">IF(OR(TRIM(D16)="-",TRIM(D17)="-"), IF(TRIM(D16)="-",D17,D16),IF(AND(E16="",E17="")," ",IF(N(E16)=N(E17)," ",IF(N(E16)&gt;N(E17),D16,D17))))</f>
        <v xml:space="preserve"> </v>
      </c>
      <c r="I15" s="157">
        <f ca="1">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9.5" thickTop="1" thickBot="1">
      <c r="A16" s="117" t="str">
        <f ca="1">VLOOKUP(C16,Postupy!$A$3:$C$34,3,0)</f>
        <v>Y1</v>
      </c>
      <c r="B16" s="182"/>
      <c r="C16" s="109">
        <v>25</v>
      </c>
      <c r="D16" s="343" t="str">
        <f ca="1">VLOOKUP(C16,Postupy!$A$3:$BG$34,59,0)</f>
        <v xml:space="preserve"> </v>
      </c>
      <c r="E16" s="156">
        <f ca="1">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20.25" thickTop="1" thickBot="1">
      <c r="A17" s="117" t="str">
        <f ca="1">VLOOKUP(C17,Postupy!$A$3:$C$34,3,0)</f>
        <v>H1</v>
      </c>
      <c r="B17" s="182"/>
      <c r="C17" s="111">
        <v>8</v>
      </c>
      <c r="D17" s="343" t="str">
        <f ca="1">VLOOKUP(C17,Postupy!$A$3:$BG$34,59,0)</f>
        <v xml:space="preserve"> </v>
      </c>
      <c r="E17" s="157">
        <f ca="1">VLOOKUP(C17,Postupy!$A$3:$BH$34,60,0)</f>
        <v>0</v>
      </c>
      <c r="F17" s="209"/>
      <c r="G17" s="184"/>
      <c r="H17" s="201"/>
      <c r="I17" s="184"/>
      <c r="J17" s="184"/>
      <c r="K17" s="184"/>
      <c r="L17" s="210"/>
      <c r="M17" s="193"/>
      <c r="N17" s="193"/>
      <c r="O17" s="130"/>
      <c r="P17" s="384" t="s">
        <v>447</v>
      </c>
      <c r="Q17" s="387" t="str">
        <f ca="1">IF(OR(TRIM(P18)="-",TRIM(P19)="-"),"",VLOOKUP(MIN(O18,O19),Hřiště!$B$11:$E$75,4,0))</f>
        <v/>
      </c>
      <c r="S17" s="203"/>
      <c r="T17" s="203"/>
      <c r="U17" s="203"/>
      <c r="V17" s="184"/>
      <c r="W17" s="193"/>
      <c r="X17" s="17"/>
      <c r="Y17" s="17"/>
      <c r="Z17" s="17"/>
      <c r="AA17" s="17"/>
      <c r="AB17" s="17"/>
      <c r="AC17" s="17"/>
      <c r="AD17" s="17"/>
      <c r="AE17" s="17"/>
      <c r="AF17" s="17"/>
      <c r="AG17" s="17"/>
    </row>
    <row r="18" spans="1:33" ht="18.75" thickBot="1">
      <c r="A18" s="108"/>
      <c r="B18" s="190"/>
      <c r="C18" s="190">
        <f>C16+C17</f>
        <v>33</v>
      </c>
      <c r="D18" s="191"/>
      <c r="E18" s="23"/>
      <c r="F18" s="199">
        <f>C14+C18</f>
        <v>66</v>
      </c>
      <c r="G18" s="184"/>
      <c r="H18" s="204"/>
      <c r="I18" s="184"/>
      <c r="J18" s="184"/>
      <c r="K18" s="184"/>
      <c r="L18" s="211"/>
      <c r="M18" s="193"/>
      <c r="N18" s="193"/>
      <c r="O18" s="109">
        <v>1</v>
      </c>
      <c r="P18" s="110" t="str">
        <f ca="1">IF(OR(TRIM(L10)="-",TRIM(L11)="-"), IF(TRIM(L10)="-",L11,L10),IF(AND(M10="",M11="")," ",IF(N(M10)=N(M11)," ",IF(N(M10)&gt;N(M11),L10,L11))))</f>
        <v xml:space="preserve"> </v>
      </c>
      <c r="Q18" s="156">
        <f ca="1">VLOOKUP(O18,Postupy!$A$3:$BN$6,66,0)</f>
        <v>0</v>
      </c>
      <c r="R18" s="193"/>
      <c r="S18" s="184"/>
      <c r="T18" s="184"/>
      <c r="U18" s="184"/>
      <c r="V18" s="184"/>
      <c r="W18" s="193"/>
      <c r="X18" s="17"/>
      <c r="Y18" s="17"/>
      <c r="Z18" s="17"/>
      <c r="AA18" s="17"/>
      <c r="AB18" s="17"/>
      <c r="AC18" s="17"/>
      <c r="AD18" s="17"/>
      <c r="AE18" s="17"/>
      <c r="AF18" s="17"/>
      <c r="AG18" s="17"/>
    </row>
    <row r="19" spans="1:33" ht="20.25" thickTop="1" thickBot="1">
      <c r="A19" s="105"/>
      <c r="B19" s="194"/>
      <c r="C19" s="195"/>
      <c r="D19" s="384" t="s">
        <v>447</v>
      </c>
      <c r="E19" s="387" t="str">
        <f ca="1">IF(OR(TRIM(D20)="-",TRIM(D21)="-"),"",VLOOKUP(MIN(C20,C21),Hřiště!$B$11:$E$75,4,0))</f>
        <v/>
      </c>
      <c r="F19" s="184"/>
      <c r="G19" s="184"/>
      <c r="H19" s="204"/>
      <c r="I19" s="184"/>
      <c r="J19" s="184"/>
      <c r="K19" s="184"/>
      <c r="L19" s="211"/>
      <c r="M19" s="193"/>
      <c r="N19" s="192"/>
      <c r="O19" s="111">
        <v>4</v>
      </c>
      <c r="P19" s="112" t="str">
        <f ca="1">IF(OR(TRIM(L26)="-",TRIM(L27)="-"),IF(TRIM(L26)="-",L27,L26),IF(AND(M26="",M27="")," ",IF(N(M26)=N(M27)," ",IF(N(M26)&gt;N(M27),L26,L27))))</f>
        <v xml:space="preserve"> </v>
      </c>
      <c r="Q19" s="157">
        <f ca="1">VLOOKUP(O19,Postupy!$A$3:$BN$6,66,0)</f>
        <v>0</v>
      </c>
      <c r="R19" s="186"/>
      <c r="S19" s="212"/>
      <c r="T19" s="184"/>
      <c r="U19" s="184"/>
      <c r="V19" s="184"/>
      <c r="W19" s="193"/>
      <c r="X19" s="17"/>
      <c r="Y19" s="17"/>
      <c r="Z19" s="17"/>
      <c r="AA19" s="17"/>
      <c r="AB19" s="17"/>
      <c r="AC19" s="17"/>
      <c r="AD19" s="17"/>
      <c r="AE19" s="17"/>
      <c r="AF19" s="17"/>
      <c r="AG19" s="17"/>
    </row>
    <row r="20" spans="1:33" ht="19.5" thickTop="1" thickBot="1">
      <c r="A20" s="117" t="str">
        <f ca="1">VLOOKUP(C20,Postupy!$A$3:$C$34,3,0)</f>
        <v>E1</v>
      </c>
      <c r="B20" s="182"/>
      <c r="C20" s="109">
        <v>5</v>
      </c>
      <c r="D20" s="343" t="str">
        <f ca="1">VLOOKUP(C20,Postupy!$A$3:$BG$34,59,0)</f>
        <v xml:space="preserve"> </v>
      </c>
      <c r="E20" s="156">
        <f ca="1">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20.25" thickTop="1" thickBot="1">
      <c r="A21" s="117" t="str">
        <f ca="1">VLOOKUP(C21,Postupy!$A$3:$C$34,3,0)</f>
        <v>AB1</v>
      </c>
      <c r="B21" s="182"/>
      <c r="C21" s="111">
        <v>28</v>
      </c>
      <c r="D21" s="343" t="str">
        <f ca="1">VLOOKUP(C21,Postupy!$A$3:$BG$34,59,0)</f>
        <v xml:space="preserve"> </v>
      </c>
      <c r="E21" s="157">
        <f ca="1">VLOOKUP(C21,Postupy!$A$3:$BH$34,60,0)</f>
        <v>0</v>
      </c>
      <c r="F21" s="213"/>
      <c r="G21" s="187"/>
      <c r="H21" s="384" t="s">
        <v>447</v>
      </c>
      <c r="I21" s="387" t="str">
        <f ca="1">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9.5" thickTop="1" thickBot="1">
      <c r="A22" s="108"/>
      <c r="B22" s="190"/>
      <c r="C22" s="190">
        <f>C20+C21</f>
        <v>33</v>
      </c>
      <c r="D22" s="191"/>
      <c r="E22" s="23"/>
      <c r="F22" s="192"/>
      <c r="G22" s="109">
        <v>5</v>
      </c>
      <c r="H22" s="110" t="str">
        <f ca="1">IF(OR(TRIM(D20)="-",TRIM(D21)="-"), IF(TRIM(D20)="-",D21,D20),IF(AND(E20="",E21="")," ",IF(N(E20)=N(E21)," ",IF(N(E20)&gt;N(E21),D20,D21))))</f>
        <v xml:space="preserve"> </v>
      </c>
      <c r="I22" s="156">
        <f ca="1">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20.25" thickTop="1" thickBot="1">
      <c r="A23" s="105"/>
      <c r="B23" s="194"/>
      <c r="C23" s="195"/>
      <c r="D23" s="384" t="s">
        <v>447</v>
      </c>
      <c r="E23" s="387" t="str">
        <f ca="1">IF(OR(TRIM(D24)="-",TRIM(D25)="-"),"",VLOOKUP(MIN(C24,C25),Hřiště!$B$11:$E$75,4,0))</f>
        <v/>
      </c>
      <c r="F23" s="192"/>
      <c r="G23" s="111">
        <v>12</v>
      </c>
      <c r="H23" s="112" t="str">
        <f ca="1">IF(OR(TRIM(D24)="-",TRIM(D25)="-"), IF(TRIM(D24)="-",D25,D24),IF(AND(E24="",E25="")," ",IF(N(E24)=N(E25)," ",IF(N(E24)&gt;N(E25),D24,D25))))</f>
        <v xml:space="preserve"> </v>
      </c>
      <c r="I23" s="157">
        <f ca="1">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9.5" thickTop="1" thickBot="1">
      <c r="A24" s="117" t="str">
        <f ca="1">VLOOKUP(C24,Postupy!$A$3:$C$34,3,0)</f>
        <v>U1</v>
      </c>
      <c r="B24" s="182"/>
      <c r="C24" s="109">
        <v>21</v>
      </c>
      <c r="D24" s="343" t="str">
        <f ca="1">VLOOKUP(C24,Postupy!$A$3:$BG$34,59,0)</f>
        <v xml:space="preserve"> </v>
      </c>
      <c r="E24" s="156">
        <f ca="1">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20.25" thickTop="1" thickBot="1">
      <c r="A25" s="117" t="str">
        <f ca="1">VLOOKUP(C25,Postupy!$A$3:$C$34,3,0)</f>
        <v>L1</v>
      </c>
      <c r="B25" s="182"/>
      <c r="C25" s="111">
        <v>12</v>
      </c>
      <c r="D25" s="343" t="str">
        <f ca="1">VLOOKUP(C25,Postupy!$A$3:$BG$34,59,0)</f>
        <v xml:space="preserve"> </v>
      </c>
      <c r="E25" s="157">
        <f ca="1">VLOOKUP(C25,Postupy!$A$3:$BH$34,60,0)</f>
        <v>0</v>
      </c>
      <c r="F25" s="185"/>
      <c r="G25" s="184"/>
      <c r="H25" s="201"/>
      <c r="I25" s="193"/>
      <c r="J25" s="193"/>
      <c r="K25" s="187"/>
      <c r="L25" s="384" t="s">
        <v>447</v>
      </c>
      <c r="M25" s="387" t="str">
        <f ca="1">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9.5" thickTop="1" thickBot="1">
      <c r="A26" s="108"/>
      <c r="B26" s="190"/>
      <c r="C26" s="190">
        <f>C24+C25</f>
        <v>33</v>
      </c>
      <c r="D26" s="191"/>
      <c r="E26" s="23"/>
      <c r="F26" s="199">
        <f>C22+C26</f>
        <v>66</v>
      </c>
      <c r="G26" s="184"/>
      <c r="H26" s="204"/>
      <c r="I26" s="184"/>
      <c r="J26" s="184"/>
      <c r="K26" s="109">
        <v>5</v>
      </c>
      <c r="L26" s="110" t="str">
        <f ca="1">IF(OR(TRIM(H22)="-",TRIM(H23)="-"), IF(TRIM(H22)="-",H23,H22),IF(AND(I22="",I23="")," ",IF(N(I22)=N(I23)," ",IF(N(I22)&gt;N(I23),H22,H23))))</f>
        <v xml:space="preserve"> </v>
      </c>
      <c r="M26" s="156">
        <f ca="1">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20.25" thickTop="1" thickBot="1">
      <c r="A27" s="105"/>
      <c r="B27" s="194"/>
      <c r="C27" s="195"/>
      <c r="D27" s="384" t="s">
        <v>447</v>
      </c>
      <c r="E27" s="387" t="str">
        <f ca="1">IF(OR(TRIM(D28)="-",TRIM(D29)="-"),"",VLOOKUP(MIN(C28,C29),Hřiště!$B$11:$E$75,4,0))</f>
        <v/>
      </c>
      <c r="F27" s="184"/>
      <c r="G27" s="184"/>
      <c r="H27" s="204"/>
      <c r="I27" s="184"/>
      <c r="J27" s="184"/>
      <c r="K27" s="111">
        <v>4</v>
      </c>
      <c r="L27" s="112" t="str">
        <f ca="1">IF(OR(TRIM(H30)="-",TRIM(H31)="-"), IF(TRIM(H30)="-",H31,H30),IF(AND(I30="",I31="")," ",IF(N(I30)=N(I31)," ",IF(N(I30)&gt;N(I31),H30,H31))))</f>
        <v xml:space="preserve"> </v>
      </c>
      <c r="M27" s="157">
        <f ca="1">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9.5" thickTop="1" thickBot="1">
      <c r="A28" s="117" t="str">
        <f ca="1">VLOOKUP(C28,Postupy!$A$3:$C$34,3,0)</f>
        <v>M1</v>
      </c>
      <c r="B28" s="182"/>
      <c r="C28" s="109">
        <v>13</v>
      </c>
      <c r="D28" s="343" t="str">
        <f ca="1">VLOOKUP(C28,Postupy!$A$3:$BG$34,59,0)</f>
        <v xml:space="preserve"> </v>
      </c>
      <c r="E28" s="156">
        <f ca="1">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20.25" thickTop="1" thickBot="1">
      <c r="A29" s="117" t="str">
        <f ca="1">VLOOKUP(C29,Postupy!$A$3:$C$34,3,0)</f>
        <v>T1</v>
      </c>
      <c r="B29" s="182"/>
      <c r="C29" s="111">
        <v>20</v>
      </c>
      <c r="D29" s="343" t="str">
        <f ca="1">VLOOKUP(C29,Postupy!$A$3:$BG$34,59,0)</f>
        <v xml:space="preserve"> </v>
      </c>
      <c r="E29" s="157">
        <f ca="1">VLOOKUP(C29,Postupy!$A$3:$BH$34,60,0)</f>
        <v>0</v>
      </c>
      <c r="F29" s="207" t="s">
        <v>119</v>
      </c>
      <c r="G29" s="187"/>
      <c r="H29" s="384" t="s">
        <v>447</v>
      </c>
      <c r="I29" s="387" t="str">
        <f ca="1">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9.5" thickTop="1" thickBot="1">
      <c r="A30" s="108"/>
      <c r="B30" s="190"/>
      <c r="C30" s="190">
        <f>C28+C29</f>
        <v>33</v>
      </c>
      <c r="D30" s="191"/>
      <c r="E30" s="23"/>
      <c r="F30" s="23"/>
      <c r="G30" s="109">
        <v>13</v>
      </c>
      <c r="H30" s="110" t="str">
        <f ca="1">IF(OR(TRIM(D28)="-",TRIM(D29)="-"), IF(TRIM(D28)="-",D29,D28),IF(AND(E28="",E29="")," ",IF(N(E28)=N(E29)," ",IF(N(E28)&gt;N(E29),D28,D29))))</f>
        <v xml:space="preserve"> </v>
      </c>
      <c r="I30" s="156">
        <f ca="1">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20.25" thickTop="1" thickBot="1">
      <c r="A31" s="105"/>
      <c r="B31" s="194"/>
      <c r="C31" s="195"/>
      <c r="D31" s="384" t="s">
        <v>447</v>
      </c>
      <c r="E31" s="387" t="str">
        <f ca="1">IF(OR(TRIM(D32)="-",TRIM(D33)="-"),"",VLOOKUP(MIN(C32,C33),Hřiště!$B$11:$E$75,4,0))</f>
        <v/>
      </c>
      <c r="F31" s="203"/>
      <c r="G31" s="111">
        <v>4</v>
      </c>
      <c r="H31" s="112" t="str">
        <f ca="1">IF(OR(TRIM(D32)="-",TRIM(D33)="-"), IF(TRIM(D32)="-",D33,D32),IF(AND(E32="",E33="")," ",IF(N(E32)=N(E33)," ",IF(N(E32)&gt;N(E33),D32,D33))))</f>
        <v xml:space="preserve"> </v>
      </c>
      <c r="I31" s="157">
        <f ca="1">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20.25" thickTop="1" thickBot="1">
      <c r="A32" s="117" t="str">
        <f ca="1">VLOOKUP(C32,Postupy!$A$3:$C$34,3,0)</f>
        <v>AC1</v>
      </c>
      <c r="B32" s="182"/>
      <c r="C32" s="109">
        <v>29</v>
      </c>
      <c r="D32" s="343" t="str">
        <f ca="1">VLOOKUP(C32,Postupy!$A$3:$BG$34,59,0)</f>
        <v xml:space="preserve"> </v>
      </c>
      <c r="E32" s="156">
        <f ca="1">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20.25" thickTop="1" thickBot="1">
      <c r="A33" s="117" t="str">
        <f ca="1">VLOOKUP(C33,Postupy!$A$3:$C$34,3,0)</f>
        <v>D1</v>
      </c>
      <c r="B33" s="182"/>
      <c r="C33" s="111">
        <v>4</v>
      </c>
      <c r="D33" s="343" t="str">
        <f ca="1">VLOOKUP(C33,Postupy!$A$3:$BG$34,59,0)</f>
        <v xml:space="preserve"> </v>
      </c>
      <c r="E33" s="157">
        <f ca="1">VLOOKUP(C33,Postupy!$A$3:$BH$34,60,0)</f>
        <v>0</v>
      </c>
      <c r="F33" s="209"/>
      <c r="G33" s="184"/>
      <c r="H33" s="201"/>
      <c r="I33" s="184"/>
      <c r="J33" s="184"/>
      <c r="K33" s="184"/>
      <c r="L33" s="210"/>
      <c r="M33" s="184"/>
      <c r="N33" s="184"/>
      <c r="O33" s="184"/>
      <c r="P33" s="211"/>
      <c r="Q33" s="193"/>
      <c r="R33" s="193"/>
      <c r="S33" s="212"/>
      <c r="T33" s="384" t="s">
        <v>447</v>
      </c>
      <c r="U33" s="387" t="str">
        <f ca="1">IF(OR(TRIM(T34)="-",TRIM(T35)="-"),"",VLOOKUP(MIN(S34,S35),Hřiště!$B$11:$E$75,4,0))</f>
        <v/>
      </c>
      <c r="V33" s="184"/>
      <c r="W33" s="193"/>
      <c r="X33" s="288"/>
      <c r="Y33" s="17"/>
      <c r="Z33" s="17"/>
      <c r="AA33" s="17"/>
      <c r="AB33" s="17"/>
      <c r="AC33" s="17"/>
      <c r="AD33" s="17"/>
      <c r="AE33" s="17"/>
      <c r="AF33" s="17"/>
      <c r="AG33" s="17"/>
    </row>
    <row r="34" spans="1:33" ht="19.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 ca="1">IF(OR(TRIM(P18)="-",TRIM(P19)="-"), IF(TRIM(P18)="-",P19,P18),IF(AND(Q18="",Q19="")," ",IF(N(Q18)=N(Q19)," ",IF(N(Q18)&gt;N(Q19),P18,P19))))</f>
        <v xml:space="preserve"> </v>
      </c>
      <c r="U34" s="156">
        <f ca="1">VLOOKUP(S34,Postupy!$A$3:$BP$6,68,0)</f>
        <v>0</v>
      </c>
      <c r="V34" s="198"/>
      <c r="W34" s="39">
        <v>1</v>
      </c>
      <c r="X34" s="134" t="str">
        <f ca="1">IF(AND(U34="",U35="")," ",IF(N(U34)=N(U35)," ",IF(N(U34)&gt;N(U35),T34,T35)))</f>
        <v xml:space="preserve"> </v>
      </c>
      <c r="Y34" s="40">
        <v>1</v>
      </c>
      <c r="Z34" s="17"/>
      <c r="AA34" s="17"/>
      <c r="AB34" s="17"/>
      <c r="AC34" s="17"/>
      <c r="AD34" s="17"/>
      <c r="AE34" s="17"/>
      <c r="AF34" s="17"/>
      <c r="AG34" s="17"/>
    </row>
    <row r="35" spans="1:33" ht="20.25" thickTop="1" thickBot="1">
      <c r="A35" s="108"/>
      <c r="B35" s="194"/>
      <c r="C35" s="223"/>
      <c r="D35" s="384" t="s">
        <v>447</v>
      </c>
      <c r="E35" s="387" t="str">
        <f ca="1">IF(OR(TRIM(D36)="-",TRIM(D37)="-"),"",VLOOKUP(MIN(C36,C37),Hřiště!$B$11:$E$75,4,0))</f>
        <v/>
      </c>
      <c r="F35" s="30"/>
      <c r="G35" s="185"/>
      <c r="H35" s="295"/>
      <c r="I35" s="185"/>
      <c r="J35" s="185"/>
      <c r="K35" s="185"/>
      <c r="L35" s="296"/>
      <c r="M35" s="185"/>
      <c r="N35" s="185"/>
      <c r="O35" s="185"/>
      <c r="P35" s="296"/>
      <c r="Q35" s="185"/>
      <c r="R35" s="185"/>
      <c r="S35" s="111">
        <v>2</v>
      </c>
      <c r="T35" s="112" t="str">
        <f ca="1">IF(OR(TRIM(P50)="-",TRIM(P51)="-"), IF(TRIM(P50)="-",P51,P50),IF(AND(Q50="",Q51="")," ",IF(N(Q50)=N(Q51)," ",IF(N(Q50)&gt;N(Q51),P50,P51))))</f>
        <v xml:space="preserve"> </v>
      </c>
      <c r="U35" s="157">
        <f ca="1">VLOOKUP(S35,Postupy!$A$3:$BP$6,68,0)</f>
        <v>0</v>
      </c>
      <c r="V35" s="184"/>
      <c r="W35" s="39">
        <v>2</v>
      </c>
      <c r="X35" s="132" t="str">
        <f ca="1">IF(AND(U34="",U35="")," ",IF(N(U35)=N(U34)," ",IF(N(U35)&gt;N(U34),T34,T35)))</f>
        <v xml:space="preserve"> </v>
      </c>
      <c r="Y35" s="131">
        <v>2</v>
      </c>
      <c r="Z35" s="17"/>
      <c r="AA35" s="17"/>
      <c r="AB35" s="17"/>
      <c r="AC35" s="17"/>
      <c r="AD35" s="17"/>
      <c r="AE35" s="17"/>
      <c r="AF35" s="17"/>
      <c r="AG35" s="17"/>
    </row>
    <row r="36" spans="1:33" ht="19.5" thickTop="1" thickBot="1">
      <c r="A36" s="117" t="str">
        <f ca="1">VLOOKUP(C36,Postupy!$A$3:$C$34,3,0)</f>
        <v>C1</v>
      </c>
      <c r="B36" s="182"/>
      <c r="C36" s="109">
        <v>3</v>
      </c>
      <c r="D36" s="343" t="str">
        <f ca="1">VLOOKUP(C36,Postupy!$A$3:$BG$34,59,0)</f>
        <v xml:space="preserve"> </v>
      </c>
      <c r="E36" s="156">
        <f ca="1">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20.25" thickTop="1" thickBot="1">
      <c r="A37" s="117" t="str">
        <f ca="1">VLOOKUP(C37,Postupy!$A$3:$C$34,3,0)</f>
        <v>AD1</v>
      </c>
      <c r="B37" s="182"/>
      <c r="C37" s="111">
        <v>30</v>
      </c>
      <c r="D37" s="343" t="str">
        <f ca="1">VLOOKUP(C37,Postupy!$A$3:$BG$34,59,0)</f>
        <v xml:space="preserve"> </v>
      </c>
      <c r="E37" s="157">
        <f ca="1">VLOOKUP(C37,Postupy!$A$3:$BH$34,60,0)</f>
        <v>0</v>
      </c>
      <c r="F37" s="213"/>
      <c r="G37" s="187"/>
      <c r="H37" s="384" t="s">
        <v>447</v>
      </c>
      <c r="I37" s="387" t="str">
        <f ca="1">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75" thickBot="1">
      <c r="A38" s="108"/>
      <c r="B38" s="190"/>
      <c r="C38" s="190">
        <f>C36+C37</f>
        <v>33</v>
      </c>
      <c r="D38" s="191"/>
      <c r="E38" s="23"/>
      <c r="F38" s="192"/>
      <c r="G38" s="109">
        <v>3</v>
      </c>
      <c r="H38" s="110" t="str">
        <f ca="1">IF(OR(TRIM(D36)="-",TRIM(D37)="-"), IF(TRIM(D36)="-",D37,D36),IF(AND(E36="",E37="")," ",IF(N(E36)=N(E37)," ",IF(N(E36)&gt;N(E37),D36,D37))))</f>
        <v xml:space="preserve"> </v>
      </c>
      <c r="I38" s="156">
        <f ca="1">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20.25" thickTop="1" thickBot="1">
      <c r="A39" s="105"/>
      <c r="B39" s="194"/>
      <c r="C39" s="195"/>
      <c r="D39" s="384" t="s">
        <v>447</v>
      </c>
      <c r="E39" s="387" t="str">
        <f ca="1">IF(OR(TRIM(D40)="-",TRIM(D41)="-"),"",VLOOKUP(MIN(C40,C41),Hřiště!$B$11:$E$75,4,0))</f>
        <v/>
      </c>
      <c r="F39" s="192"/>
      <c r="G39" s="111">
        <v>14</v>
      </c>
      <c r="H39" s="112" t="str">
        <f ca="1">IF(OR(TRIM(D40)="-",TRIM(D41)="-"), IF(TRIM(D40)="-",D41,D40),IF(AND(E40="",E41="")," ",IF(N(E40)=N(E41)," ",IF(N(E40)&gt;N(E41),D40,D41))))</f>
        <v xml:space="preserve"> </v>
      </c>
      <c r="I39" s="157">
        <f ca="1">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9.5" thickTop="1" thickBot="1">
      <c r="A40" s="117" t="str">
        <f ca="1">VLOOKUP(C40,Postupy!$A$3:$C$34,3,0)</f>
        <v>S1</v>
      </c>
      <c r="B40" s="182"/>
      <c r="C40" s="109">
        <v>19</v>
      </c>
      <c r="D40" s="343" t="str">
        <f ca="1">VLOOKUP(C40,Postupy!$A$3:$BG$34,59,0)</f>
        <v xml:space="preserve"> </v>
      </c>
      <c r="E40" s="156">
        <f ca="1">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20.25" thickTop="1" thickBot="1">
      <c r="A41" s="117" t="str">
        <f ca="1">VLOOKUP(C41,Postupy!$A$3:$C$34,3,0)</f>
        <v>N1</v>
      </c>
      <c r="B41" s="182"/>
      <c r="C41" s="111">
        <v>14</v>
      </c>
      <c r="D41" s="343" t="str">
        <f ca="1">VLOOKUP(C41,Postupy!$A$3:$BG$34,59,0)</f>
        <v xml:space="preserve"> </v>
      </c>
      <c r="E41" s="157">
        <f ca="1">VLOOKUP(C41,Postupy!$A$3:$BH$34,60,0)</f>
        <v>0</v>
      </c>
      <c r="F41" s="185"/>
      <c r="G41" s="184"/>
      <c r="H41" s="201"/>
      <c r="I41" s="193"/>
      <c r="J41" s="193"/>
      <c r="K41" s="187"/>
      <c r="L41" s="384" t="s">
        <v>447</v>
      </c>
      <c r="M41" s="387" t="str">
        <f ca="1">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75" thickBot="1">
      <c r="A42" s="108"/>
      <c r="B42" s="190"/>
      <c r="C42" s="190">
        <f>C40+C41</f>
        <v>33</v>
      </c>
      <c r="D42" s="191"/>
      <c r="E42" s="23"/>
      <c r="F42" s="199">
        <f>C38+C42</f>
        <v>66</v>
      </c>
      <c r="G42" s="184"/>
      <c r="H42" s="204"/>
      <c r="I42" s="184"/>
      <c r="J42" s="184"/>
      <c r="K42" s="109">
        <v>3</v>
      </c>
      <c r="L42" s="110" t="str">
        <f ca="1">IF(OR(TRIM(H38)="-",TRIM(H39)="-"), IF(TRIM(H38)="-",H39,H38),IF(AND(I38="",I39="")," ",IF(N(I38)=N(I39)," ",IF(N(I38)&gt;N(I39),H38,H39))))</f>
        <v xml:space="preserve"> </v>
      </c>
      <c r="M42" s="156">
        <f ca="1">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20.25" thickTop="1" thickBot="1">
      <c r="A43" s="105"/>
      <c r="B43" s="194"/>
      <c r="C43" s="195"/>
      <c r="D43" s="384" t="s">
        <v>447</v>
      </c>
      <c r="E43" s="387" t="str">
        <f ca="1">IF(OR(TRIM(D44)="-",TRIM(D45)="-"),"",VLOOKUP(MIN(C44,C45),Hřiště!$B$11:$E$75,4,0))</f>
        <v/>
      </c>
      <c r="F43" s="184"/>
      <c r="G43" s="184"/>
      <c r="H43" s="204"/>
      <c r="I43" s="184"/>
      <c r="J43" s="184"/>
      <c r="K43" s="111">
        <v>6</v>
      </c>
      <c r="L43" s="112" t="str">
        <f ca="1">IF(OR(TRIM(H46)="-",TRIM(H47)="-"), IF(TRIM(H46)="-",H47,H46),IF(AND(I46="",I47="")," ",IF(N(I46)=N(I47)," ",IF(N(I46)&gt;N(I47),H46,H47))))</f>
        <v xml:space="preserve"> </v>
      </c>
      <c r="M43" s="157">
        <f ca="1">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9.5" thickTop="1" thickBot="1">
      <c r="A44" s="117" t="str">
        <f ca="1">VLOOKUP(C44,Postupy!$A$3:$C$34,3,0)</f>
        <v>K1</v>
      </c>
      <c r="B44" s="182"/>
      <c r="C44" s="109">
        <v>11</v>
      </c>
      <c r="D44" s="343" t="str">
        <f ca="1">VLOOKUP(C44,Postupy!$A$3:$BG$34,59,0)</f>
        <v xml:space="preserve"> </v>
      </c>
      <c r="E44" s="156">
        <f ca="1">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20.25" thickTop="1" thickBot="1">
      <c r="A45" s="117" t="str">
        <f ca="1">VLOOKUP(C45,Postupy!$A$3:$C$34,3,0)</f>
        <v>V1</v>
      </c>
      <c r="B45" s="182"/>
      <c r="C45" s="111">
        <v>22</v>
      </c>
      <c r="D45" s="343" t="str">
        <f ca="1">VLOOKUP(C45,Postupy!$A$3:$BG$34,59,0)</f>
        <v xml:space="preserve"> </v>
      </c>
      <c r="E45" s="157">
        <f ca="1">VLOOKUP(C45,Postupy!$A$3:$BH$34,60,0)</f>
        <v>0</v>
      </c>
      <c r="F45" s="207" t="s">
        <v>119</v>
      </c>
      <c r="G45" s="187"/>
      <c r="H45" s="384" t="s">
        <v>447</v>
      </c>
      <c r="I45" s="387" t="str">
        <f ca="1">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75" thickBot="1">
      <c r="A46" s="108"/>
      <c r="B46" s="190"/>
      <c r="C46" s="190">
        <f>C44+C45</f>
        <v>33</v>
      </c>
      <c r="D46" s="191"/>
      <c r="E46" s="23"/>
      <c r="F46" s="192"/>
      <c r="G46" s="109">
        <v>11</v>
      </c>
      <c r="H46" s="110" t="str">
        <f ca="1">IF(OR(TRIM(D44)="-",TRIM(D45)="-"), IF(TRIM(D44)="-",D45,D44),IF(AND(E44="",E45="")," ",IF(N(E44)=N(E45)," ",IF(N(E44)&gt;N(E45),D44,D45))))</f>
        <v xml:space="preserve"> </v>
      </c>
      <c r="I46" s="156">
        <f ca="1">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20.25" thickTop="1" thickBot="1">
      <c r="A47" s="105"/>
      <c r="B47" s="194"/>
      <c r="C47" s="195"/>
      <c r="D47" s="384" t="s">
        <v>447</v>
      </c>
      <c r="E47" s="387" t="str">
        <f ca="1">IF(OR(TRIM(D48)="-",TRIM(D49)="-"),"",VLOOKUP(MIN(C48,C49),Hřiště!$B$11:$E$75,4,0))</f>
        <v/>
      </c>
      <c r="F47" s="203"/>
      <c r="G47" s="111">
        <v>6</v>
      </c>
      <c r="H47" s="112" t="str">
        <f ca="1">IF(OR(TRIM(D48)="-",TRIM(D49)="-"), IF(TRIM(D48)="-",D49,D48),IF(AND(E48="",E49="")," ",IF(N(E48)=N(E49)," ",IF(N(E48)&gt;N(E49),D48,D49))))</f>
        <v xml:space="preserve"> </v>
      </c>
      <c r="I47" s="157">
        <f ca="1">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9.5" thickTop="1" thickBot="1">
      <c r="A48" s="117" t="str">
        <f ca="1">VLOOKUP(C48,Postupy!$A$3:$C$34,3,0)</f>
        <v>AA1</v>
      </c>
      <c r="B48" s="182"/>
      <c r="C48" s="109">
        <v>27</v>
      </c>
      <c r="D48" s="343" t="str">
        <f ca="1">VLOOKUP(C48,Postupy!$A$3:$BG$34,59,0)</f>
        <v xml:space="preserve"> </v>
      </c>
      <c r="E48" s="156">
        <f ca="1">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20.25" thickTop="1" thickBot="1">
      <c r="A49" s="117" t="str">
        <f ca="1">VLOOKUP(C49,Postupy!$A$3:$C$34,3,0)</f>
        <v>F1</v>
      </c>
      <c r="B49" s="182"/>
      <c r="C49" s="111">
        <v>6</v>
      </c>
      <c r="D49" s="343" t="str">
        <f ca="1">VLOOKUP(C49,Postupy!$A$3:$BG$34,59,0)</f>
        <v xml:space="preserve"> </v>
      </c>
      <c r="E49" s="157">
        <f ca="1">VLOOKUP(C49,Postupy!$A$3:$BH$34,60,0)</f>
        <v>0</v>
      </c>
      <c r="F49" s="209"/>
      <c r="G49" s="184"/>
      <c r="H49" s="201"/>
      <c r="I49" s="184"/>
      <c r="J49" s="184"/>
      <c r="K49" s="184"/>
      <c r="L49" s="210"/>
      <c r="M49" s="193"/>
      <c r="N49" s="193"/>
      <c r="O49" s="196"/>
      <c r="P49" s="384" t="s">
        <v>447</v>
      </c>
      <c r="Q49" s="387" t="str">
        <f ca="1">IF(OR(TRIM(P50)="-",TRIM(P51)="-"),"",VLOOKUP(MIN(O50,O51),Hřiště!$B$11:$E$75,4,0))</f>
        <v/>
      </c>
      <c r="R49" s="193"/>
      <c r="S49" s="196"/>
      <c r="T49" s="50"/>
      <c r="U49" s="50"/>
      <c r="V49" s="184"/>
      <c r="W49" s="184"/>
      <c r="X49" s="17"/>
      <c r="Y49" s="17"/>
      <c r="Z49" s="17"/>
      <c r="AA49" s="17"/>
      <c r="AB49" s="17"/>
      <c r="AC49" s="17"/>
      <c r="AD49" s="17"/>
      <c r="AE49" s="17"/>
      <c r="AF49" s="17"/>
      <c r="AG49" s="17"/>
    </row>
    <row r="50" spans="1:33" ht="18.75" thickBot="1">
      <c r="A50" s="108"/>
      <c r="B50" s="190"/>
      <c r="C50" s="190">
        <f>C48+C49</f>
        <v>33</v>
      </c>
      <c r="D50" s="191"/>
      <c r="E50" s="23"/>
      <c r="F50" s="199">
        <f>C46+C50</f>
        <v>66</v>
      </c>
      <c r="G50" s="184"/>
      <c r="H50" s="204"/>
      <c r="I50" s="184"/>
      <c r="J50" s="184"/>
      <c r="K50" s="184"/>
      <c r="L50" s="211"/>
      <c r="M50" s="193"/>
      <c r="N50" s="193"/>
      <c r="O50" s="109">
        <v>3</v>
      </c>
      <c r="P50" s="110" t="str">
        <f ca="1">IF(OR(TRIM(L42)="-",TRIM(L43)="-"), IF(TRIM(L42)="-",L43,L42),IF(AND(M42="",M43="")," ",IF(N(M42)=N(M43)," ",IF(N(M42)&gt;N(M43),L42,L43))))</f>
        <v xml:space="preserve"> </v>
      </c>
      <c r="Q50" s="156">
        <f ca="1">VLOOKUP(O50,Postupy!$A$3:$BN$6,66,0)</f>
        <v>0</v>
      </c>
      <c r="R50" s="198"/>
      <c r="S50" s="196"/>
      <c r="T50" s="50"/>
      <c r="U50" s="50"/>
      <c r="V50" s="184"/>
      <c r="W50" s="184"/>
      <c r="X50" s="17"/>
      <c r="Y50" s="17"/>
      <c r="Z50" s="17"/>
      <c r="AA50" s="17"/>
      <c r="AB50" s="17"/>
      <c r="AC50" s="17"/>
      <c r="AD50" s="17"/>
      <c r="AE50" s="17"/>
      <c r="AF50" s="17"/>
      <c r="AG50" s="17"/>
    </row>
    <row r="51" spans="1:33" ht="20.25" thickTop="1" thickBot="1">
      <c r="A51" s="105"/>
      <c r="B51" s="194"/>
      <c r="C51" s="195"/>
      <c r="D51" s="384" t="s">
        <v>447</v>
      </c>
      <c r="E51" s="387" t="str">
        <f ca="1">IF(OR(TRIM(D52)="-",TRIM(D53)="-"),"",VLOOKUP(MIN(C52,C53),Hřiště!$B$11:$E$75,4,0))</f>
        <v/>
      </c>
      <c r="F51" s="184"/>
      <c r="G51" s="184"/>
      <c r="H51" s="204"/>
      <c r="I51" s="184"/>
      <c r="J51" s="184"/>
      <c r="K51" s="184"/>
      <c r="L51" s="211"/>
      <c r="M51" s="193"/>
      <c r="N51" s="193"/>
      <c r="O51" s="111">
        <v>2</v>
      </c>
      <c r="P51" s="112" t="str">
        <f ca="1">IF(OR(TRIM(L58)="-",TRIM(L59)="-"),IF(TRIM(L58)="-",L59,L58),IF(AND(M58="",M59="")," ",IF(N(M58)=N(M59)," ",IF(N(M58)&gt;N(M59),L58,L59))))</f>
        <v xml:space="preserve"> </v>
      </c>
      <c r="Q51" s="157">
        <f ca="1">VLOOKUP(O51,Postupy!$A$3:$BN$6,66,0)</f>
        <v>0</v>
      </c>
      <c r="R51" s="184"/>
      <c r="S51" s="184"/>
      <c r="T51" s="50"/>
      <c r="U51" s="184"/>
      <c r="V51" s="184"/>
      <c r="W51" s="193"/>
      <c r="X51" s="17"/>
      <c r="Y51" s="17"/>
      <c r="Z51" s="17"/>
      <c r="AA51" s="17"/>
      <c r="AB51" s="17"/>
      <c r="AC51" s="17"/>
      <c r="AD51" s="17"/>
      <c r="AE51" s="17"/>
      <c r="AF51" s="17"/>
      <c r="AG51" s="17"/>
    </row>
    <row r="52" spans="1:33" ht="19.5" thickTop="1" thickBot="1">
      <c r="A52" s="117" t="str">
        <f ca="1">VLOOKUP(C52,Postupy!$A$3:$C$34,3,0)</f>
        <v>G1</v>
      </c>
      <c r="B52" s="182"/>
      <c r="C52" s="109">
        <v>7</v>
      </c>
      <c r="D52" s="343" t="str">
        <f ca="1">VLOOKUP(C52,Postupy!$A$3:$BG$34,59,0)</f>
        <v xml:space="preserve"> </v>
      </c>
      <c r="E52" s="156">
        <f ca="1">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20.25" thickTop="1" thickBot="1">
      <c r="A53" s="117" t="str">
        <f ca="1">VLOOKUP(C53,Postupy!$A$3:$C$34,3,0)</f>
        <v>Z1</v>
      </c>
      <c r="B53" s="182"/>
      <c r="C53" s="111">
        <v>26</v>
      </c>
      <c r="D53" s="343" t="str">
        <f ca="1">VLOOKUP(C53,Postupy!$A$3:$BG$34,59,0)</f>
        <v xml:space="preserve"> </v>
      </c>
      <c r="E53" s="157">
        <f ca="1">VLOOKUP(C53,Postupy!$A$3:$BH$34,60,0)</f>
        <v>0</v>
      </c>
      <c r="F53" s="213"/>
      <c r="G53" s="187"/>
      <c r="H53" s="384" t="s">
        <v>447</v>
      </c>
      <c r="I53" s="387" t="str">
        <f ca="1">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75" thickBot="1">
      <c r="A54" s="108"/>
      <c r="B54" s="190"/>
      <c r="C54" s="190">
        <f>C52+C53</f>
        <v>33</v>
      </c>
      <c r="D54" s="191"/>
      <c r="E54" s="23"/>
      <c r="F54" s="192"/>
      <c r="G54" s="109">
        <v>7</v>
      </c>
      <c r="H54" s="110" t="str">
        <f ca="1">IF(OR(TRIM(D52)="-",TRIM(D53)="-"), IF(TRIM(D52)="-",D53,D52),IF(AND(E52="",E53="")," ",IF(N(E52)=N(E53)," ",IF(N(E52)&gt;N(E53),D52,D53))))</f>
        <v xml:space="preserve"> </v>
      </c>
      <c r="I54" s="156">
        <f ca="1">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20.25" thickTop="1" thickBot="1">
      <c r="A55" s="105"/>
      <c r="B55" s="194"/>
      <c r="C55" s="195"/>
      <c r="D55" s="384" t="s">
        <v>447</v>
      </c>
      <c r="E55" s="387" t="str">
        <f ca="1">IF(OR(TRIM(D56)="-",TRIM(D57)="-"),"",VLOOKUP(MIN(C56,C57),Hřiště!$B$11:$E$75,4,0))</f>
        <v/>
      </c>
      <c r="F55" s="192"/>
      <c r="G55" s="111">
        <v>10</v>
      </c>
      <c r="H55" s="112" t="str">
        <f ca="1">IF(OR(TRIM(D56)="-",TRIM(D57)="-"), IF(TRIM(D56)="-",D57,D56),IF(AND(E56="",E57="")," ",IF(N(E56)=N(E57)," ",IF(N(E56)&gt;N(E57),D56,D57))))</f>
        <v xml:space="preserve"> </v>
      </c>
      <c r="I55" s="157">
        <f ca="1">VLOOKUP(G55,Postupy!$A$3:$BJ$18,62,0)</f>
        <v>0</v>
      </c>
      <c r="J55" s="186"/>
      <c r="K55" s="196"/>
      <c r="L55" s="211"/>
      <c r="M55" s="193"/>
      <c r="N55" s="192"/>
      <c r="O55" s="50"/>
      <c r="P55" s="189"/>
      <c r="Q55" s="50"/>
      <c r="R55" s="184"/>
      <c r="S55" s="184"/>
      <c r="T55" s="384" t="s">
        <v>447</v>
      </c>
      <c r="U55" s="387" t="str">
        <f ca="1">IF(OR(TRIM(T56)="-",TRIM(T57)="-"),"",VLOOKUP(MIN(S56,S57),Hřiště!$B$11:$E$75,4,0))</f>
        <v/>
      </c>
      <c r="V55" s="184"/>
      <c r="W55" s="184"/>
      <c r="X55" s="17"/>
      <c r="Y55" s="17"/>
      <c r="Z55" s="17"/>
      <c r="AA55" s="17"/>
      <c r="AB55" s="17"/>
      <c r="AC55" s="17"/>
      <c r="AD55" s="17"/>
      <c r="AE55" s="17"/>
      <c r="AF55" s="17"/>
      <c r="AG55" s="17"/>
    </row>
    <row r="56" spans="1:33" ht="19.5" thickTop="1" thickBot="1">
      <c r="A56" s="117" t="str">
        <f ca="1">VLOOKUP(C56,Postupy!$A$3:$C$34,3,0)</f>
        <v>W1</v>
      </c>
      <c r="B56" s="182"/>
      <c r="C56" s="109">
        <v>23</v>
      </c>
      <c r="D56" s="343" t="str">
        <f ca="1">VLOOKUP(C56,Postupy!$A$3:$BG$34,59,0)</f>
        <v xml:space="preserve"> </v>
      </c>
      <c r="E56" s="156">
        <f ca="1">VLOOKUP(C56,Postupy!$A$3:$BH$34,60,0)</f>
        <v>0</v>
      </c>
      <c r="F56" s="198"/>
      <c r="G56" s="205"/>
      <c r="H56" s="206"/>
      <c r="I56" s="30"/>
      <c r="J56" s="193"/>
      <c r="K56" s="196"/>
      <c r="L56" s="215"/>
      <c r="M56" s="193"/>
      <c r="N56" s="192"/>
      <c r="O56" s="50"/>
      <c r="P56" s="189"/>
      <c r="Q56" s="50"/>
      <c r="R56" s="184"/>
      <c r="S56" s="109">
        <v>4</v>
      </c>
      <c r="T56" s="110" t="str">
        <f ca="1">IF(OR(TRIM(P18)="-",TRIM(P19)="-"), IF(TRIM(P18)="-",P19,P18),IF(AND(Q18="",Q19="")," ",IF(N(Q19)=N(Q18)," ",IF(N(Q19)&gt;N(Q18),P18,P19))))</f>
        <v xml:space="preserve"> </v>
      </c>
      <c r="U56" s="156">
        <f ca="1">VLOOKUP(S56,Postupy!$A$3:$BP$6,68,0)</f>
        <v>0</v>
      </c>
      <c r="V56" s="198"/>
      <c r="W56" s="39">
        <v>3</v>
      </c>
      <c r="X56" s="132" t="str">
        <f ca="1">IF(AND(U56="",U57="")," ",IF(N(U56)=N(U57)," ",IF(N(U56)=N(U57)," ",IF(N(U56)&gt;N(U57),T56,T57))))</f>
        <v xml:space="preserve"> </v>
      </c>
      <c r="Y56" s="131">
        <v>3</v>
      </c>
      <c r="Z56" s="17"/>
      <c r="AA56" s="17"/>
      <c r="AB56" s="17"/>
      <c r="AC56" s="17"/>
      <c r="AD56" s="17"/>
      <c r="AE56" s="17"/>
      <c r="AF56" s="17"/>
      <c r="AG56" s="17"/>
    </row>
    <row r="57" spans="1:33" ht="20.25" thickTop="1" thickBot="1">
      <c r="A57" s="117" t="str">
        <f ca="1">VLOOKUP(C57,Postupy!$A$3:$C$34,3,0)</f>
        <v>J1</v>
      </c>
      <c r="B57" s="182"/>
      <c r="C57" s="111">
        <v>10</v>
      </c>
      <c r="D57" s="343" t="str">
        <f ca="1">VLOOKUP(C57,Postupy!$A$3:$BG$34,59,0)</f>
        <v xml:space="preserve"> </v>
      </c>
      <c r="E57" s="157">
        <f ca="1">VLOOKUP(C57,Postupy!$A$3:$BH$34,60,0)</f>
        <v>0</v>
      </c>
      <c r="F57" s="185"/>
      <c r="G57" s="184"/>
      <c r="H57" s="201"/>
      <c r="I57" s="184"/>
      <c r="J57" s="193"/>
      <c r="K57" s="187"/>
      <c r="L57" s="384" t="s">
        <v>447</v>
      </c>
      <c r="M57" s="387" t="str">
        <f ca="1">IF(OR(TRIM(L58)="-",TRIM(L59)="-"),"",VLOOKUP(MIN(K58,K59),Hřiště!$B$11:$E$75,4,0))</f>
        <v/>
      </c>
      <c r="N57" s="216"/>
      <c r="O57" s="50"/>
      <c r="P57" s="189"/>
      <c r="Q57" s="50"/>
      <c r="R57" s="184"/>
      <c r="S57" s="111">
        <v>3</v>
      </c>
      <c r="T57" s="112" t="str">
        <f ca="1">IF(OR(TRIM(P50)="-",TRIM(P51)="-"), IF(TRIM(P50)="-",P51,P50),IF(AND(Q50="",Q51="")," ",IF(N(Q51)=N(Q50)," ",IF(N(Q51)&gt;N(Q50),P50,P51))))</f>
        <v xml:space="preserve"> </v>
      </c>
      <c r="U57" s="157">
        <f ca="1">VLOOKUP(S57,Postupy!$A$3:$BP$6,68,0)</f>
        <v>0</v>
      </c>
      <c r="V57" s="186"/>
      <c r="W57" s="39">
        <v>4</v>
      </c>
      <c r="X57" s="132" t="str">
        <f ca="1">IF(AND(U56="",U57="")," ",IF(N(U57)&gt;N(U56),T56,T57))</f>
        <v xml:space="preserve"> </v>
      </c>
      <c r="Y57" s="131">
        <v>4</v>
      </c>
      <c r="Z57" s="17"/>
      <c r="AA57" s="17"/>
      <c r="AB57" s="17"/>
      <c r="AC57" s="17"/>
      <c r="AD57" s="17"/>
      <c r="AE57" s="17"/>
      <c r="AF57" s="17"/>
      <c r="AG57" s="17"/>
    </row>
    <row r="58" spans="1:33" ht="18.75" thickBot="1">
      <c r="A58" s="108"/>
      <c r="B58" s="190"/>
      <c r="C58" s="190">
        <f>C56+C57</f>
        <v>33</v>
      </c>
      <c r="D58" s="191"/>
      <c r="E58" s="23"/>
      <c r="F58" s="199">
        <f>C54+C58</f>
        <v>66</v>
      </c>
      <c r="G58" s="184"/>
      <c r="H58" s="204"/>
      <c r="I58" s="184"/>
      <c r="J58" s="184"/>
      <c r="K58" s="109">
        <v>7</v>
      </c>
      <c r="L58" s="110" t="str">
        <f ca="1">IF(OR(TRIM(H54)="-",TRIM(H55)="-"), IF(TRIM(H54)="-",H55,H54),IF(AND(I54="",I55="")," ",IF(N(I54)=N(I55)," ",IF(N(I54)&gt;N(I55),H54,H55))))</f>
        <v xml:space="preserve"> </v>
      </c>
      <c r="M58" s="156">
        <f ca="1">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20.25" thickTop="1" thickBot="1">
      <c r="A59" s="105"/>
      <c r="B59" s="194"/>
      <c r="C59" s="195"/>
      <c r="D59" s="384" t="s">
        <v>447</v>
      </c>
      <c r="E59" s="387" t="str">
        <f ca="1">IF(OR(TRIM(D60)="-",TRIM(D61)="-"),"",VLOOKUP(MIN(C60,C61),Hřiště!$B$11:$E$75,4,0))</f>
        <v/>
      </c>
      <c r="F59" s="184"/>
      <c r="G59" s="184"/>
      <c r="H59" s="204"/>
      <c r="I59" s="184"/>
      <c r="J59" s="184"/>
      <c r="K59" s="111">
        <v>2</v>
      </c>
      <c r="L59" s="112" t="str">
        <f ca="1">IF(OR(TRIM(H62)="-",TRIM(H63)="-"), IF(TRIM(H62)="-",H63,H62),IF(AND(I62="",I63="")," ",IF(N(I62)=N(I63)," ",IF(N(I62)&gt;N(I63),H62,H63))))</f>
        <v xml:space="preserve"> </v>
      </c>
      <c r="M59" s="157">
        <f ca="1">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9.5" thickTop="1" thickBot="1">
      <c r="A60" s="117" t="str">
        <f ca="1">VLOOKUP(C60,Postupy!$A$3:$C$34,3,0)</f>
        <v>O1</v>
      </c>
      <c r="B60" s="182"/>
      <c r="C60" s="109">
        <v>15</v>
      </c>
      <c r="D60" s="343" t="str">
        <f ca="1">VLOOKUP(C60,Postupy!$A$3:$BG$34,59,0)</f>
        <v xml:space="preserve"> </v>
      </c>
      <c r="E60" s="156">
        <f ca="1">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20.25" thickTop="1" thickBot="1">
      <c r="A61" s="117" t="str">
        <f ca="1">VLOOKUP(C61,Postupy!$A$3:$C$34,3,0)</f>
        <v>R1</v>
      </c>
      <c r="B61" s="182"/>
      <c r="C61" s="111">
        <v>18</v>
      </c>
      <c r="D61" s="343" t="str">
        <f ca="1">VLOOKUP(C61,Postupy!$A$3:$BG$34,59,0)</f>
        <v xml:space="preserve"> </v>
      </c>
      <c r="E61" s="157">
        <f ca="1">VLOOKUP(C61,Postupy!$A$3:$BH$34,60,0)</f>
        <v>0</v>
      </c>
      <c r="F61" s="207" t="s">
        <v>119</v>
      </c>
      <c r="G61" s="187"/>
      <c r="H61" s="384" t="s">
        <v>447</v>
      </c>
      <c r="I61" s="387" t="str">
        <f ca="1">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75" thickBot="1">
      <c r="A62" s="108"/>
      <c r="B62" s="190"/>
      <c r="C62" s="190">
        <f>C60+C61</f>
        <v>33</v>
      </c>
      <c r="D62" s="191"/>
      <c r="E62" s="23"/>
      <c r="F62" s="23"/>
      <c r="G62" s="109">
        <v>15</v>
      </c>
      <c r="H62" s="110" t="str">
        <f ca="1">IF(OR(TRIM(D60)="-",TRIM(D61)="-"), IF(TRIM(D60)="-",D61,D60),IF(AND(E60="",E61="")," ",IF(N(E60)=N(E61)," ",IF(N(E60)&gt;N(E61),D60,D61))))</f>
        <v xml:space="preserve"> </v>
      </c>
      <c r="I62" s="156">
        <f ca="1">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20.25" thickTop="1" thickBot="1">
      <c r="A63" s="105"/>
      <c r="B63" s="194"/>
      <c r="C63" s="195"/>
      <c r="D63" s="384" t="s">
        <v>447</v>
      </c>
      <c r="E63" s="387" t="str">
        <f ca="1">IF(OR(TRIM(D64)="-",TRIM(D65)="-"),"",VLOOKUP(MIN(C64,C65),Hřiště!$B$11:$E$75,4,0))</f>
        <v/>
      </c>
      <c r="F63" s="203"/>
      <c r="G63" s="111">
        <v>2</v>
      </c>
      <c r="H63" s="112" t="str">
        <f ca="1">IF(OR(TRIM(D64)="-",TRIM(D65)="-"), IF(TRIM(D64)="-",D65,D64),IF(AND(E64="",E65="")," ",IF(N(E64)=N(E65)," ",IF(N(E64)&gt;N(E65),D64,D65))))</f>
        <v xml:space="preserve"> </v>
      </c>
      <c r="I63" s="157">
        <f ca="1">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9.5" thickTop="1" thickBot="1">
      <c r="A64" s="117" t="str">
        <f ca="1">VLOOKUP(C64,Postupy!$A$3:$C$34,3,0)</f>
        <v>AE1</v>
      </c>
      <c r="B64" s="182"/>
      <c r="C64" s="109">
        <v>31</v>
      </c>
      <c r="D64" s="343" t="str">
        <f ca="1">VLOOKUP(C64,Postupy!$A$3:$BG$34,59,0)</f>
        <v xml:space="preserve"> </v>
      </c>
      <c r="E64" s="156">
        <f ca="1">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9.5" thickTop="1" thickBot="1">
      <c r="A65" s="117" t="str">
        <f ca="1">VLOOKUP(C65,Postupy!$A$3:$C$34,3,0)</f>
        <v>B1</v>
      </c>
      <c r="B65" s="182"/>
      <c r="C65" s="111">
        <v>2</v>
      </c>
      <c r="D65" s="343" t="str">
        <f ca="1">VLOOKUP(C65,Postupy!$A$3:$BG$34,59,0)</f>
        <v xml:space="preserve"> </v>
      </c>
      <c r="E65" s="157">
        <f ca="1">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8">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legacyDrawing r:id="rId2"/>
</worksheet>
</file>

<file path=xl/worksheets/sheet19.xml><?xml version="1.0" encoding="utf-8"?>
<worksheet xmlns="http://schemas.openxmlformats.org/spreadsheetml/2006/main" xmlns:r="http://schemas.openxmlformats.org/officeDocument/2006/relationships">
  <sheetPr codeName="List54">
    <pageSetUpPr fitToPage="1"/>
  </sheetPr>
  <dimension ref="A1:AD51"/>
  <sheetViews>
    <sheetView workbookViewId="0">
      <pane xSplit="4" ySplit="3" topLeftCell="E4" activePane="bottomRight" state="frozen"/>
      <selection pane="topRight"/>
      <selection pane="bottomLeft"/>
      <selection pane="bottomRight" activeCell="A8" sqref="A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8.9" customHeight="1" thickBot="1">
      <c r="A3" s="17"/>
      <c r="B3" s="33"/>
      <c r="C3" s="348"/>
      <c r="D3" s="384" t="s">
        <v>447</v>
      </c>
      <c r="E3" s="387" t="str">
        <f ca="1">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 ca="1">VLOOKUP(C4,Postupy!$A$3:$C$18,3,0)</f>
        <v>A1</v>
      </c>
      <c r="B4" s="17"/>
      <c r="C4" s="109">
        <v>1</v>
      </c>
      <c r="D4" s="343" t="str">
        <f ca="1">VLOOKUP(C4,Postupy!$A$3:$AT$18,46,0)</f>
        <v xml:space="preserve"> </v>
      </c>
      <c r="E4" s="156">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 ca="1">VLOOKUP(C5,Postupy!$A$3:$C$18,3,0)</f>
        <v>P1</v>
      </c>
      <c r="B5" s="17"/>
      <c r="C5" s="111">
        <v>16</v>
      </c>
      <c r="D5" s="343" t="str">
        <f ca="1">VLOOKUP(C5,Postupy!$A$3:$AT$18,46,0)</f>
        <v xml:space="preserve"> </v>
      </c>
      <c r="E5" s="157">
        <f ca="1">VLOOKUP(C5,Postupy!$A$3:$AU$18,47,0)</f>
        <v>0</v>
      </c>
      <c r="F5" s="21"/>
      <c r="G5" s="26"/>
      <c r="H5" s="384" t="s">
        <v>447</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 ca="1">IF(OR(TRIM(D4)="-",TRIM(D5)="-"), IF(TRIM(D4)="-",D5,D4),IF(AND(E4="",E5="")," ",IF(N(E4)=N(E5)," ",IF(N(E4)&gt;N(E5),D4,D5))))</f>
        <v xml:space="preserve"> </v>
      </c>
      <c r="I6" s="156">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8</v>
      </c>
      <c r="H7" s="112" t="str">
        <f ca="1">IF(OR(TRIM(D8)="-",TRIM(D9)="-"), IF(TRIM(D8)="-",D9,D8),IF(AND(E8="",E9="")," ",IF(N(E8)=N(E9)," ",IF(N(E8)&gt;N(E9),D8,D9))))</f>
        <v xml:space="preserve"> </v>
      </c>
      <c r="I7" s="157">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7" t="str">
        <f ca="1">VLOOKUP(C8,Postupy!$A$3:$C$18,3,0)</f>
        <v>I1</v>
      </c>
      <c r="B8" s="17"/>
      <c r="C8" s="109">
        <v>9</v>
      </c>
      <c r="D8" s="343" t="str">
        <f ca="1">VLOOKUP(C8,Postupy!$A$3:$AT$18,46,0)</f>
        <v xml:space="preserve"> </v>
      </c>
      <c r="E8" s="156">
        <f ca="1">VLOOKUP(C8,Postupy!$A$3:$AU$18,47,0)</f>
        <v>0</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7" t="str">
        <f ca="1">VLOOKUP(C9,Postupy!$A$3:$C$18,3,0)</f>
        <v>H1</v>
      </c>
      <c r="B9" s="17"/>
      <c r="C9" s="111">
        <v>8</v>
      </c>
      <c r="D9" s="343" t="str">
        <f ca="1">VLOOKUP(C9,Postupy!$A$3:$AT$18,46,0)</f>
        <v xml:space="preserve"> </v>
      </c>
      <c r="E9" s="157">
        <f ca="1">VLOOKUP(C9,Postupy!$A$3:$AU$18,47,0)</f>
        <v>0</v>
      </c>
      <c r="F9" s="28"/>
      <c r="G9" s="17"/>
      <c r="H9" s="65"/>
      <c r="I9" s="17"/>
      <c r="J9" s="17"/>
      <c r="K9" s="26"/>
      <c r="L9" s="384" t="s">
        <v>447</v>
      </c>
      <c r="M9" s="387" t="str">
        <f ca="1">IF(OR(TRIM(L10)="-",TRIM(L11)="-"),"",VLOOKUP(MIN(K10,K11),Hřiště!$B$11:$E$75,4,0))</f>
        <v/>
      </c>
      <c r="N9" s="17"/>
      <c r="O9" s="17"/>
      <c r="P9" s="17"/>
      <c r="Q9" s="17"/>
      <c r="R9" s="17"/>
      <c r="S9" s="17"/>
      <c r="T9" s="18"/>
      <c r="U9" s="17"/>
      <c r="V9" s="17"/>
      <c r="W9" s="17"/>
      <c r="X9" s="17"/>
      <c r="Y9" s="17"/>
      <c r="Z9" s="17"/>
      <c r="AA9" s="17"/>
      <c r="AB9" s="17"/>
    </row>
    <row r="10" spans="1:30" ht="18.75" thickBot="1">
      <c r="A10" s="108"/>
      <c r="B10" s="84"/>
      <c r="C10" s="85"/>
      <c r="D10" s="64"/>
      <c r="E10" s="17"/>
      <c r="F10" s="17"/>
      <c r="G10" s="17"/>
      <c r="H10" s="66"/>
      <c r="I10" s="18"/>
      <c r="J10" s="18"/>
      <c r="K10" s="109">
        <v>1</v>
      </c>
      <c r="L10" s="110" t="str">
        <f ca="1">IF(OR(TRIM(H6)="-",TRIM(H7)="-"), IF(TRIM(H6)="-",H7,H6),IF(AND(I6="",I7="")," ",IF(N(I6)=N(I7)," ",IF(N(I6)&gt;N(I7),H6,H7))))</f>
        <v xml:space="preserve"> </v>
      </c>
      <c r="M10" s="156">
        <f ca="1">VLOOKUP(K10,Postupy!$A$3:$AY$18,51,0)</f>
        <v>0</v>
      </c>
      <c r="N10" s="18"/>
      <c r="O10" s="29"/>
      <c r="P10" s="29"/>
      <c r="Q10" s="29"/>
      <c r="R10" s="17"/>
      <c r="S10" s="18"/>
      <c r="T10" s="17"/>
      <c r="U10" s="17"/>
      <c r="V10" s="17"/>
      <c r="W10" s="17"/>
      <c r="X10" s="17"/>
      <c r="Y10" s="17"/>
      <c r="Z10" s="17"/>
      <c r="AA10" s="17"/>
    </row>
    <row r="11" spans="1:30" ht="20.25" thickTop="1" thickBot="1">
      <c r="A11" s="105"/>
      <c r="B11" s="22"/>
      <c r="C11" s="17"/>
      <c r="D11" s="384" t="s">
        <v>447</v>
      </c>
      <c r="E11" s="387" t="str">
        <f ca="1">IF(OR(TRIM(D12)="-",TRIM(D13)="-"),"",VLOOKUP(MIN(C12,C13),Hřiště!$B$11:$E$75,4,0))</f>
        <v/>
      </c>
      <c r="F11" s="17"/>
      <c r="G11" s="17"/>
      <c r="H11" s="67"/>
      <c r="I11" s="18"/>
      <c r="J11" s="18"/>
      <c r="K11" s="111">
        <v>4</v>
      </c>
      <c r="L11" s="112" t="str">
        <f ca="1">IF(OR(TRIM(H14)="-",TRIM(H15)="-"), IF(TRIM(H14)="-",H15,H14),IF(AND(I14="",I15="")," ",IF(N(I14)=N(I15)," ",IF(N(I14)&gt;N(I15),H14,H15))))</f>
        <v xml:space="preserve"> </v>
      </c>
      <c r="M11" s="157">
        <f ca="1">VLOOKUP(K11,Postupy!$A$3:$AY$18,51,0)</f>
        <v>0</v>
      </c>
      <c r="N11" s="21"/>
      <c r="O11" s="291"/>
      <c r="P11" s="19"/>
      <c r="Q11" s="17"/>
      <c r="R11" s="17"/>
      <c r="S11" s="17"/>
      <c r="T11" s="17"/>
      <c r="U11" s="17"/>
      <c r="V11" s="17"/>
      <c r="W11" s="17"/>
      <c r="X11" s="17"/>
      <c r="Y11" s="16"/>
      <c r="Z11" s="17"/>
      <c r="AA11" s="17"/>
      <c r="AB11" s="17"/>
      <c r="AC11" s="18"/>
    </row>
    <row r="12" spans="1:30" ht="19.5" thickTop="1" thickBot="1">
      <c r="A12" s="117" t="str">
        <f ca="1">VLOOKUP(C12,Postupy!$A$3:$C$18,3,0)</f>
        <v>E1</v>
      </c>
      <c r="B12" s="17"/>
      <c r="C12" s="109">
        <v>5</v>
      </c>
      <c r="D12" s="343" t="str">
        <f ca="1">VLOOKUP(C12,Postupy!$A$3:$AT$18,46,0)</f>
        <v xml:space="preserve"> </v>
      </c>
      <c r="E12" s="156">
        <f ca="1">VLOOKUP(C12,Postupy!$A$3:$AU$18,47,0)</f>
        <v>0</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20.25" thickTop="1" thickBot="1">
      <c r="A13" s="117" t="str">
        <f ca="1">VLOOKUP(C13,Postupy!$A$3:$C$18,3,0)</f>
        <v>L1</v>
      </c>
      <c r="B13" s="17"/>
      <c r="C13" s="111">
        <v>12</v>
      </c>
      <c r="D13" s="343" t="str">
        <f ca="1">VLOOKUP(C13,Postupy!$A$3:$AT$18,46,0)</f>
        <v xml:space="preserve"> </v>
      </c>
      <c r="E13" s="157">
        <f ca="1">VLOOKUP(C13,Postupy!$A$3:$AU$18,47,0)</f>
        <v>0</v>
      </c>
      <c r="F13" s="21"/>
      <c r="G13" s="26"/>
      <c r="H13" s="384" t="s">
        <v>447</v>
      </c>
      <c r="I13" s="387" t="str">
        <f ca="1">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9.5" thickTop="1" thickBot="1">
      <c r="A14" s="108"/>
      <c r="B14" s="22"/>
      <c r="C14" s="17"/>
      <c r="D14" s="65"/>
      <c r="E14" s="17"/>
      <c r="F14" s="17"/>
      <c r="G14" s="109">
        <v>5</v>
      </c>
      <c r="H14" s="110" t="str">
        <f ca="1">IF(OR(TRIM(D12)="-",TRIM(D13)="-"), IF(TRIM(D12)="-",D13,D12),IF(AND(E12="",E13="")," ",IF(N(E12)=N(E13)," ",IF(N(E12)&gt;N(E13),D12,D13))))</f>
        <v xml:space="preserve"> </v>
      </c>
      <c r="I14" s="156">
        <f ca="1">VLOOKUP(G14,Postupy!$A$3:$AW$18,49,0)</f>
        <v>0</v>
      </c>
      <c r="J14" s="27"/>
      <c r="K14" s="17"/>
      <c r="L14" s="67"/>
      <c r="M14" s="18"/>
      <c r="N14" s="18"/>
      <c r="O14" s="291"/>
      <c r="P14" s="19"/>
      <c r="Q14" s="17"/>
      <c r="R14" s="17"/>
      <c r="S14" s="17"/>
      <c r="T14" s="17"/>
      <c r="U14" s="18"/>
      <c r="V14" s="17"/>
      <c r="W14" s="17"/>
      <c r="X14" s="17"/>
      <c r="Y14" s="18"/>
      <c r="Z14" s="17"/>
      <c r="AA14" s="17"/>
    </row>
    <row r="15" spans="1:30" ht="20.25" thickTop="1" thickBot="1">
      <c r="A15" s="105"/>
      <c r="B15" s="33"/>
      <c r="C15" s="17"/>
      <c r="D15" s="384" t="s">
        <v>447</v>
      </c>
      <c r="E15" s="387" t="str">
        <f ca="1">IF(OR(TRIM(D16)="-",TRIM(D17)="-"),"",VLOOKUP(MIN(C16,C17),Hřiště!$B$11:$E$75,4,0))</f>
        <v/>
      </c>
      <c r="F15" s="17"/>
      <c r="G15" s="111">
        <v>4</v>
      </c>
      <c r="H15" s="112" t="str">
        <f ca="1">IF(OR(TRIM(D16)="-",TRIM(D17)="-"), IF(TRIM(D16)="-",D17,D16),IF(AND(E16="",E17="")," ",IF(N(E16)=N(E17)," ",IF(N(E16)&gt;N(E17),D16,D17))))</f>
        <v xml:space="preserve"> </v>
      </c>
      <c r="I15" s="157">
        <f ca="1">VLOOKUP(G15,Postupy!$A$3:$AW$18,49,0)</f>
        <v>0</v>
      </c>
      <c r="J15" s="28"/>
      <c r="K15" s="17"/>
      <c r="L15" s="67"/>
      <c r="M15" s="18"/>
      <c r="N15" s="18"/>
      <c r="O15" s="291"/>
      <c r="P15" s="19"/>
      <c r="Q15" s="17"/>
      <c r="R15" s="17"/>
      <c r="S15" s="17"/>
      <c r="T15" s="17"/>
      <c r="U15" s="18"/>
      <c r="V15" s="17"/>
      <c r="W15" s="17"/>
      <c r="X15" s="17"/>
      <c r="Y15" s="18"/>
      <c r="Z15" s="17"/>
      <c r="AA15" s="17"/>
    </row>
    <row r="16" spans="1:30" ht="20.25" thickTop="1" thickBot="1">
      <c r="A16" s="117" t="str">
        <f ca="1">VLOOKUP(C16,Postupy!$A$3:$C$18,3,0)</f>
        <v>M1</v>
      </c>
      <c r="B16" s="17"/>
      <c r="C16" s="109">
        <v>13</v>
      </c>
      <c r="D16" s="343" t="str">
        <f ca="1">VLOOKUP(C16,Postupy!$A$3:$AT$18,46,0)</f>
        <v xml:space="preserve"> </v>
      </c>
      <c r="E16" s="156">
        <f ca="1">VLOOKUP(C16,Postupy!$A$3:$AU$18,47,0)</f>
        <v>0</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20.25" thickTop="1" thickBot="1">
      <c r="A17" s="117" t="str">
        <f ca="1">VLOOKUP(C17,Postupy!$A$3:$C$18,3,0)</f>
        <v>D1</v>
      </c>
      <c r="B17" s="17"/>
      <c r="C17" s="111">
        <v>4</v>
      </c>
      <c r="D17" s="343" t="str">
        <f ca="1">VLOOKUP(C17,Postupy!$A$3:$AT$18,46,0)</f>
        <v xml:space="preserve"> </v>
      </c>
      <c r="E17" s="157">
        <f ca="1">VLOOKUP(C17,Postupy!$A$3:$AU$18,47,0)</f>
        <v>0</v>
      </c>
      <c r="F17" s="28"/>
      <c r="G17" s="17"/>
      <c r="H17" s="65"/>
      <c r="I17" s="17"/>
      <c r="J17" s="17"/>
      <c r="K17" s="17"/>
      <c r="L17" s="67"/>
      <c r="M17" s="18"/>
      <c r="N17" s="18"/>
      <c r="O17" s="293"/>
      <c r="P17" s="384" t="s">
        <v>447</v>
      </c>
      <c r="Q17" s="387" t="str">
        <f ca="1">IF(OR(TRIM(P18)="-",TRIM(P19)="-"),"",VLOOKUP(MIN(O18,O19),Hřiště!$B$11:$E$75,4,0))</f>
        <v/>
      </c>
      <c r="R17" s="17"/>
      <c r="S17" s="18"/>
      <c r="T17" s="288"/>
      <c r="U17" s="17"/>
      <c r="V17" s="17"/>
      <c r="W17" s="17"/>
      <c r="X17" s="17"/>
      <c r="Y17" s="17"/>
      <c r="Z17" s="17"/>
      <c r="AA17" s="17"/>
    </row>
    <row r="18" spans="1:29" ht="19.5" thickTop="1" thickBot="1">
      <c r="A18" s="108"/>
      <c r="B18" s="22"/>
      <c r="C18" s="17"/>
      <c r="D18" s="65"/>
      <c r="E18" s="17"/>
      <c r="F18" s="17"/>
      <c r="G18" s="17"/>
      <c r="H18" s="68"/>
      <c r="I18" s="17"/>
      <c r="J18" s="17"/>
      <c r="K18" s="17"/>
      <c r="L18" s="68"/>
      <c r="M18" s="17"/>
      <c r="N18" s="17"/>
      <c r="O18" s="109">
        <v>1</v>
      </c>
      <c r="P18" s="110" t="str">
        <f ca="1">IF(OR(TRIM(L10)="-",TRIM(L11)="-"), IF(TRIM(L10)="-",L11,L10),IF(AND(M10="",M11="")," ",IF(N(M10)=N(M11)," ",IF(N(M10)&gt;N(M11),L10,L11))))</f>
        <v xml:space="preserve"> </v>
      </c>
      <c r="Q18" s="156">
        <f ca="1">VLOOKUP(O18,Postupy!$A$3:$BA$6,53,0)</f>
        <v>0</v>
      </c>
      <c r="R18" s="27"/>
      <c r="S18" s="39">
        <v>1</v>
      </c>
      <c r="T18" s="134" t="str">
        <f ca="1">IF(AND(Q18="",Q19="")," ",IF(N(Q18)=N(Q19)," ",IF(N(Q18)&gt;N(Q19),P18,P19)))</f>
        <v xml:space="preserve"> </v>
      </c>
      <c r="U18" s="40">
        <v>1</v>
      </c>
      <c r="V18" s="17"/>
      <c r="W18" s="17"/>
      <c r="X18" s="17"/>
      <c r="Y18" s="17"/>
      <c r="Z18" s="17"/>
      <c r="AA18" s="17"/>
    </row>
    <row r="19" spans="1:29" ht="20.25" thickTop="1" thickBot="1">
      <c r="A19" s="105"/>
      <c r="B19" s="33"/>
      <c r="C19" s="17"/>
      <c r="D19" s="384" t="s">
        <v>447</v>
      </c>
      <c r="E19" s="387" t="str">
        <f ca="1">IF(OR(TRIM(D20)="-",TRIM(D21)="-"),"",VLOOKUP(MIN(C20,C21),Hřiště!$B$11:$E$75,4,0))</f>
        <v/>
      </c>
      <c r="F19" s="17"/>
      <c r="G19" s="17"/>
      <c r="H19" s="68"/>
      <c r="I19" s="17"/>
      <c r="J19" s="17"/>
      <c r="K19" s="17"/>
      <c r="L19" s="68"/>
      <c r="M19" s="17"/>
      <c r="N19" s="17"/>
      <c r="O19" s="111">
        <v>2</v>
      </c>
      <c r="P19" s="112" t="str">
        <f ca="1">IF(OR(TRIM(L26)="-",TRIM(L27)="-"),IF(TRIM(L26)="-",L27,L26),IF(AND(M26="",M27="")," ",IF(N(M26)=N(M27)," ",IF(N(M26)&gt;N(M27),L26,L27))))</f>
        <v xml:space="preserve"> </v>
      </c>
      <c r="Q19" s="157">
        <f ca="1">VLOOKUP(O19,Postupy!$A$3:$BA$6,53,0)</f>
        <v>0</v>
      </c>
      <c r="R19" s="17"/>
      <c r="S19" s="39">
        <v>2</v>
      </c>
      <c r="T19" s="132" t="str">
        <f ca="1">IF(AND(Q18="",Q19="")," ",IF(N(Q19)=N(Q18)," ",IF(N(Q19)&gt;N(Q18),P18,P19)))</f>
        <v xml:space="preserve"> </v>
      </c>
      <c r="U19" s="131">
        <v>2</v>
      </c>
      <c r="V19" s="17"/>
      <c r="W19" s="17"/>
      <c r="X19" s="17"/>
      <c r="Y19" s="17"/>
      <c r="Z19" s="17"/>
      <c r="AA19" s="17"/>
    </row>
    <row r="20" spans="1:29" ht="18.75" thickBot="1">
      <c r="A20" s="117" t="str">
        <f ca="1">VLOOKUP(C20,Postupy!$A$3:$C$18,3,0)</f>
        <v>C1</v>
      </c>
      <c r="B20" s="17"/>
      <c r="C20" s="109">
        <v>3</v>
      </c>
      <c r="D20" s="343" t="str">
        <f ca="1">VLOOKUP(C20,Postupy!$A$3:$AT$18,46,0)</f>
        <v xml:space="preserve"> </v>
      </c>
      <c r="E20" s="156">
        <f ca="1">VLOOKUP(C20,Postupy!$A$3:$AU$18,47,0)</f>
        <v>0</v>
      </c>
      <c r="F20" s="20"/>
      <c r="G20" s="17"/>
      <c r="H20" s="68"/>
      <c r="I20" s="17"/>
      <c r="J20" s="17"/>
      <c r="K20" s="17"/>
      <c r="L20" s="67"/>
      <c r="M20" s="18"/>
      <c r="N20" s="18"/>
      <c r="O20" s="26"/>
      <c r="P20" s="35"/>
      <c r="Q20" s="16"/>
      <c r="R20" s="17"/>
      <c r="S20" s="17"/>
      <c r="T20" s="17"/>
      <c r="U20" s="17"/>
      <c r="V20" s="17"/>
      <c r="W20" s="17"/>
      <c r="X20" s="17"/>
      <c r="Y20" s="17"/>
      <c r="Z20" s="17"/>
      <c r="AA20" s="17"/>
    </row>
    <row r="21" spans="1:29" ht="20.25" thickTop="1" thickBot="1">
      <c r="A21" s="117" t="str">
        <f ca="1">VLOOKUP(C21,Postupy!$A$3:$C$18,3,0)</f>
        <v>N1</v>
      </c>
      <c r="B21" s="17"/>
      <c r="C21" s="111">
        <v>14</v>
      </c>
      <c r="D21" s="343" t="str">
        <f ca="1">VLOOKUP(C21,Postupy!$A$3:$AT$18,46,0)</f>
        <v xml:space="preserve"> </v>
      </c>
      <c r="E21" s="157">
        <f ca="1">VLOOKUP(C21,Postupy!$A$3:$AU$18,47,0)</f>
        <v>0</v>
      </c>
      <c r="F21" s="21"/>
      <c r="G21" s="26"/>
      <c r="H21" s="384" t="s">
        <v>447</v>
      </c>
      <c r="I21" s="387" t="str">
        <f ca="1">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75" thickBot="1">
      <c r="A22" s="108"/>
      <c r="B22" s="22"/>
      <c r="C22" s="17"/>
      <c r="D22" s="65"/>
      <c r="E22" s="17"/>
      <c r="F22" s="17"/>
      <c r="G22" s="109">
        <v>3</v>
      </c>
      <c r="H22" s="110" t="str">
        <f ca="1">IF(OR(TRIM(D20)="-",TRIM(D21)="-"), IF(TRIM(D20)="-",D21,D20),IF(AND(E20="",E21="")," ",IF(N(E20)=N(E21)," ",IF(N(E20)&gt;N(E21),D20,D21))))</f>
        <v xml:space="preserve"> </v>
      </c>
      <c r="I22" s="156">
        <f ca="1">VLOOKUP(G22,Postupy!$A$3:$AW$18,49,0)</f>
        <v>0</v>
      </c>
      <c r="J22" s="20"/>
      <c r="K22" s="16"/>
      <c r="L22" s="67"/>
      <c r="M22" s="18"/>
      <c r="N22" s="18"/>
      <c r="O22" s="26"/>
      <c r="P22" s="16"/>
      <c r="Q22" s="16"/>
      <c r="R22" s="17"/>
      <c r="S22" s="17"/>
      <c r="T22" s="17"/>
      <c r="U22" s="17"/>
      <c r="V22" s="17"/>
      <c r="W22" s="17"/>
      <c r="X22" s="18"/>
      <c r="Y22" s="17"/>
      <c r="Z22" s="17"/>
    </row>
    <row r="23" spans="1:29" ht="20.25" thickTop="1" thickBot="1">
      <c r="A23" s="105"/>
      <c r="B23" s="33"/>
      <c r="C23" s="17"/>
      <c r="D23" s="384" t="s">
        <v>447</v>
      </c>
      <c r="E23" s="387" t="str">
        <f ca="1">IF(OR(TRIM(D24)="-",TRIM(D25)="-"),"",VLOOKUP(MIN(C24,C25),Hřiště!$B$11:$E$75,4,0))</f>
        <v/>
      </c>
      <c r="F23" s="17"/>
      <c r="G23" s="111">
        <v>6</v>
      </c>
      <c r="H23" s="112" t="str">
        <f ca="1">IF(OR(TRIM(D24)="-",TRIM(D25)="-"), IF(TRIM(D24)="-",D25,D24),IF(AND(E24="",E25="")," ",IF(N(E24)=N(E25)," ",IF(N(E24)&gt;N(E25),D24,D25))))</f>
        <v xml:space="preserve"> </v>
      </c>
      <c r="I23" s="157">
        <f ca="1">VLOOKUP(G23,Postupy!$A$3:$AW$18,49,0)</f>
        <v>0</v>
      </c>
      <c r="J23" s="21"/>
      <c r="K23" s="26"/>
      <c r="L23" s="67"/>
      <c r="M23" s="18"/>
      <c r="N23" s="18"/>
      <c r="O23" s="26"/>
      <c r="P23" s="16"/>
      <c r="Q23" s="16"/>
      <c r="R23" s="17"/>
      <c r="S23" s="17"/>
      <c r="T23" s="17"/>
      <c r="U23" s="18"/>
      <c r="V23" s="17"/>
      <c r="W23" s="17"/>
      <c r="X23" s="18"/>
      <c r="Y23" s="17"/>
      <c r="Z23" s="17"/>
      <c r="AA23" s="18"/>
      <c r="AB23" s="17"/>
      <c r="AC23" s="17"/>
    </row>
    <row r="24" spans="1:29" ht="18.75" thickBot="1">
      <c r="A24" s="117" t="str">
        <f ca="1">VLOOKUP(C24,Postupy!$A$3:$C$18,3,0)</f>
        <v>K1</v>
      </c>
      <c r="B24" s="17"/>
      <c r="C24" s="109">
        <v>11</v>
      </c>
      <c r="D24" s="343" t="str">
        <f ca="1">VLOOKUP(C24,Postupy!$A$3:$AT$18,46,0)</f>
        <v xml:space="preserve"> </v>
      </c>
      <c r="E24" s="156">
        <f ca="1">VLOOKUP(C24,Postupy!$A$3:$AU$18,47,0)</f>
        <v>0</v>
      </c>
      <c r="F24" s="27"/>
      <c r="G24" s="26"/>
      <c r="H24" s="65"/>
      <c r="I24" s="16"/>
      <c r="J24" s="17"/>
      <c r="K24" s="26"/>
      <c r="L24" s="67"/>
      <c r="M24" s="18"/>
      <c r="N24" s="18"/>
      <c r="O24" s="26"/>
      <c r="P24" s="16"/>
      <c r="Q24" s="16"/>
      <c r="R24" s="17"/>
      <c r="S24" s="17"/>
      <c r="T24" s="17"/>
      <c r="U24" s="17"/>
      <c r="V24" s="17"/>
      <c r="W24" s="17"/>
      <c r="X24" s="17"/>
      <c r="Y24" s="17"/>
      <c r="Z24" s="17"/>
      <c r="AA24" s="17"/>
    </row>
    <row r="25" spans="1:29" ht="20.25" thickTop="1" thickBot="1">
      <c r="A25" s="117" t="str">
        <f ca="1">VLOOKUP(C25,Postupy!$A$3:$C$18,3,0)</f>
        <v>F1</v>
      </c>
      <c r="B25" s="17"/>
      <c r="C25" s="111">
        <v>6</v>
      </c>
      <c r="D25" s="343" t="str">
        <f ca="1">VLOOKUP(C25,Postupy!$A$3:$AT$18,46,0)</f>
        <v xml:space="preserve"> </v>
      </c>
      <c r="E25" s="157">
        <f ca="1">VLOOKUP(C25,Postupy!$A$3:$AU$18,47,0)</f>
        <v>0</v>
      </c>
      <c r="F25" s="28"/>
      <c r="G25" s="17"/>
      <c r="H25" s="65"/>
      <c r="I25" s="17"/>
      <c r="J25" s="17"/>
      <c r="K25" s="26"/>
      <c r="L25" s="384" t="s">
        <v>447</v>
      </c>
      <c r="M25" s="387" t="str">
        <f ca="1">IF(OR(TRIM(L26)="-",TRIM(L27)="-"),"",VLOOKUP(MIN(K26,K27),Hřiště!$B$11:$E$75,4,0))</f>
        <v/>
      </c>
      <c r="N25" s="18"/>
      <c r="O25" s="26"/>
      <c r="P25" s="16"/>
      <c r="Q25" s="16"/>
      <c r="R25" s="17"/>
      <c r="S25" s="17"/>
      <c r="T25" s="17"/>
      <c r="U25" s="17"/>
      <c r="V25" s="17"/>
      <c r="W25" s="17"/>
      <c r="X25" s="17"/>
      <c r="Y25" s="17"/>
      <c r="Z25" s="17"/>
      <c r="AA25" s="17"/>
    </row>
    <row r="26" spans="1:29" ht="18.75" thickBot="1">
      <c r="A26" s="108"/>
      <c r="B26" s="22"/>
      <c r="C26" s="17"/>
      <c r="D26" s="65"/>
      <c r="E26" s="17"/>
      <c r="F26" s="17"/>
      <c r="G26" s="17"/>
      <c r="H26" s="67"/>
      <c r="I26" s="18"/>
      <c r="J26" s="18"/>
      <c r="K26" s="109">
        <v>3</v>
      </c>
      <c r="L26" s="110" t="str">
        <f ca="1">IF(OR(TRIM(H22)="-",TRIM(H23)="-"), IF(TRIM(H22)="-",H23,H22),IF(AND(I22="",I23="")," ",IF(N(I22)=N(I23)," ",IF(N(I22)&gt;N(I23),H22,H23))))</f>
        <v xml:space="preserve"> </v>
      </c>
      <c r="M26" s="156">
        <f ca="1">VLOOKUP(K26,Postupy!$A$3:$AY$18,51,0)</f>
        <v>0</v>
      </c>
      <c r="N26" s="27"/>
      <c r="O26" s="26"/>
      <c r="P26" s="16"/>
      <c r="Q26" s="16"/>
      <c r="R26" s="17"/>
      <c r="S26" s="17"/>
      <c r="T26" s="17"/>
      <c r="U26" s="17"/>
      <c r="V26" s="17"/>
      <c r="W26" s="17"/>
      <c r="X26" s="17"/>
      <c r="Y26" s="17"/>
      <c r="Z26" s="17"/>
      <c r="AA26" s="17"/>
    </row>
    <row r="27" spans="1:29" ht="20.25" thickTop="1" thickBot="1">
      <c r="A27" s="105"/>
      <c r="B27" s="33"/>
      <c r="C27" s="17"/>
      <c r="D27" s="384" t="s">
        <v>447</v>
      </c>
      <c r="E27" s="387" t="str">
        <f ca="1">IF(OR(TRIM(D28)="-",TRIM(D29)="-"),"",VLOOKUP(MIN(C28,C29),Hřiště!$B$11:$E$75,4,0))</f>
        <v/>
      </c>
      <c r="F27" s="17"/>
      <c r="G27" s="17"/>
      <c r="H27" s="67"/>
      <c r="I27" s="18"/>
      <c r="J27" s="18"/>
      <c r="K27" s="111">
        <v>2</v>
      </c>
      <c r="L27" s="112" t="str">
        <f ca="1">IF(OR(TRIM(H30)="-",TRIM(H31)="-"), IF(TRIM(H30)="-",H31,H30),IF(AND(I30="",I31="")," ",IF(N(I30)=N(I31)," ",IF(N(I30)&gt;N(I31),H30,H31))))</f>
        <v xml:space="preserve"> </v>
      </c>
      <c r="M27" s="157">
        <f ca="1">VLOOKUP(K27,Postupy!$A$3:$AY$18,51,0)</f>
        <v>0</v>
      </c>
      <c r="N27" s="28"/>
      <c r="O27" s="17"/>
      <c r="P27" s="17"/>
      <c r="Q27" s="17"/>
      <c r="R27" s="17"/>
      <c r="S27" s="17"/>
      <c r="T27" s="17"/>
      <c r="U27" s="17"/>
      <c r="V27" s="17"/>
      <c r="W27" s="17"/>
      <c r="X27" s="17"/>
      <c r="Y27" s="17"/>
      <c r="Z27" s="17"/>
      <c r="AA27" s="17"/>
    </row>
    <row r="28" spans="1:29" ht="18.75" thickBot="1">
      <c r="A28" s="117" t="str">
        <f ca="1">VLOOKUP(C28,Postupy!$A$3:$C$18,3,0)</f>
        <v>G1</v>
      </c>
      <c r="B28" s="17"/>
      <c r="C28" s="109">
        <v>7</v>
      </c>
      <c r="D28" s="343" t="str">
        <f ca="1">VLOOKUP(C28,Postupy!$A$3:$AT$18,46,0)</f>
        <v xml:space="preserve"> </v>
      </c>
      <c r="E28" s="156">
        <f ca="1">VLOOKUP(C28,Postupy!$A$3:$AU$18,47,0)</f>
        <v>0</v>
      </c>
      <c r="F28" s="20"/>
      <c r="G28" s="17"/>
      <c r="H28" s="67"/>
      <c r="I28" s="18"/>
      <c r="J28" s="24"/>
      <c r="K28" s="16"/>
      <c r="L28" s="35"/>
      <c r="M28" s="16"/>
      <c r="N28" s="17"/>
      <c r="O28" s="17"/>
      <c r="P28" s="17"/>
      <c r="Q28" s="17"/>
      <c r="R28" s="17"/>
      <c r="S28" s="17"/>
      <c r="T28" s="17"/>
      <c r="U28" s="17"/>
      <c r="V28" s="17"/>
      <c r="W28" s="17"/>
      <c r="X28" s="17"/>
      <c r="Y28" s="17"/>
      <c r="Z28" s="17"/>
      <c r="AA28" s="17"/>
    </row>
    <row r="29" spans="1:29" ht="20.25" thickTop="1" thickBot="1">
      <c r="A29" s="117" t="str">
        <f ca="1">VLOOKUP(C29,Postupy!$A$3:$C$18,3,0)</f>
        <v>J1</v>
      </c>
      <c r="B29" s="17"/>
      <c r="C29" s="111">
        <v>10</v>
      </c>
      <c r="D29" s="343" t="str">
        <f ca="1">VLOOKUP(C29,Postupy!$A$3:$AT$18,46,0)</f>
        <v xml:space="preserve"> </v>
      </c>
      <c r="E29" s="157">
        <f ca="1">VLOOKUP(C29,Postupy!$A$3:$AU$18,47,0)</f>
        <v>0</v>
      </c>
      <c r="F29" s="21"/>
      <c r="G29" s="26"/>
      <c r="H29" s="384" t="s">
        <v>447</v>
      </c>
      <c r="I29" s="387" t="str">
        <f ca="1">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75" thickBot="1">
      <c r="A30" s="108"/>
      <c r="B30" s="22"/>
      <c r="C30" s="17"/>
      <c r="D30" s="65"/>
      <c r="E30" s="17"/>
      <c r="F30" s="17"/>
      <c r="G30" s="109">
        <v>7</v>
      </c>
      <c r="H30" s="110" t="str">
        <f ca="1">IF(OR(TRIM(D28)="-",TRIM(D29)="-"), IF(TRIM(D28)="-",D29,D28),IF(AND(E28="",E29="")," ",IF(N(E28)=N(E29)," ",IF(N(E28)&gt;N(E29),D28,D29))))</f>
        <v xml:space="preserve"> </v>
      </c>
      <c r="I30" s="156">
        <f ca="1">VLOOKUP(G30,Postupy!$A$3:$AW$18,49,0)</f>
        <v>0</v>
      </c>
      <c r="J30" s="27"/>
      <c r="K30" s="17"/>
      <c r="L30" s="35"/>
      <c r="M30" s="17"/>
      <c r="N30" s="17"/>
      <c r="O30" s="184"/>
      <c r="P30" s="246" t="s">
        <v>136</v>
      </c>
      <c r="Q30" s="184"/>
      <c r="R30" s="184"/>
      <c r="S30" s="184"/>
      <c r="T30" s="17"/>
      <c r="U30" s="17"/>
      <c r="V30" s="17"/>
      <c r="W30" s="17"/>
      <c r="X30" s="17"/>
      <c r="Y30" s="17"/>
      <c r="Z30" s="17"/>
      <c r="AA30" s="17"/>
      <c r="AB30" s="17"/>
      <c r="AC30" s="17"/>
    </row>
    <row r="31" spans="1:29" ht="20.25" thickTop="1" thickBot="1">
      <c r="A31" s="105"/>
      <c r="B31" s="33"/>
      <c r="C31" s="17"/>
      <c r="D31" s="384" t="s">
        <v>447</v>
      </c>
      <c r="E31" s="387" t="str">
        <f ca="1">IF(OR(TRIM(D32)="-",TRIM(D33)="-"),"",VLOOKUP(MIN(C32,C33),Hřiště!$B$11:$E$75,4,0))</f>
        <v/>
      </c>
      <c r="F31" s="17"/>
      <c r="G31" s="111">
        <v>2</v>
      </c>
      <c r="H31" s="112" t="str">
        <f ca="1">IF(OR(TRIM(D32)="-",TRIM(D33)="-"), IF(TRIM(D32)="-",D33,D32),IF(AND(E32="",E33="")," ",IF(N(E32)=N(E33)," ",IF(N(E32)&gt;N(E33),D32,D33))))</f>
        <v xml:space="preserve"> </v>
      </c>
      <c r="I31" s="157">
        <f ca="1">VLOOKUP(G31,Postupy!$A$3:$AW$18,49,0)</f>
        <v>0</v>
      </c>
      <c r="J31" s="28"/>
      <c r="K31" s="17"/>
      <c r="L31" s="35"/>
      <c r="M31" s="17"/>
      <c r="N31" s="17"/>
      <c r="O31" s="184"/>
      <c r="P31" s="384" t="s">
        <v>447</v>
      </c>
      <c r="Q31" s="387" t="str">
        <f ca="1">IF(OR(TRIM(P32)="-",TRIM(P33)="-"),"",VLOOKUP(MIN(O32,O33),Hřiště!$B$11:$E$75,4,0))</f>
        <v/>
      </c>
      <c r="R31" s="184"/>
      <c r="S31" s="184"/>
      <c r="T31" s="17"/>
      <c r="U31" s="17"/>
      <c r="V31" s="17"/>
      <c r="W31" s="17"/>
      <c r="X31" s="17"/>
      <c r="Y31" s="17"/>
      <c r="Z31" s="17"/>
      <c r="AA31" s="17"/>
      <c r="AB31" s="17"/>
      <c r="AC31" s="17"/>
    </row>
    <row r="32" spans="1:29" ht="19.5" thickTop="1" thickBot="1">
      <c r="A32" s="117" t="str">
        <f ca="1">VLOOKUP(C32,Postupy!$A$3:$C$18,3,0)</f>
        <v>O1</v>
      </c>
      <c r="B32" s="17"/>
      <c r="C32" s="109">
        <v>15</v>
      </c>
      <c r="D32" s="343" t="str">
        <f ca="1">VLOOKUP(C32,Postupy!$A$3:$AT$18,46,0)</f>
        <v xml:space="preserve"> </v>
      </c>
      <c r="E32" s="156">
        <f ca="1">VLOOKUP(C32,Postupy!$A$3:$AU$18,47,0)</f>
        <v>0</v>
      </c>
      <c r="F32" s="27"/>
      <c r="G32" s="26"/>
      <c r="H32" s="35"/>
      <c r="I32" s="16"/>
      <c r="J32" s="17"/>
      <c r="K32" s="17"/>
      <c r="L32" s="17"/>
      <c r="M32" s="17"/>
      <c r="N32" s="17"/>
      <c r="O32" s="109">
        <v>4</v>
      </c>
      <c r="P32" s="110" t="str">
        <f ca="1">IF(OR(TRIM(L10)="-",TRIM(L11)="-"), IF(TRIM(L10)="-",L11,L10),IF(AND(M10="",M11="")," ",IF(N(M11)=N(M10)," ",IF(N(M11)&gt;N(M10),L10,L11))))</f>
        <v xml:space="preserve"> </v>
      </c>
      <c r="Q32" s="156">
        <f ca="1">VLOOKUP(O32,Postupy!$A$3:$BA$6,53,0)</f>
        <v>0</v>
      </c>
      <c r="R32" s="198"/>
      <c r="S32" s="39">
        <v>3</v>
      </c>
      <c r="T32" s="132" t="str">
        <f ca="1">IF(AND(Q32="",Q33="")," ",IF(N(Q32)=N(Q33)," ",IF(N(Q32)&gt;N(Q33),P32,P33)))</f>
        <v xml:space="preserve"> </v>
      </c>
      <c r="U32" s="131">
        <v>3</v>
      </c>
      <c r="V32" s="17"/>
      <c r="W32" s="17"/>
      <c r="X32" s="17"/>
      <c r="Y32" s="17"/>
      <c r="Z32" s="17"/>
      <c r="AA32" s="17"/>
    </row>
    <row r="33" spans="1:27" ht="19.5" thickTop="1" thickBot="1">
      <c r="A33" s="117" t="str">
        <f ca="1">VLOOKUP(C33,Postupy!$A$3:$C$18,3,0)</f>
        <v>B1</v>
      </c>
      <c r="B33" s="17"/>
      <c r="C33" s="111">
        <v>2</v>
      </c>
      <c r="D33" s="343" t="str">
        <f ca="1">VLOOKUP(C33,Postupy!$A$3:$AT$18,46,0)</f>
        <v xml:space="preserve"> </v>
      </c>
      <c r="E33" s="157">
        <f ca="1">VLOOKUP(C33,Postupy!$A$3:$AU$18,47,0)</f>
        <v>0</v>
      </c>
      <c r="F33" s="28"/>
      <c r="G33" s="17"/>
      <c r="H33" s="35"/>
      <c r="I33" s="17"/>
      <c r="J33" s="17"/>
      <c r="K33" s="17"/>
      <c r="L33" s="17"/>
      <c r="M33" s="17"/>
      <c r="N33" s="17"/>
      <c r="O33" s="111">
        <v>3</v>
      </c>
      <c r="P33" s="112" t="str">
        <f ca="1">IF(OR(TRIM(L26)="-",TRIM(L27)="-"), IF(TRIM(L26)="-",L27,L26),IF(AND(M26="",M27="")," ",IF(N(M27)=N(M26)," ",IF(N(M27)&gt;N(M26),L26,L27))))</f>
        <v xml:space="preserve"> </v>
      </c>
      <c r="Q33" s="157">
        <f ca="1">VLOOKUP(O33,Postupy!$A$3:$BA$6,53,0)</f>
        <v>0</v>
      </c>
      <c r="R33" s="186"/>
      <c r="S33" s="39">
        <v>4</v>
      </c>
      <c r="T33" s="132" t="str">
        <f ca="1">IF(AND(Q32="",Q33="")," ",IF(N(Q33)=N(Q32)," ",IF(N(Q33)&gt;N(Q32),P32,P33)))</f>
        <v xml:space="preserve"> </v>
      </c>
      <c r="U33" s="131">
        <v>4</v>
      </c>
      <c r="V33" s="17"/>
      <c r="W33" s="17"/>
      <c r="X33" s="17"/>
      <c r="Y33" s="17"/>
      <c r="Z33" s="17"/>
      <c r="AA33" s="17"/>
    </row>
    <row r="34" spans="1:27" ht="13.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c r="A1" s="393" t="s">
        <v>462</v>
      </c>
      <c r="B1" s="394"/>
      <c r="C1" s="394"/>
      <c r="D1" s="394"/>
      <c r="E1" s="395"/>
      <c r="F1" s="490">
        <v>44082</v>
      </c>
    </row>
    <row r="2" spans="1:6" ht="13.5">
      <c r="B2" s="396"/>
      <c r="C2" s="396"/>
      <c r="D2" s="396"/>
      <c r="E2" s="396"/>
      <c r="F2" s="396"/>
    </row>
    <row r="3" spans="1:6" ht="13.5">
      <c r="A3" s="397" t="s">
        <v>463</v>
      </c>
      <c r="B3" s="397" t="s">
        <v>464</v>
      </c>
      <c r="C3" s="397" t="s">
        <v>465</v>
      </c>
      <c r="D3" s="397" t="s">
        <v>466</v>
      </c>
      <c r="E3" s="397" t="s">
        <v>467</v>
      </c>
      <c r="F3" s="397" t="s">
        <v>468</v>
      </c>
    </row>
    <row r="4" spans="1:6">
      <c r="A4">
        <v>20001</v>
      </c>
      <c r="B4" t="s">
        <v>1766</v>
      </c>
      <c r="C4" s="398" t="s">
        <v>1767</v>
      </c>
      <c r="D4" t="s">
        <v>477</v>
      </c>
      <c r="E4" t="s">
        <v>200</v>
      </c>
      <c r="F4">
        <v>3</v>
      </c>
    </row>
    <row r="5" spans="1:6">
      <c r="A5">
        <v>20002</v>
      </c>
      <c r="B5" t="s">
        <v>1768</v>
      </c>
      <c r="C5" s="398" t="s">
        <v>1769</v>
      </c>
      <c r="D5" t="s">
        <v>1770</v>
      </c>
      <c r="E5" t="s">
        <v>329</v>
      </c>
      <c r="F5">
        <v>3</v>
      </c>
    </row>
    <row r="6" spans="1:6">
      <c r="A6">
        <v>20003</v>
      </c>
      <c r="B6" t="s">
        <v>1771</v>
      </c>
      <c r="C6" s="398" t="s">
        <v>1772</v>
      </c>
      <c r="D6" t="s">
        <v>1043</v>
      </c>
      <c r="E6" t="s">
        <v>173</v>
      </c>
      <c r="F6">
        <v>2</v>
      </c>
    </row>
    <row r="7" spans="1:6">
      <c r="A7">
        <v>20072</v>
      </c>
      <c r="B7" t="s">
        <v>479</v>
      </c>
      <c r="C7" s="398" t="s">
        <v>1773</v>
      </c>
      <c r="D7" t="s">
        <v>480</v>
      </c>
      <c r="E7" t="s">
        <v>1370</v>
      </c>
      <c r="F7">
        <v>2</v>
      </c>
    </row>
    <row r="8" spans="1:6">
      <c r="A8">
        <v>20007</v>
      </c>
      <c r="B8" t="s">
        <v>1459</v>
      </c>
      <c r="C8" s="398" t="s">
        <v>1774</v>
      </c>
      <c r="F8">
        <v>0</v>
      </c>
    </row>
    <row r="9" spans="1:6">
      <c r="A9">
        <v>20012</v>
      </c>
      <c r="B9" t="s">
        <v>1775</v>
      </c>
      <c r="C9" s="398" t="s">
        <v>1776</v>
      </c>
      <c r="D9" t="s">
        <v>486</v>
      </c>
      <c r="E9" t="s">
        <v>487</v>
      </c>
      <c r="F9">
        <v>2</v>
      </c>
    </row>
    <row r="10" spans="1:6">
      <c r="A10">
        <v>20021</v>
      </c>
      <c r="B10" t="s">
        <v>482</v>
      </c>
      <c r="C10" s="398" t="s">
        <v>1776</v>
      </c>
      <c r="D10" t="s">
        <v>473</v>
      </c>
      <c r="E10" t="s">
        <v>474</v>
      </c>
      <c r="F10">
        <v>1</v>
      </c>
    </row>
    <row r="11" spans="1:6">
      <c r="A11">
        <v>20028</v>
      </c>
      <c r="B11" t="s">
        <v>1461</v>
      </c>
      <c r="C11" s="398" t="s">
        <v>1777</v>
      </c>
      <c r="F11">
        <v>0</v>
      </c>
    </row>
    <row r="12" spans="1:6">
      <c r="A12">
        <v>20062</v>
      </c>
      <c r="B12" t="s">
        <v>1778</v>
      </c>
      <c r="C12" s="398" t="s">
        <v>1777</v>
      </c>
      <c r="D12" t="s">
        <v>1779</v>
      </c>
      <c r="E12" t="s">
        <v>1467</v>
      </c>
      <c r="F12">
        <v>2</v>
      </c>
    </row>
    <row r="13" spans="1:6">
      <c r="A13">
        <v>20023</v>
      </c>
      <c r="B13" t="s">
        <v>1780</v>
      </c>
      <c r="C13" s="398" t="s">
        <v>1781</v>
      </c>
      <c r="D13" t="s">
        <v>469</v>
      </c>
      <c r="E13" t="s">
        <v>470</v>
      </c>
      <c r="F13">
        <v>3</v>
      </c>
    </row>
    <row r="14" spans="1:6">
      <c r="A14">
        <v>20077</v>
      </c>
      <c r="B14" t="s">
        <v>1782</v>
      </c>
      <c r="C14" s="398" t="s">
        <v>1781</v>
      </c>
      <c r="D14" t="s">
        <v>1783</v>
      </c>
      <c r="E14" t="s">
        <v>1488</v>
      </c>
      <c r="F14">
        <v>3</v>
      </c>
    </row>
    <row r="15" spans="1:6">
      <c r="A15">
        <v>20024</v>
      </c>
      <c r="B15" t="s">
        <v>1784</v>
      </c>
      <c r="C15" s="398" t="s">
        <v>1785</v>
      </c>
      <c r="D15" t="s">
        <v>469</v>
      </c>
      <c r="E15" t="s">
        <v>470</v>
      </c>
      <c r="F15">
        <v>3</v>
      </c>
    </row>
    <row r="16" spans="1:6">
      <c r="A16">
        <v>20053</v>
      </c>
      <c r="B16" t="s">
        <v>1374</v>
      </c>
      <c r="C16" s="398" t="s">
        <v>1786</v>
      </c>
      <c r="D16" t="s">
        <v>492</v>
      </c>
      <c r="E16" t="s">
        <v>493</v>
      </c>
      <c r="F16">
        <v>2</v>
      </c>
    </row>
    <row r="17" spans="1:6">
      <c r="A17">
        <v>20075</v>
      </c>
      <c r="B17" t="s">
        <v>1787</v>
      </c>
      <c r="C17" s="398" t="s">
        <v>1786</v>
      </c>
      <c r="D17" t="s">
        <v>1050</v>
      </c>
      <c r="E17" t="s">
        <v>483</v>
      </c>
      <c r="F17">
        <v>3</v>
      </c>
    </row>
    <row r="18" spans="1:6">
      <c r="A18">
        <v>20070</v>
      </c>
      <c r="B18" t="s">
        <v>1381</v>
      </c>
      <c r="C18" s="398" t="s">
        <v>1786</v>
      </c>
      <c r="D18" t="s">
        <v>469</v>
      </c>
      <c r="E18" t="s">
        <v>1070</v>
      </c>
      <c r="F18">
        <v>3</v>
      </c>
    </row>
    <row r="19" spans="1:6">
      <c r="A19">
        <v>20027</v>
      </c>
      <c r="B19" t="s">
        <v>1788</v>
      </c>
      <c r="C19" s="398" t="s">
        <v>1789</v>
      </c>
      <c r="D19" t="s">
        <v>1375</v>
      </c>
      <c r="E19" t="s">
        <v>688</v>
      </c>
      <c r="F19">
        <v>3</v>
      </c>
    </row>
    <row r="20" spans="1:6">
      <c r="A20">
        <v>20076</v>
      </c>
      <c r="B20" t="s">
        <v>1790</v>
      </c>
      <c r="C20" s="398" t="s">
        <v>1789</v>
      </c>
      <c r="D20" t="s">
        <v>490</v>
      </c>
      <c r="E20" t="s">
        <v>1377</v>
      </c>
      <c r="F20">
        <v>3</v>
      </c>
    </row>
    <row r="21" spans="1:6">
      <c r="A21">
        <v>20016</v>
      </c>
      <c r="B21" t="s">
        <v>1791</v>
      </c>
      <c r="C21" s="398" t="s">
        <v>1789</v>
      </c>
      <c r="D21" t="s">
        <v>477</v>
      </c>
      <c r="E21" t="s">
        <v>200</v>
      </c>
      <c r="F21">
        <v>2</v>
      </c>
    </row>
    <row r="22" spans="1:6">
      <c r="A22">
        <v>20043</v>
      </c>
      <c r="B22" t="s">
        <v>1462</v>
      </c>
      <c r="C22" s="398" t="s">
        <v>1792</v>
      </c>
      <c r="F22">
        <v>0</v>
      </c>
    </row>
    <row r="23" spans="1:6">
      <c r="A23">
        <v>20068</v>
      </c>
      <c r="B23" t="s">
        <v>1376</v>
      </c>
      <c r="C23" s="398" t="s">
        <v>1793</v>
      </c>
      <c r="D23" t="s">
        <v>486</v>
      </c>
      <c r="E23" t="s">
        <v>487</v>
      </c>
      <c r="F23">
        <v>2</v>
      </c>
    </row>
    <row r="24" spans="1:6">
      <c r="A24">
        <v>20054</v>
      </c>
      <c r="B24" t="s">
        <v>491</v>
      </c>
      <c r="C24" s="398" t="s">
        <v>1794</v>
      </c>
      <c r="D24" t="s">
        <v>492</v>
      </c>
      <c r="E24" t="s">
        <v>493</v>
      </c>
      <c r="F24">
        <v>2</v>
      </c>
    </row>
    <row r="25" spans="1:6">
      <c r="A25">
        <v>20030</v>
      </c>
      <c r="B25" t="s">
        <v>1378</v>
      </c>
      <c r="C25" s="398" t="s">
        <v>1794</v>
      </c>
      <c r="D25" t="s">
        <v>1379</v>
      </c>
      <c r="E25" t="s">
        <v>548</v>
      </c>
      <c r="F25">
        <v>3</v>
      </c>
    </row>
    <row r="26" spans="1:6">
      <c r="A26">
        <v>20031</v>
      </c>
      <c r="B26" t="s">
        <v>495</v>
      </c>
      <c r="C26" s="398" t="s">
        <v>1794</v>
      </c>
      <c r="D26" t="s">
        <v>1044</v>
      </c>
      <c r="E26" t="s">
        <v>1369</v>
      </c>
      <c r="F26">
        <v>1</v>
      </c>
    </row>
    <row r="27" spans="1:6">
      <c r="A27">
        <v>20032</v>
      </c>
      <c r="B27" t="s">
        <v>1795</v>
      </c>
      <c r="C27" s="398" t="s">
        <v>1796</v>
      </c>
      <c r="D27" t="s">
        <v>1797</v>
      </c>
      <c r="E27" t="s">
        <v>1467</v>
      </c>
      <c r="F27">
        <v>3</v>
      </c>
    </row>
    <row r="28" spans="1:6">
      <c r="A28">
        <v>20079</v>
      </c>
      <c r="B28" t="s">
        <v>1460</v>
      </c>
      <c r="C28" s="398" t="s">
        <v>1798</v>
      </c>
      <c r="D28" t="s">
        <v>1797</v>
      </c>
      <c r="E28" t="s">
        <v>1467</v>
      </c>
      <c r="F28">
        <v>2</v>
      </c>
    </row>
    <row r="29" spans="1:6">
      <c r="A29">
        <v>20069</v>
      </c>
      <c r="B29" t="s">
        <v>1799</v>
      </c>
      <c r="C29" s="398" t="s">
        <v>1800</v>
      </c>
      <c r="D29" t="s">
        <v>486</v>
      </c>
      <c r="E29" t="s">
        <v>487</v>
      </c>
      <c r="F29">
        <v>3</v>
      </c>
    </row>
    <row r="30" spans="1:6">
      <c r="A30">
        <v>20033</v>
      </c>
      <c r="B30" t="s">
        <v>1382</v>
      </c>
      <c r="C30" s="398" t="s">
        <v>1800</v>
      </c>
      <c r="D30" t="s">
        <v>490</v>
      </c>
      <c r="E30" t="s">
        <v>1377</v>
      </c>
      <c r="F30">
        <v>3</v>
      </c>
    </row>
    <row r="31" spans="1:6">
      <c r="A31">
        <v>20034</v>
      </c>
      <c r="B31" t="s">
        <v>1380</v>
      </c>
      <c r="C31" s="398" t="s">
        <v>1801</v>
      </c>
      <c r="D31" t="s">
        <v>486</v>
      </c>
      <c r="E31" t="s">
        <v>487</v>
      </c>
      <c r="F31">
        <v>2</v>
      </c>
    </row>
    <row r="32" spans="1:6">
      <c r="A32">
        <v>20073</v>
      </c>
      <c r="B32" t="s">
        <v>496</v>
      </c>
      <c r="C32" s="398" t="s">
        <v>1802</v>
      </c>
      <c r="D32" t="s">
        <v>497</v>
      </c>
      <c r="E32" t="s">
        <v>1372</v>
      </c>
      <c r="F32">
        <v>3</v>
      </c>
    </row>
    <row r="33" spans="1:6">
      <c r="A33">
        <v>20045</v>
      </c>
      <c r="B33" t="s">
        <v>1803</v>
      </c>
      <c r="C33" s="398" t="s">
        <v>1802</v>
      </c>
      <c r="D33" t="s">
        <v>471</v>
      </c>
      <c r="E33" t="s">
        <v>329</v>
      </c>
      <c r="F33">
        <v>2</v>
      </c>
    </row>
    <row r="34" spans="1:6">
      <c r="A34">
        <v>20014</v>
      </c>
      <c r="B34" t="s">
        <v>1457</v>
      </c>
      <c r="C34" s="398" t="s">
        <v>1804</v>
      </c>
      <c r="D34" t="s">
        <v>1805</v>
      </c>
      <c r="E34" t="s">
        <v>1458</v>
      </c>
      <c r="F34">
        <v>2</v>
      </c>
    </row>
    <row r="35" spans="1:6">
      <c r="A35">
        <v>20078</v>
      </c>
      <c r="B35" t="s">
        <v>1567</v>
      </c>
      <c r="C35" s="398" t="s">
        <v>1804</v>
      </c>
      <c r="D35" t="s">
        <v>1568</v>
      </c>
      <c r="E35" t="s">
        <v>1055</v>
      </c>
      <c r="F35">
        <v>3</v>
      </c>
    </row>
    <row r="36" spans="1:6">
      <c r="A36">
        <v>20037</v>
      </c>
      <c r="B36" t="s">
        <v>1569</v>
      </c>
      <c r="C36" s="398" t="s">
        <v>1804</v>
      </c>
      <c r="D36" t="s">
        <v>471</v>
      </c>
      <c r="E36" t="s">
        <v>329</v>
      </c>
      <c r="F36">
        <v>3</v>
      </c>
    </row>
    <row r="37" spans="1:6">
      <c r="A37">
        <v>20020</v>
      </c>
      <c r="B37" t="s">
        <v>1049</v>
      </c>
      <c r="C37" s="398" t="s">
        <v>1806</v>
      </c>
      <c r="D37" t="s">
        <v>1797</v>
      </c>
      <c r="E37" t="s">
        <v>1467</v>
      </c>
      <c r="F37">
        <v>3</v>
      </c>
    </row>
    <row r="38" spans="1:6">
      <c r="A38">
        <v>20010</v>
      </c>
      <c r="B38" t="s">
        <v>1807</v>
      </c>
      <c r="C38" s="398" t="s">
        <v>1808</v>
      </c>
      <c r="D38" t="s">
        <v>1043</v>
      </c>
      <c r="E38" t="s">
        <v>173</v>
      </c>
      <c r="F38">
        <v>2</v>
      </c>
    </row>
    <row r="39" spans="1:6">
      <c r="A39">
        <v>20039</v>
      </c>
      <c r="B39" t="s">
        <v>1051</v>
      </c>
      <c r="C39" s="398" t="s">
        <v>1808</v>
      </c>
      <c r="D39" t="s">
        <v>1371</v>
      </c>
      <c r="E39" t="s">
        <v>198</v>
      </c>
      <c r="F39">
        <v>3</v>
      </c>
    </row>
    <row r="40" spans="1:6">
      <c r="A40">
        <v>20011</v>
      </c>
      <c r="B40" t="s">
        <v>1456</v>
      </c>
      <c r="C40" s="398" t="s">
        <v>1809</v>
      </c>
      <c r="D40" t="s">
        <v>1043</v>
      </c>
      <c r="E40" t="s">
        <v>173</v>
      </c>
      <c r="F40">
        <v>1</v>
      </c>
    </row>
    <row r="41" spans="1:6">
      <c r="A41">
        <v>20035</v>
      </c>
      <c r="B41" t="s">
        <v>1048</v>
      </c>
      <c r="C41" s="398" t="s">
        <v>1810</v>
      </c>
      <c r="D41" t="s">
        <v>471</v>
      </c>
      <c r="E41" t="s">
        <v>329</v>
      </c>
      <c r="F41">
        <v>1</v>
      </c>
    </row>
    <row r="42" spans="1:6">
      <c r="A42">
        <v>20036</v>
      </c>
      <c r="B42" t="s">
        <v>1373</v>
      </c>
      <c r="C42" s="398" t="s">
        <v>1811</v>
      </c>
      <c r="D42" t="s">
        <v>471</v>
      </c>
      <c r="E42" t="s">
        <v>329</v>
      </c>
      <c r="F42">
        <v>1</v>
      </c>
    </row>
    <row r="43" spans="1:6">
      <c r="A43">
        <v>20060</v>
      </c>
      <c r="B43" t="s">
        <v>1812</v>
      </c>
      <c r="C43" s="398" t="s">
        <v>1813</v>
      </c>
      <c r="D43" t="s">
        <v>1814</v>
      </c>
      <c r="E43" t="s">
        <v>470</v>
      </c>
      <c r="F43">
        <v>2</v>
      </c>
    </row>
    <row r="44" spans="1:6">
      <c r="A44">
        <v>20056</v>
      </c>
      <c r="B44" t="s">
        <v>1815</v>
      </c>
      <c r="C44" s="398" t="s">
        <v>1813</v>
      </c>
      <c r="D44" t="s">
        <v>1047</v>
      </c>
      <c r="E44" t="s">
        <v>485</v>
      </c>
      <c r="F44">
        <v>3</v>
      </c>
    </row>
    <row r="45" spans="1:6">
      <c r="A45">
        <v>20026</v>
      </c>
      <c r="B45" t="s">
        <v>1052</v>
      </c>
      <c r="C45" s="398" t="s">
        <v>1816</v>
      </c>
      <c r="D45" t="s">
        <v>477</v>
      </c>
      <c r="E45" t="s">
        <v>200</v>
      </c>
      <c r="F45">
        <v>2</v>
      </c>
    </row>
    <row r="46" spans="1:6">
      <c r="A46">
        <v>20044</v>
      </c>
      <c r="B46" t="s">
        <v>498</v>
      </c>
      <c r="C46" s="398" t="s">
        <v>1816</v>
      </c>
      <c r="D46" t="s">
        <v>1044</v>
      </c>
      <c r="E46" t="s">
        <v>1369</v>
      </c>
      <c r="F46">
        <v>2</v>
      </c>
    </row>
    <row r="47" spans="1:6">
      <c r="A47">
        <v>20042</v>
      </c>
      <c r="B47" t="s">
        <v>1053</v>
      </c>
      <c r="C47" s="398" t="s">
        <v>1817</v>
      </c>
      <c r="D47" t="s">
        <v>480</v>
      </c>
      <c r="E47" t="s">
        <v>1370</v>
      </c>
      <c r="F47">
        <v>2</v>
      </c>
    </row>
    <row r="48" spans="1:6">
      <c r="A48">
        <v>20046</v>
      </c>
      <c r="B48" t="s">
        <v>494</v>
      </c>
      <c r="C48" s="398" t="s">
        <v>1818</v>
      </c>
      <c r="D48" t="s">
        <v>486</v>
      </c>
      <c r="E48" t="s">
        <v>487</v>
      </c>
      <c r="F48">
        <v>3</v>
      </c>
    </row>
    <row r="49" spans="1:6">
      <c r="A49">
        <v>20080</v>
      </c>
      <c r="B49" t="s">
        <v>1819</v>
      </c>
      <c r="C49" s="398" t="s">
        <v>1820</v>
      </c>
      <c r="D49" t="s">
        <v>1779</v>
      </c>
      <c r="E49" t="s">
        <v>1467</v>
      </c>
      <c r="F49">
        <v>2</v>
      </c>
    </row>
    <row r="50" spans="1:6">
      <c r="A50">
        <v>20048</v>
      </c>
      <c r="B50" t="s">
        <v>499</v>
      </c>
      <c r="C50" s="398" t="s">
        <v>1821</v>
      </c>
      <c r="D50" t="s">
        <v>473</v>
      </c>
      <c r="E50" t="s">
        <v>474</v>
      </c>
      <c r="F50">
        <v>2</v>
      </c>
    </row>
    <row r="51" spans="1:6">
      <c r="A51">
        <v>20047</v>
      </c>
      <c r="B51" t="s">
        <v>1463</v>
      </c>
      <c r="C51" s="398" t="s">
        <v>1821</v>
      </c>
      <c r="D51" t="s">
        <v>471</v>
      </c>
      <c r="E51" t="s">
        <v>329</v>
      </c>
      <c r="F51">
        <v>0</v>
      </c>
    </row>
    <row r="52" spans="1:6">
      <c r="A52">
        <v>20049</v>
      </c>
      <c r="B52" t="s">
        <v>1822</v>
      </c>
      <c r="C52" s="398" t="s">
        <v>1823</v>
      </c>
      <c r="D52" t="s">
        <v>471</v>
      </c>
      <c r="E52" t="s">
        <v>329</v>
      </c>
      <c r="F52">
        <v>2</v>
      </c>
    </row>
    <row r="53" spans="1:6">
      <c r="A53">
        <v>20015</v>
      </c>
      <c r="B53" t="s">
        <v>1565</v>
      </c>
      <c r="C53" s="398" t="s">
        <v>1824</v>
      </c>
      <c r="D53" t="s">
        <v>1566</v>
      </c>
      <c r="E53" t="s">
        <v>1825</v>
      </c>
      <c r="F53">
        <v>2</v>
      </c>
    </row>
    <row r="54" spans="1:6">
      <c r="A54">
        <v>20050</v>
      </c>
      <c r="B54" t="s">
        <v>1826</v>
      </c>
      <c r="C54" s="398" t="s">
        <v>1824</v>
      </c>
      <c r="D54" t="s">
        <v>1566</v>
      </c>
      <c r="E54" t="s">
        <v>1825</v>
      </c>
      <c r="F54">
        <v>1</v>
      </c>
    </row>
    <row r="55" spans="1:6">
      <c r="A55">
        <v>20008</v>
      </c>
      <c r="B55" t="s">
        <v>1383</v>
      </c>
      <c r="C55" s="398" t="s">
        <v>1827</v>
      </c>
      <c r="D55" t="s">
        <v>476</v>
      </c>
      <c r="E55" t="s">
        <v>216</v>
      </c>
      <c r="F55">
        <v>3</v>
      </c>
    </row>
    <row r="56" spans="1:6">
      <c r="A56">
        <v>20061</v>
      </c>
      <c r="B56" t="s">
        <v>1828</v>
      </c>
      <c r="C56" s="398" t="s">
        <v>1827</v>
      </c>
      <c r="D56" t="s">
        <v>1814</v>
      </c>
      <c r="E56" t="s">
        <v>470</v>
      </c>
      <c r="F56">
        <v>2</v>
      </c>
    </row>
    <row r="57" spans="1:6">
      <c r="A57">
        <v>20064</v>
      </c>
      <c r="B57" t="s">
        <v>1054</v>
      </c>
      <c r="C57" s="398" t="s">
        <v>1829</v>
      </c>
      <c r="D57" t="s">
        <v>1830</v>
      </c>
      <c r="E57" t="s">
        <v>1467</v>
      </c>
      <c r="F57">
        <v>2</v>
      </c>
    </row>
    <row r="58" spans="1:6">
      <c r="A58">
        <v>20051</v>
      </c>
      <c r="B58" t="s">
        <v>1831</v>
      </c>
      <c r="C58" s="398" t="s">
        <v>1832</v>
      </c>
      <c r="D58" t="s">
        <v>477</v>
      </c>
      <c r="E58" t="s">
        <v>200</v>
      </c>
      <c r="F58">
        <v>2</v>
      </c>
    </row>
    <row r="59" spans="1:6">
      <c r="A59">
        <v>20065</v>
      </c>
      <c r="B59" t="s">
        <v>1570</v>
      </c>
      <c r="C59" s="398" t="s">
        <v>1833</v>
      </c>
      <c r="D59" t="s">
        <v>1797</v>
      </c>
      <c r="E59" t="s">
        <v>1467</v>
      </c>
      <c r="F59">
        <v>2</v>
      </c>
    </row>
    <row r="60" spans="1:6">
      <c r="A60">
        <v>20071</v>
      </c>
      <c r="B60" t="s">
        <v>1384</v>
      </c>
      <c r="C60" s="398" t="s">
        <v>1833</v>
      </c>
      <c r="D60" t="s">
        <v>469</v>
      </c>
      <c r="E60" t="s">
        <v>1070</v>
      </c>
      <c r="F60">
        <v>3</v>
      </c>
    </row>
    <row r="61" spans="1:6">
      <c r="A61">
        <v>20052</v>
      </c>
      <c r="B61" t="s">
        <v>1834</v>
      </c>
      <c r="C61" s="398" t="s">
        <v>1835</v>
      </c>
      <c r="D61" t="s">
        <v>1043</v>
      </c>
      <c r="E61" t="s">
        <v>173</v>
      </c>
      <c r="F61">
        <v>2</v>
      </c>
    </row>
    <row r="62" spans="1:6">
      <c r="C62" s="398"/>
    </row>
    <row r="63" spans="1:6">
      <c r="C63" s="398"/>
    </row>
    <row r="64" spans="1:6">
      <c r="C64" s="398"/>
    </row>
    <row r="65" spans="3:3">
      <c r="C65" s="398"/>
    </row>
    <row r="66" spans="3:3">
      <c r="C66" s="398"/>
    </row>
    <row r="67" spans="3:3">
      <c r="C67" s="398"/>
    </row>
    <row r="68" spans="3:3">
      <c r="C68" s="398"/>
    </row>
    <row r="69" spans="3:3">
      <c r="C69" s="398"/>
    </row>
    <row r="70" spans="3:3">
      <c r="C70" s="398"/>
    </row>
    <row r="71" spans="3:3">
      <c r="C71" s="398"/>
    </row>
    <row r="72" spans="3:3">
      <c r="C72" s="398"/>
    </row>
    <row r="73" spans="3:3">
      <c r="C73" s="398"/>
    </row>
    <row r="74" spans="3:3">
      <c r="C74" s="398"/>
    </row>
    <row r="75" spans="3:3">
      <c r="C75" s="398"/>
    </row>
    <row r="76" spans="3:3">
      <c r="C76" s="398"/>
    </row>
    <row r="77" spans="3:3">
      <c r="C77" s="398"/>
    </row>
    <row r="78" spans="3:3">
      <c r="C78" s="398"/>
    </row>
    <row r="79" spans="3:3">
      <c r="C79" s="398"/>
    </row>
    <row r="80" spans="3:3">
      <c r="C80" s="398"/>
    </row>
    <row r="81" spans="3:3">
      <c r="C81" s="398"/>
    </row>
    <row r="82" spans="3:3">
      <c r="C82" s="398"/>
    </row>
    <row r="83" spans="3:3">
      <c r="C83" s="398"/>
    </row>
    <row r="84" spans="3:3">
      <c r="C84" s="398"/>
    </row>
    <row r="85" spans="3:3">
      <c r="C85" s="398"/>
    </row>
    <row r="86" spans="3:3">
      <c r="C86" s="398"/>
    </row>
    <row r="87" spans="3:3">
      <c r="C87" s="398"/>
    </row>
    <row r="88" spans="3:3">
      <c r="C88" s="398"/>
    </row>
    <row r="89" spans="3:3">
      <c r="C89" s="398"/>
    </row>
    <row r="90" spans="3:3">
      <c r="C90" s="398"/>
    </row>
    <row r="91" spans="3:3">
      <c r="C91" s="398"/>
    </row>
    <row r="92" spans="3:3">
      <c r="C92" s="398"/>
    </row>
    <row r="93" spans="3:3">
      <c r="C93" s="398"/>
    </row>
    <row r="94" spans="3:3">
      <c r="C94" s="398"/>
    </row>
    <row r="95" spans="3:3">
      <c r="C95" s="398"/>
    </row>
    <row r="96" spans="3:3">
      <c r="C96" s="398"/>
    </row>
    <row r="97" spans="3:3">
      <c r="C97" s="398"/>
    </row>
    <row r="98" spans="3:3">
      <c r="C98" s="398"/>
    </row>
    <row r="99" spans="3:3">
      <c r="C99" s="398"/>
    </row>
    <row r="100" spans="3:3">
      <c r="C100" s="398"/>
    </row>
    <row r="101" spans="3:3">
      <c r="C101" s="398"/>
    </row>
    <row r="102" spans="3:3">
      <c r="C102" s="398"/>
    </row>
    <row r="103" spans="3:3">
      <c r="C103" s="398"/>
    </row>
    <row r="104" spans="3:3">
      <c r="C104" s="398"/>
    </row>
    <row r="105" spans="3:3">
      <c r="C105" s="398"/>
    </row>
    <row r="106" spans="3:3">
      <c r="C106" s="398"/>
    </row>
    <row r="107" spans="3:3">
      <c r="C107" s="398"/>
    </row>
    <row r="108" spans="3:3">
      <c r="C108" s="398"/>
    </row>
    <row r="109" spans="3:3">
      <c r="C109" s="398"/>
    </row>
    <row r="110" spans="3:3">
      <c r="C110" s="398"/>
    </row>
    <row r="111" spans="3:3">
      <c r="C111" s="398"/>
    </row>
    <row r="112" spans="3:3">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 ca="1">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75" thickBot="1">
      <c r="A4" s="117" t="str">
        <f ca="1">VLOOKUP(C4,Postupy!$A$3:$C$34,3,0)</f>
        <v>P1</v>
      </c>
      <c r="B4" s="22"/>
      <c r="C4" s="109">
        <v>16</v>
      </c>
      <c r="D4" s="343" t="str">
        <f ca="1">IF(OR(TRIM('KO16'!D4)="-",TRIM('KO16'!D5)="-"), IF(TRIM('KO16'!D4)="-",'KO16'!D4,'KO16'!D5),IF(AND('KO16'!E4="",'KO16'!E5="")," ",IF(N('KO16'!E4)=N('KO16'!E5)," ",IF(N('KO16'!E4)&gt;N('KO16'!E5),'KO16'!D5,'KO16'!D4))))</f>
        <v xml:space="preserve"> </v>
      </c>
      <c r="E4" s="156"/>
      <c r="F4" s="20"/>
      <c r="G4" s="17"/>
      <c r="H4" s="38"/>
      <c r="I4" s="240"/>
      <c r="J4" s="17"/>
      <c r="K4" s="17"/>
      <c r="L4" s="35"/>
      <c r="M4" s="240"/>
      <c r="N4" s="17"/>
      <c r="O4" s="17"/>
      <c r="P4" s="17"/>
      <c r="Q4" s="17"/>
      <c r="R4" s="17"/>
      <c r="S4" s="17"/>
      <c r="T4" s="18"/>
      <c r="U4" s="17"/>
      <c r="V4" s="17"/>
      <c r="W4" s="17"/>
      <c r="X4" s="17"/>
      <c r="Y4" s="17"/>
      <c r="Z4" s="17"/>
      <c r="AA4" s="17"/>
      <c r="AB4" s="17"/>
    </row>
    <row r="5" spans="1:30" ht="20.25" thickTop="1" thickBot="1">
      <c r="A5" s="117" t="str">
        <f ca="1">VLOOKUP(C5,Postupy!$A$3:$C$34,3,0)</f>
        <v>I1</v>
      </c>
      <c r="B5" s="33"/>
      <c r="C5" s="111">
        <v>9</v>
      </c>
      <c r="D5" s="344" t="str">
        <f ca="1">IF(OR(TRIM('KO16'!D8)="-",TRIM('KO16'!D9)="-"), IF(TRIM('KO16'!D8)="-",'KO16'!D8,'KO16'!D9),IF(AND('KO16'!E8="",'KO16'!E9="")," ",IF(N('KO16'!E8)=N('KO16'!E9)," ",IF(N('KO16'!E8)&gt;N('KO16'!E9),'KO16'!D9,'KO16'!D8))))</f>
        <v xml:space="preserve"> </v>
      </c>
      <c r="E5" s="157"/>
      <c r="F5" s="21"/>
      <c r="G5" s="26"/>
      <c r="H5" s="384" t="s">
        <v>447</v>
      </c>
      <c r="I5" s="387" t="str">
        <f ca="1">IF(OR(TRIM(H6)="-",TRIM(H7)="-"),"",VLOOKUP(MIN(G6,G7),Hřiště!$B$11:$E$75,4,0))</f>
        <v/>
      </c>
      <c r="J5" s="17"/>
      <c r="K5" s="17"/>
      <c r="L5" s="35"/>
      <c r="M5" s="240"/>
      <c r="N5" s="17"/>
      <c r="O5" s="17"/>
      <c r="P5" s="17"/>
      <c r="Q5" s="17"/>
      <c r="R5" s="17"/>
      <c r="S5" s="17"/>
      <c r="T5" s="18"/>
      <c r="U5" s="17"/>
      <c r="V5" s="17"/>
      <c r="W5" s="17"/>
      <c r="X5" s="17"/>
      <c r="Y5" s="17"/>
      <c r="Z5" s="17"/>
      <c r="AA5" s="17"/>
      <c r="AB5" s="17"/>
    </row>
    <row r="6" spans="1:30" ht="18.75" thickBot="1">
      <c r="A6" s="108"/>
      <c r="B6" s="22"/>
      <c r="C6" s="17"/>
      <c r="D6" s="65"/>
      <c r="E6" s="240"/>
      <c r="F6" s="17"/>
      <c r="G6" s="109">
        <v>9</v>
      </c>
      <c r="H6" s="110" t="str">
        <f ca="1">IF(OR(TRIM(D4)="-",TRIM(D5)="-"), IF(TRIM(D4)="-",D5,D4),IF(AND(E4="",E5="")," ",IF(N(E4)=N(E5)," ",IF(N(E4)&gt;N(E5),D4,D5))))</f>
        <v xml:space="preserve"> </v>
      </c>
      <c r="I6" s="156"/>
      <c r="J6" s="20"/>
      <c r="K6" s="16"/>
      <c r="L6" s="36"/>
      <c r="M6" s="241"/>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12</v>
      </c>
      <c r="H7" s="112" t="str">
        <f ca="1">IF(OR(TRIM(D8)="-",TRIM(D9)="-"), IF(TRIM(D8)="-",D9,D8),IF(AND(E8="",E9="")," ",IF(N(E8)=N(E9)," ",IF(N(E8)&gt;N(E9),D8,D9))))</f>
        <v xml:space="preserve"> </v>
      </c>
      <c r="I7" s="157"/>
      <c r="J7" s="21"/>
      <c r="K7" s="26"/>
      <c r="L7" s="36"/>
      <c r="M7" s="241"/>
      <c r="N7" s="17"/>
      <c r="O7" s="17"/>
      <c r="P7" s="17"/>
      <c r="Q7" s="17"/>
      <c r="R7" s="17"/>
      <c r="S7" s="17"/>
      <c r="T7" s="17"/>
      <c r="U7" s="17"/>
      <c r="V7" s="16"/>
      <c r="W7" s="17"/>
      <c r="X7" s="17"/>
      <c r="Y7" s="17"/>
      <c r="Z7" s="16"/>
      <c r="AA7" s="17"/>
      <c r="AB7" s="17"/>
      <c r="AC7" s="17"/>
      <c r="AD7" s="17"/>
    </row>
    <row r="8" spans="1:30" ht="18.75" thickBot="1">
      <c r="A8" s="117" t="str">
        <f ca="1">VLOOKUP(C8,Postupy!$A$3:$C$34,3,0)</f>
        <v>L1</v>
      </c>
      <c r="B8" s="22"/>
      <c r="C8" s="109">
        <v>12</v>
      </c>
      <c r="D8" s="343" t="str">
        <f ca="1">IF(OR(TRIM('KO16'!D12)="-",TRIM('KO16'!D13)="-"), IF(TRIM('KO16'!D12)="-",'KO16'!D12,'KO16'!D13),IF(AND('KO16'!E12="",'KO16'!E13="")," ",IF(N('KO16'!E12)=N('KO16'!E13)," ",IF(N('KO16'!E12)&gt;N('KO16'!E13),'KO16'!D13,'KO16'!D12))))</f>
        <v xml:space="preserve"> </v>
      </c>
      <c r="E8" s="156"/>
      <c r="F8" s="27"/>
      <c r="G8" s="26"/>
      <c r="H8" s="65"/>
      <c r="I8" s="241"/>
      <c r="J8" s="17"/>
      <c r="K8" s="26"/>
      <c r="L8" s="36"/>
      <c r="M8" s="241"/>
      <c r="N8" s="17"/>
      <c r="O8" s="17"/>
      <c r="P8" s="17"/>
      <c r="Q8" s="17"/>
      <c r="R8" s="17"/>
      <c r="S8" s="17"/>
      <c r="T8" s="17"/>
      <c r="U8" s="17"/>
      <c r="V8" s="16"/>
      <c r="W8" s="17"/>
      <c r="X8" s="17"/>
      <c r="Y8" s="17"/>
      <c r="Z8" s="16"/>
      <c r="AA8" s="17"/>
      <c r="AB8" s="17"/>
      <c r="AC8" s="17"/>
      <c r="AD8" s="17"/>
    </row>
    <row r="9" spans="1:30" ht="20.25" thickTop="1" thickBot="1">
      <c r="A9" s="117" t="str">
        <f ca="1">VLOOKUP(C9,Postupy!$A$3:$C$34,3,0)</f>
        <v>M1</v>
      </c>
      <c r="B9" s="33"/>
      <c r="C9" s="111">
        <v>13</v>
      </c>
      <c r="D9" s="344" t="str">
        <f ca="1">IF(OR(TRIM('KO16'!D16)="-",TRIM('KO16'!D17)="-"), IF(TRIM('KO16'!D16)="-",'KO16'!D16,'KO16'!D17),IF(AND('KO16'!E16="",'KO16'!E17="")," ",IF(N('KO16'!E16)=N('KO16'!E17)," ",IF(N('KO16'!E16)&gt;N('KO16'!E17),'KO16'!D17,'KO16'!D16))))</f>
        <v xml:space="preserve"> </v>
      </c>
      <c r="E9" s="157"/>
      <c r="F9" s="28"/>
      <c r="G9" s="17"/>
      <c r="H9" s="65"/>
      <c r="I9" s="240"/>
      <c r="J9" s="17"/>
      <c r="K9" s="26"/>
      <c r="L9" s="345" t="s">
        <v>358</v>
      </c>
      <c r="M9" s="387" t="str">
        <f ca="1">IF(OR(TRIM(L10)="-",TRIM(L11)="-"),"",VLOOKUP(MIN(K10,K11),Hřiště!$B$11:$E$75,4,0))</f>
        <v/>
      </c>
      <c r="N9" s="17"/>
      <c r="O9" s="17"/>
      <c r="P9" s="17"/>
      <c r="Q9" s="17"/>
      <c r="R9" s="17"/>
      <c r="S9" s="17"/>
      <c r="T9" s="18"/>
      <c r="U9" s="17"/>
      <c r="V9" s="17"/>
      <c r="W9" s="17"/>
      <c r="X9" s="17"/>
      <c r="Y9" s="17"/>
      <c r="Z9" s="17"/>
      <c r="AA9" s="17"/>
      <c r="AB9" s="17"/>
    </row>
    <row r="10" spans="1:30" ht="19.5" thickTop="1" thickBot="1">
      <c r="A10" s="108"/>
      <c r="B10" s="84"/>
      <c r="C10" s="85"/>
      <c r="D10" s="64"/>
      <c r="E10" s="240"/>
      <c r="F10" s="17"/>
      <c r="G10" s="17"/>
      <c r="H10" s="66"/>
      <c r="I10" s="242"/>
      <c r="J10" s="18"/>
      <c r="K10" s="109">
        <v>9</v>
      </c>
      <c r="L10" s="110" t="str">
        <f ca="1">IF(OR(TRIM(H6)="-",TRIM(H7)="-"), IF(TRIM(H6)="-",H7,H6),IF(AND(I6="",I7="")," ",IF(N(I6)=N(I7)," ",IF(N(I6)&gt;N(I7),H6,H7))))</f>
        <v xml:space="preserve"> </v>
      </c>
      <c r="M10" s="156"/>
      <c r="N10" s="27"/>
      <c r="O10" s="39">
        <v>9</v>
      </c>
      <c r="P10" s="134" t="str">
        <f>IF(AND(M10="",M11="")," ",IF(N(M10)=N(M11)," ",IF(N(M10)&gt;N(M11),L10,L11)))</f>
        <v xml:space="preserve"> </v>
      </c>
      <c r="Q10" s="40">
        <v>9</v>
      </c>
      <c r="R10" s="17"/>
      <c r="S10" s="18"/>
      <c r="T10" s="17"/>
      <c r="U10" s="17"/>
      <c r="V10" s="17"/>
      <c r="W10" s="17"/>
      <c r="X10" s="17"/>
      <c r="Y10" s="17"/>
      <c r="Z10" s="17"/>
      <c r="AA10" s="17"/>
    </row>
    <row r="11" spans="1:30" ht="20.25" thickTop="1" thickBot="1">
      <c r="A11" s="105"/>
      <c r="B11" s="22"/>
      <c r="C11" s="17"/>
      <c r="D11" s="384" t="s">
        <v>447</v>
      </c>
      <c r="E11" s="387" t="str">
        <f ca="1">IF(OR(TRIM(D12)="-",TRIM(D13)="-"),"",VLOOKUP(MIN(C12,C13),Hřiště!$B$11:$E$75,4,0))</f>
        <v/>
      </c>
      <c r="F11" s="17"/>
      <c r="G11" s="17"/>
      <c r="H11" s="67"/>
      <c r="I11" s="242"/>
      <c r="J11" s="18"/>
      <c r="K11" s="111">
        <v>10</v>
      </c>
      <c r="L11" s="112" t="str">
        <f ca="1">IF(OR(TRIM(H14)="-",TRIM(H15)="-"), IF(TRIM(H14)="-",H15,H14),IF(AND(I14="",I15="")," ",IF(N(I14)=N(I15)," ",IF(N(I14)&gt;N(I15),H14,H15))))</f>
        <v xml:space="preserve"> </v>
      </c>
      <c r="M11" s="157"/>
      <c r="N11" s="21"/>
      <c r="O11" s="39">
        <v>10</v>
      </c>
      <c r="P11" s="132" t="str">
        <f>IF(AND(M10="",M11="")," ",IF(N(M11)=N(M10)," ",IF(N(M11)&gt;N(M10),L10,L11)))</f>
        <v xml:space="preserve"> </v>
      </c>
      <c r="Q11" s="131">
        <v>10</v>
      </c>
      <c r="R11" s="17"/>
      <c r="S11" s="17"/>
      <c r="T11" s="17"/>
      <c r="U11" s="17"/>
      <c r="V11" s="17"/>
      <c r="W11" s="17"/>
      <c r="X11" s="17"/>
      <c r="Y11" s="16"/>
      <c r="Z11" s="17"/>
      <c r="AA11" s="17"/>
      <c r="AB11" s="17"/>
      <c r="AC11" s="18"/>
    </row>
    <row r="12" spans="1:30" ht="18.75" thickBot="1">
      <c r="A12" s="117" t="str">
        <f ca="1">VLOOKUP(C12,Postupy!$A$3:$C$34,3,0)</f>
        <v>N1</v>
      </c>
      <c r="B12" s="22"/>
      <c r="C12" s="109">
        <v>14</v>
      </c>
      <c r="D12" s="343" t="str">
        <f ca="1">IF(OR(TRIM('KO16'!D20)="-",TRIM('KO16'!D21)="-"), IF(TRIM('KO16'!D20)="-",'KO16'!D20,'KO16'!D21),IF(AND('KO16'!E20="",'KO16'!E21="")," ",IF(N('KO16'!E20)=N('KO16'!E21)," ",IF(N('KO16'!E20)&gt;N('KO16'!E21),'KO16'!D21,'KO16'!D20))))</f>
        <v xml:space="preserve"> </v>
      </c>
      <c r="E12" s="156"/>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20.25" thickTop="1" thickBot="1">
      <c r="A13" s="117" t="str">
        <f ca="1">VLOOKUP(C13,Postupy!$A$3:$C$34,3,0)</f>
        <v>K1</v>
      </c>
      <c r="B13" s="33"/>
      <c r="C13" s="111">
        <v>11</v>
      </c>
      <c r="D13" s="344" t="str">
        <f ca="1">IF(OR(TRIM('KO16'!D24)="-",TRIM('KO16'!D25)="-"), IF(TRIM('KO16'!D24)="-",'KO16'!D24,'KO16'!D25),IF(AND('KO16'!E24="",'KO16'!E25="")," ",IF(N('KO16'!E24)=N('KO16'!E25)," ",IF(N('KO16'!E24)&gt;N('KO16'!E25),'KO16'!D25,'KO16'!D24))))</f>
        <v xml:space="preserve"> </v>
      </c>
      <c r="E13" s="157"/>
      <c r="F13" s="21"/>
      <c r="G13" s="26"/>
      <c r="H13" s="384" t="s">
        <v>447</v>
      </c>
      <c r="I13" s="387" t="str">
        <f ca="1">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75" thickBot="1">
      <c r="A14" s="108"/>
      <c r="B14" s="22"/>
      <c r="C14" s="17"/>
      <c r="D14" s="65"/>
      <c r="E14" s="240"/>
      <c r="F14" s="17"/>
      <c r="G14" s="109">
        <v>11</v>
      </c>
      <c r="H14" s="110" t="str">
        <f ca="1">IF(OR(TRIM(D12)="-",TRIM(D13)="-"), IF(TRIM(D12)="-",D13,D12),IF(AND(E12="",E13="")," ",IF(N(E12)=N(E13)," ",IF(N(E12)&gt;N(E13),D12,D13))))</f>
        <v xml:space="preserve"> </v>
      </c>
      <c r="I14" s="156"/>
      <c r="J14" s="27"/>
      <c r="K14" s="17"/>
      <c r="L14" s="67"/>
      <c r="M14" s="244"/>
      <c r="N14" s="67"/>
      <c r="O14" s="67"/>
      <c r="P14" s="67"/>
      <c r="Q14" s="67"/>
      <c r="R14" s="67"/>
      <c r="S14" s="67"/>
      <c r="T14" s="67"/>
      <c r="U14" s="67"/>
      <c r="V14" s="17"/>
      <c r="W14" s="17"/>
      <c r="X14" s="17"/>
      <c r="Y14" s="18"/>
      <c r="Z14" s="17"/>
      <c r="AA14" s="17"/>
    </row>
    <row r="15" spans="1:30" ht="20.25" thickTop="1" thickBot="1">
      <c r="A15" s="105"/>
      <c r="B15" s="33"/>
      <c r="C15" s="17"/>
      <c r="D15" s="384" t="s">
        <v>447</v>
      </c>
      <c r="E15" s="387" t="str">
        <f ca="1">IF(OR(TRIM(D16)="-",TRIM(D17)="-"),"",VLOOKUP(MIN(C16,C17),Hřiště!$B$11:$E$75,4,0))</f>
        <v/>
      </c>
      <c r="F15" s="17"/>
      <c r="G15" s="111">
        <v>10</v>
      </c>
      <c r="H15" s="112" t="str">
        <f ca="1">IF(OR(TRIM(D16)="-",TRIM(D17)="-"), IF(TRIM(D16)="-",D17,D16),IF(AND(E16="",E17="")," ",IF(N(E16)=N(E17)," ",IF(N(E16)&gt;N(E17),D16,D17))))</f>
        <v xml:space="preserve"> </v>
      </c>
      <c r="I15" s="157"/>
      <c r="J15" s="28"/>
      <c r="K15" s="17"/>
      <c r="L15" s="67"/>
      <c r="M15" s="244"/>
      <c r="N15" s="67"/>
      <c r="O15" s="67"/>
      <c r="P15" s="67"/>
      <c r="Q15" s="67"/>
      <c r="R15" s="67"/>
      <c r="S15" s="67"/>
      <c r="T15" s="67"/>
      <c r="U15" s="67"/>
      <c r="V15" s="17"/>
      <c r="W15" s="17"/>
      <c r="X15" s="17"/>
      <c r="Y15" s="18"/>
      <c r="Z15" s="17"/>
      <c r="AA15" s="17"/>
    </row>
    <row r="16" spans="1:30" ht="18.75" thickBot="1">
      <c r="A16" s="117" t="str">
        <f ca="1">VLOOKUP(C16,Postupy!$A$3:$C$34,3,0)</f>
        <v>J1</v>
      </c>
      <c r="B16" s="22"/>
      <c r="C16" s="109">
        <v>10</v>
      </c>
      <c r="D16" s="343" t="str">
        <f ca="1">IF(OR(TRIM('KO16'!D28)="-",TRIM('KO16'!D29)="-"), IF(TRIM('KO16'!D28)="-",'KO16'!D28,'KO16'!D29),IF(AND('KO16'!E28="",'KO16'!E29="")," ",IF(N('KO16'!E28)=N('KO16'!E29)," ",IF(N('KO16'!E28)&gt;N('KO16'!E29),'KO16'!D29,'KO16'!D28))))</f>
        <v xml:space="preserve"> </v>
      </c>
      <c r="E16" s="156"/>
      <c r="F16" s="27"/>
      <c r="G16" s="26"/>
      <c r="H16" s="65"/>
      <c r="I16" s="241"/>
      <c r="J16" s="17"/>
      <c r="K16" s="17"/>
      <c r="L16" s="67"/>
      <c r="M16" s="244"/>
      <c r="N16" s="67"/>
      <c r="O16" s="67"/>
      <c r="P16" s="67"/>
      <c r="Q16" s="67"/>
      <c r="R16" s="67"/>
      <c r="S16" s="67"/>
      <c r="T16" s="67"/>
      <c r="U16" s="67"/>
      <c r="V16" s="17"/>
      <c r="W16" s="17"/>
      <c r="X16" s="17"/>
      <c r="Y16" s="17"/>
      <c r="Z16" s="17"/>
      <c r="AA16" s="17"/>
    </row>
    <row r="17" spans="1:27" ht="20.25" thickTop="1" thickBot="1">
      <c r="A17" s="117" t="str">
        <f ca="1">VLOOKUP(C17,Postupy!$A$3:$C$34,3,0)</f>
        <v>O1</v>
      </c>
      <c r="B17" s="33"/>
      <c r="C17" s="111">
        <v>15</v>
      </c>
      <c r="D17" s="344" t="str">
        <f ca="1">IF(OR(TRIM('KO16'!D32)="-",TRIM('KO16'!D33)="-"),IF(TRIM('KO16'!D32)="-",'KO16'!D32,'KO16'!D33),IF(AND('KO16'!E32="",'KO16'!E33="")," ",IF(N('KO16'!E32)=N('KO16'!E33)," ",IF(N('KO16'!E32)&gt;N('KO16'!E33),'KO16'!D33,'KO16'!D32))))</f>
        <v xml:space="preserve"> </v>
      </c>
      <c r="E17" s="157"/>
      <c r="F17" s="28"/>
      <c r="G17" s="17"/>
      <c r="H17" s="65"/>
      <c r="I17" s="240"/>
      <c r="J17" s="17"/>
      <c r="K17" s="17"/>
      <c r="L17" s="345" t="s">
        <v>359</v>
      </c>
      <c r="M17" s="387" t="str">
        <f ca="1">IF(OR(TRIM(L18)="-",TRIM(L19)="-"),"",VLOOKUP(MIN(K18,K19),Hřiště!$B$11:$E$75,4,0))</f>
        <v/>
      </c>
      <c r="N17" s="67"/>
      <c r="O17" s="67"/>
      <c r="P17" s="67"/>
      <c r="Q17" s="67"/>
      <c r="R17" s="67"/>
      <c r="S17" s="67"/>
      <c r="T17" s="67"/>
      <c r="U17" s="67"/>
      <c r="V17" s="17"/>
      <c r="W17" s="17"/>
      <c r="X17" s="17"/>
      <c r="Y17" s="17"/>
      <c r="Z17" s="17"/>
      <c r="AA17" s="17"/>
    </row>
    <row r="18" spans="1:27" ht="19.5" thickTop="1" thickBot="1">
      <c r="A18" s="108"/>
      <c r="B18" s="22"/>
      <c r="C18" s="17"/>
      <c r="D18" s="65"/>
      <c r="E18" s="17"/>
      <c r="F18" s="17"/>
      <c r="G18" s="17"/>
      <c r="H18" s="68"/>
      <c r="I18" s="240"/>
      <c r="J18" s="17"/>
      <c r="K18" s="109">
        <v>11</v>
      </c>
      <c r="L18" s="110" t="str">
        <f ca="1">IF(OR(TRIM(H6)="-",TRIM(H7)="-"),IF(TRIM(H6)="-",H7,H6),IF(AND(I6="",I7="")," ",IF(N(I7)=N(I6)," ",IF(N(I7)&gt;N(I6),H6,H7))))</f>
        <v xml:space="preserve"> </v>
      </c>
      <c r="M18" s="156"/>
      <c r="N18" s="27"/>
      <c r="O18" s="39">
        <v>11</v>
      </c>
      <c r="P18" s="132" t="str">
        <f>IF(AND(M18="",M19="")," ",IF(N(M18)=N(M19)," ",IF(N(M18)&gt;N(M19),L18,L19)))</f>
        <v xml:space="preserve"> </v>
      </c>
      <c r="Q18" s="40">
        <v>11</v>
      </c>
      <c r="R18" s="68"/>
      <c r="S18" s="68"/>
      <c r="T18" s="68"/>
      <c r="U18" s="68"/>
      <c r="V18" s="17"/>
      <c r="W18" s="17"/>
      <c r="X18" s="17"/>
      <c r="Y18" s="17"/>
      <c r="Z18" s="17"/>
      <c r="AA18" s="17"/>
    </row>
    <row r="19" spans="1:27" ht="19.5" thickTop="1" thickBot="1">
      <c r="A19" s="108"/>
      <c r="B19" s="133"/>
      <c r="C19" s="29"/>
      <c r="D19" s="87"/>
      <c r="E19" s="17"/>
      <c r="F19" s="17"/>
      <c r="G19" s="17"/>
      <c r="H19" s="68"/>
      <c r="I19" s="240"/>
      <c r="J19" s="17"/>
      <c r="K19" s="111">
        <v>12</v>
      </c>
      <c r="L19" s="112" t="str">
        <f ca="1">IF(OR(TRIM(H14)="-",TRIM(H15)="-"), IF(TRIM(H14)="-",H15,H14),IF(AND(I14="",I15="")," ",IF(N(I15)=N(I14)," ",IF(N(I15)&gt;N(I14),H14,H15))))</f>
        <v xml:space="preserve"> </v>
      </c>
      <c r="M19" s="157"/>
      <c r="N19" s="21"/>
      <c r="O19" s="39">
        <v>12</v>
      </c>
      <c r="P19" s="132" t="str">
        <f>IF(AND(M18="",M19="")," ",IF(N(M19)=N(M18)," ",IF(N(M19)&gt;N(M18),L18,L19)))</f>
        <v xml:space="preserve"> </v>
      </c>
      <c r="Q19" s="131">
        <v>12</v>
      </c>
      <c r="R19" s="68"/>
      <c r="S19" s="68"/>
      <c r="T19" s="68"/>
      <c r="U19" s="68"/>
      <c r="V19" s="17"/>
      <c r="W19" s="17"/>
      <c r="X19" s="17"/>
      <c r="Y19" s="17"/>
      <c r="Z19" s="17"/>
      <c r="AA19" s="17"/>
    </row>
    <row r="20" spans="1:27" ht="14.25"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5.75" thickTop="1" thickBot="1">
      <c r="A21" s="17"/>
      <c r="B21" s="84"/>
      <c r="C21" s="88"/>
      <c r="D21" s="89"/>
      <c r="E21" s="17"/>
      <c r="F21" s="17"/>
      <c r="G21" s="17"/>
      <c r="H21" s="345" t="s">
        <v>360</v>
      </c>
      <c r="I21" s="387" t="str">
        <f ca="1">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75" thickBot="1">
      <c r="A22" s="17"/>
      <c r="B22" s="22"/>
      <c r="C22" s="17"/>
      <c r="D22" s="17"/>
      <c r="E22" s="17"/>
      <c r="F22" s="17"/>
      <c r="G22" s="109">
        <v>16</v>
      </c>
      <c r="H22" s="110" t="str">
        <f ca="1">IF(OR(TRIM(D4)="-",TRIM(D5)="-"), IF(TRIM(D4)="-",D4,D5),IF(AND(E4="",E5="")," ",IF(N(E5)=N(E4)," ",IF(N(E5)&gt;N(E4),D4,D5))))</f>
        <v xml:space="preserve"> </v>
      </c>
      <c r="I22" s="156"/>
      <c r="J22" s="20"/>
      <c r="K22" s="16"/>
      <c r="L22" s="36"/>
      <c r="M22" s="241"/>
      <c r="N22" s="17"/>
      <c r="O22" s="17"/>
      <c r="P22" s="17"/>
      <c r="Q22" s="17"/>
      <c r="R22" s="17"/>
      <c r="S22" s="18"/>
      <c r="T22" s="17"/>
      <c r="U22" s="17"/>
      <c r="V22" s="17"/>
      <c r="W22" s="17"/>
      <c r="X22" s="17"/>
      <c r="Y22" s="17"/>
      <c r="Z22" s="17"/>
      <c r="AA22" s="17"/>
    </row>
    <row r="23" spans="1:27" ht="19.5" thickTop="1" thickBot="1">
      <c r="A23" s="17"/>
      <c r="B23" s="84"/>
      <c r="C23" s="90"/>
      <c r="D23" s="91"/>
      <c r="E23" s="30"/>
      <c r="F23" s="17"/>
      <c r="G23" s="111">
        <v>13</v>
      </c>
      <c r="H23" s="112" t="str">
        <f ca="1">IF(OR(TRIM(D8)="-",TRIM(D9)="-"), IF(TRIM(D8)="-",D8,D9),IF(AND(E8="",E9="")," ",IF(N(E9)=N(E8)," ",IF(N(E9)&gt;N(E8),D8,D9))))</f>
        <v xml:space="preserve"> </v>
      </c>
      <c r="I23" s="157"/>
      <c r="J23" s="21"/>
      <c r="K23" s="26"/>
      <c r="L23" s="36"/>
      <c r="M23" s="241"/>
      <c r="N23" s="17"/>
      <c r="O23" s="17"/>
      <c r="P23" s="17"/>
      <c r="Q23" s="17"/>
      <c r="R23" s="17"/>
      <c r="S23" s="18"/>
      <c r="T23" s="17"/>
      <c r="U23" s="17"/>
      <c r="V23" s="17"/>
      <c r="W23" s="17"/>
      <c r="X23" s="17"/>
      <c r="Y23" s="17"/>
      <c r="Z23" s="17"/>
      <c r="AA23" s="17"/>
    </row>
    <row r="24" spans="1:27" ht="14.25"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5.75" thickTop="1" thickBot="1">
      <c r="A25" s="17"/>
      <c r="B25" s="84"/>
      <c r="C25" s="90"/>
      <c r="D25" s="91"/>
      <c r="E25" s="30"/>
      <c r="F25" s="17"/>
      <c r="G25" s="17"/>
      <c r="H25" s="65"/>
      <c r="I25" s="240"/>
      <c r="J25" s="17"/>
      <c r="K25" s="26"/>
      <c r="L25" s="345" t="s">
        <v>361</v>
      </c>
      <c r="M25" s="387" t="str">
        <f ca="1">IF(OR(TRIM(L26)="-",TRIM(L27)="-"),"",VLOOKUP(MIN(K26,K27),Hřiště!$B$11:$E$75,4,0))</f>
        <v/>
      </c>
      <c r="N25" s="17"/>
      <c r="O25" s="17"/>
      <c r="P25" s="17"/>
      <c r="Q25" s="17"/>
      <c r="R25" s="17"/>
      <c r="S25" s="18"/>
      <c r="T25" s="17"/>
      <c r="U25" s="17"/>
      <c r="V25" s="17"/>
      <c r="W25" s="17"/>
      <c r="X25" s="17"/>
      <c r="Y25" s="17"/>
      <c r="Z25" s="17"/>
      <c r="AA25" s="17"/>
    </row>
    <row r="26" spans="1:27" ht="19.5" thickTop="1" thickBot="1">
      <c r="A26" s="17"/>
      <c r="B26" s="84"/>
      <c r="C26" s="90"/>
      <c r="D26" s="91"/>
      <c r="E26" s="30"/>
      <c r="F26" s="17"/>
      <c r="G26" s="17"/>
      <c r="H26" s="66"/>
      <c r="I26" s="242"/>
      <c r="J26" s="18"/>
      <c r="K26" s="109">
        <v>13</v>
      </c>
      <c r="L26" s="110" t="str">
        <f ca="1">IF(OR(TRIM(H22)="-",TRIM(H23)="-"), IF(TRIM(H22)="-",H23,H22),IF(AND(I22="",I23="")," ",IF(N(I22)=N(I23)," ",IF(N(I22)&gt;N(I23),H22,H23))))</f>
        <v xml:space="preserve"> </v>
      </c>
      <c r="M26" s="156"/>
      <c r="N26" s="27"/>
      <c r="O26" s="39">
        <v>13</v>
      </c>
      <c r="P26" s="132" t="str">
        <f>IF(AND(M26="",M27="")," ",IF(N(M26)=N(M27)," ",IF(N(M26)&gt;N(M27),L26,L27)))</f>
        <v xml:space="preserve"> </v>
      </c>
      <c r="Q26" s="40">
        <v>13</v>
      </c>
      <c r="R26" s="17"/>
      <c r="S26" s="18"/>
      <c r="T26" s="17"/>
      <c r="U26" s="17"/>
      <c r="V26" s="17"/>
      <c r="W26" s="17"/>
      <c r="X26" s="17"/>
      <c r="Y26" s="17"/>
      <c r="Z26" s="17"/>
      <c r="AA26" s="17"/>
    </row>
    <row r="27" spans="1:27" ht="19.5" thickTop="1" thickBot="1">
      <c r="A27" s="17"/>
      <c r="B27" s="84"/>
      <c r="C27" s="90"/>
      <c r="D27" s="91"/>
      <c r="E27" s="30"/>
      <c r="F27" s="17"/>
      <c r="G27" s="17"/>
      <c r="H27" s="67"/>
      <c r="I27" s="242"/>
      <c r="J27" s="18"/>
      <c r="K27" s="111">
        <v>14</v>
      </c>
      <c r="L27" s="112" t="str">
        <f ca="1">IF(OR(TRIM(H30)="-",TRIM(H31)="-"), IF(TRIM(H30)="-",H31,H30),IF(AND(I30="",I31="")," ",IF(N(I30)=N(I31)," ",IF(N(I30)&gt;N(I31),H30,H31))))</f>
        <v xml:space="preserve"> </v>
      </c>
      <c r="M27" s="157"/>
      <c r="N27" s="21"/>
      <c r="O27" s="39">
        <v>14</v>
      </c>
      <c r="P27" s="132" t="str">
        <f>IF(AND(M26="",M27="")," ",IF(N(M27)=N(M26)," ",IF(N(M27)&gt;N(M26),L26,L27)))</f>
        <v xml:space="preserve"> </v>
      </c>
      <c r="Q27" s="131">
        <v>14</v>
      </c>
      <c r="R27" s="17"/>
      <c r="S27" s="18"/>
      <c r="T27" s="17"/>
      <c r="U27" s="17"/>
      <c r="V27" s="17"/>
      <c r="W27" s="17"/>
      <c r="X27" s="17"/>
      <c r="Y27" s="17"/>
      <c r="Z27" s="17"/>
      <c r="AA27" s="17"/>
    </row>
    <row r="28" spans="1:27" ht="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5.75" thickTop="1" thickBot="1">
      <c r="A29" s="17"/>
      <c r="B29" s="84"/>
      <c r="C29" s="90"/>
      <c r="D29" s="91"/>
      <c r="E29" s="30"/>
      <c r="F29" s="92"/>
      <c r="G29" s="16"/>
      <c r="H29" s="345" t="s">
        <v>360</v>
      </c>
      <c r="I29" s="387" t="str">
        <f ca="1">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9.5" thickTop="1" thickBot="1">
      <c r="A30" s="17"/>
      <c r="B30" s="84"/>
      <c r="C30" s="90"/>
      <c r="D30" s="91"/>
      <c r="E30" s="30"/>
      <c r="F30" s="17"/>
      <c r="G30" s="109">
        <v>14</v>
      </c>
      <c r="H30" s="110" t="str">
        <f ca="1">IF(OR(TRIM(D12)="-",TRIM(D13)="-"), IF(TRIM(D12)="-",D12,D13),IF(AND(E12="",E13="")," ",IF(N(E13)=N(E12)," ",IF(N(E13)&gt;N(E12),D12,D13))))</f>
        <v xml:space="preserve"> </v>
      </c>
      <c r="I30" s="156"/>
      <c r="J30" s="27"/>
      <c r="K30" s="17"/>
      <c r="L30" s="67"/>
      <c r="M30" s="244"/>
      <c r="N30" s="67"/>
      <c r="O30" s="67"/>
      <c r="P30" s="67"/>
      <c r="Q30" s="67"/>
      <c r="R30" s="17"/>
      <c r="S30" s="18"/>
      <c r="T30" s="17"/>
      <c r="U30" s="17"/>
      <c r="V30" s="17"/>
      <c r="W30" s="17"/>
      <c r="X30" s="17"/>
      <c r="Y30" s="17"/>
      <c r="Z30" s="17"/>
      <c r="AA30" s="17"/>
    </row>
    <row r="31" spans="1:27" ht="19.5" thickTop="1" thickBot="1">
      <c r="A31" s="17"/>
      <c r="B31" s="84"/>
      <c r="C31" s="90"/>
      <c r="D31" s="91"/>
      <c r="E31" s="30"/>
      <c r="F31" s="17"/>
      <c r="G31" s="111">
        <v>15</v>
      </c>
      <c r="H31" s="112" t="str">
        <f ca="1">IF(OR(TRIM(D16)="-",TRIM(D17)="-"), IF(TRIM(D16)="-",D16,D17),IF(AND(E16="",E17="")," ",IF(N(E17)=N(E16)," ",IF(N(E17)&gt;N(E16),D16,D17))))</f>
        <v xml:space="preserve"> </v>
      </c>
      <c r="I31" s="157"/>
      <c r="J31" s="28"/>
      <c r="K31" s="17"/>
      <c r="L31" s="67"/>
      <c r="M31" s="244"/>
      <c r="N31" s="67"/>
      <c r="O31" s="67"/>
      <c r="P31" s="67"/>
      <c r="Q31" s="67"/>
      <c r="R31" s="17"/>
      <c r="S31" s="18"/>
      <c r="T31" s="17"/>
      <c r="U31" s="17"/>
      <c r="V31" s="17"/>
      <c r="W31" s="17"/>
      <c r="X31" s="17"/>
      <c r="Y31" s="17"/>
      <c r="Z31" s="17"/>
      <c r="AA31" s="17"/>
    </row>
    <row r="32" spans="1:27" ht="14.25"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5.75" thickTop="1" thickBot="1">
      <c r="A33" s="17"/>
      <c r="B33" s="84"/>
      <c r="C33" s="90"/>
      <c r="D33" s="91"/>
      <c r="E33" s="30"/>
      <c r="F33" s="17"/>
      <c r="G33" s="17"/>
      <c r="H33" s="34"/>
      <c r="I33" s="17"/>
      <c r="J33" s="17"/>
      <c r="K33" s="17"/>
      <c r="L33" s="345" t="s">
        <v>362</v>
      </c>
      <c r="M33" s="387" t="str">
        <f ca="1">IF(OR(TRIM(L34)="-",TRIM(L35)="-"),"",VLOOKUP(MIN(K34,K35),Hřiště!$B$11:$E$75,4,0))</f>
        <v/>
      </c>
      <c r="N33" s="17"/>
      <c r="O33" s="17"/>
      <c r="P33" s="17"/>
      <c r="Q33" s="17"/>
      <c r="R33" s="17"/>
      <c r="S33" s="18"/>
      <c r="T33" s="17"/>
      <c r="U33" s="17"/>
      <c r="V33" s="17"/>
      <c r="W33" s="17"/>
      <c r="X33" s="17"/>
      <c r="Y33" s="17"/>
      <c r="Z33" s="17"/>
      <c r="AA33" s="17"/>
    </row>
    <row r="34" spans="1:27" ht="19.5" thickTop="1" thickBot="1">
      <c r="A34" s="17"/>
      <c r="B34" s="84"/>
      <c r="C34" s="90"/>
      <c r="D34" s="91"/>
      <c r="E34" s="30"/>
      <c r="F34" s="17"/>
      <c r="G34" s="17"/>
      <c r="H34" s="34"/>
      <c r="I34" s="17"/>
      <c r="J34" s="17"/>
      <c r="K34" s="109">
        <v>15</v>
      </c>
      <c r="L34" s="110" t="str">
        <f ca="1">IF(OR(TRIM(H22)="-",TRIM(H23)="-"), IF(TRIM(H22)="-",H22,H23),IF(AND(I22="",I23="")," ",IF(N(I23)=N(I22)," ",IF(N(I23)&gt;N(I22),H22,H23))))</f>
        <v xml:space="preserve"> </v>
      </c>
      <c r="M34" s="156"/>
      <c r="N34" s="27"/>
      <c r="O34" s="39">
        <v>15</v>
      </c>
      <c r="P34" s="132" t="str">
        <f>IF(AND(M34="",M35="")," ",IF(N(M34)=N(M35)," ",IF(N(M34)&gt;N(M35),L34,L35)))</f>
        <v xml:space="preserve"> </v>
      </c>
      <c r="Q34" s="40">
        <v>15</v>
      </c>
      <c r="R34" s="17"/>
      <c r="S34" s="18"/>
      <c r="T34" s="17"/>
      <c r="U34" s="17"/>
      <c r="V34" s="17"/>
      <c r="W34" s="17"/>
      <c r="X34" s="17"/>
      <c r="Y34" s="17"/>
      <c r="Z34" s="17"/>
      <c r="AA34" s="17"/>
    </row>
    <row r="35" spans="1:27" ht="19.5" thickTop="1" thickBot="1">
      <c r="A35" s="17"/>
      <c r="B35" s="84"/>
      <c r="C35" s="90"/>
      <c r="D35" s="91"/>
      <c r="E35" s="30"/>
      <c r="F35" s="17"/>
      <c r="G35" s="17"/>
      <c r="H35" s="34"/>
      <c r="I35" s="17"/>
      <c r="J35" s="17"/>
      <c r="K35" s="111">
        <v>16</v>
      </c>
      <c r="L35" s="112" t="str">
        <f ca="1">IF(OR(TRIM(H30)="-",TRIM(H31)="-"),IF(TRIM(H30)="-",H30,H31),IF(AND(I30="",I31="")," ",IF(N(I31)=N(I30)," ",IF(N(I31)&gt;N(I30),H30,H31))))</f>
        <v xml:space="preserve"> </v>
      </c>
      <c r="M35" s="157"/>
      <c r="N35" s="21"/>
      <c r="O35" s="39">
        <v>16</v>
      </c>
      <c r="P35" s="132" t="str">
        <f>IF(AND(M34="",M35="")," ",IF(N(M35)=N(M34)," ",IF(N(M35)&gt;N(M34),L34,L35)))</f>
        <v xml:space="preserve"> </v>
      </c>
      <c r="Q35" s="131">
        <v>16</v>
      </c>
      <c r="R35" s="17"/>
      <c r="S35" s="18"/>
      <c r="T35" s="17"/>
      <c r="U35" s="17"/>
      <c r="V35" s="17"/>
      <c r="W35" s="17"/>
      <c r="X35" s="17"/>
      <c r="Y35" s="17"/>
      <c r="Z35" s="17"/>
      <c r="AA35" s="17"/>
    </row>
    <row r="36" spans="1:27" ht="14.25"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8.9" customHeight="1" thickBot="1">
      <c r="A3" s="17"/>
      <c r="B3" s="17"/>
      <c r="C3" s="33"/>
      <c r="D3" s="384" t="s">
        <v>447</v>
      </c>
      <c r="E3" s="387" t="str">
        <f ca="1">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 ca="1">VLOOKUP(C4,Postupy!$A$3:$C$9,3,0)</f>
        <v>A1</v>
      </c>
      <c r="B4" s="17"/>
      <c r="C4" s="109">
        <v>1</v>
      </c>
      <c r="D4" s="343" t="str">
        <f ca="1">VLOOKUP(C4,Postupy!$A$3:$AI$10,35,0)</f>
        <v xml:space="preserve"> </v>
      </c>
      <c r="E4" s="156">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 ca="1">VLOOKUP(C5,Postupy!$A$3:$C$18,3,0)</f>
        <v>H1</v>
      </c>
      <c r="B5" s="17"/>
      <c r="C5" s="111">
        <v>8</v>
      </c>
      <c r="D5" s="343" t="str">
        <f ca="1">VLOOKUP(C5,Postupy!$A$3:$AI$10,35,0)</f>
        <v xml:space="preserve"> </v>
      </c>
      <c r="E5" s="157">
        <f ca="1">VLOOKUP(C5,Postupy!$A$3:$AJ$10,36,0)</f>
        <v>0</v>
      </c>
      <c r="F5" s="21"/>
      <c r="G5" s="26"/>
      <c r="H5" s="384" t="s">
        <v>447</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 ca="1">IF(OR(TRIM(D4)="-",TRIM(D5)="-"), IF(TRIM(D4)="-",D5,D4),IF(AND(E4="",E5="")," ",IF(N(E4)=N(E5)," ",IF(N(E4)&gt;N(E5),D4,D5))))</f>
        <v xml:space="preserve"> </v>
      </c>
      <c r="I6" s="156">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4</v>
      </c>
      <c r="H7" s="112" t="str">
        <f ca="1">IF(OR(TRIM(D8)="-",TRIM(D9)="-"), IF(TRIM(D8)="-",D9,D8),IF(AND(E8="",E9="")," ",IF(N(E8)=N(E9)," ",IF(N(E8)&gt;N(E9),D8,D9))))</f>
        <v xml:space="preserve"> </v>
      </c>
      <c r="I7" s="157">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7" t="str">
        <f ca="1">VLOOKUP(C8,Postupy!$A$3:$C$18,3,0)</f>
        <v>E1</v>
      </c>
      <c r="B8" s="17"/>
      <c r="C8" s="109">
        <v>5</v>
      </c>
      <c r="D8" s="343" t="str">
        <f ca="1">VLOOKUP(C8,Postupy!$A$3:$AI$10,35,0)</f>
        <v xml:space="preserve"> </v>
      </c>
      <c r="E8" s="156">
        <f ca="1">VLOOKUP(C8,Postupy!$A$3:$AJ$10,36,0)</f>
        <v>0</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20.25" thickTop="1" thickBot="1">
      <c r="A9" s="117" t="str">
        <f ca="1">VLOOKUP(C9,Postupy!$A$3:$C$18,3,0)</f>
        <v>D1</v>
      </c>
      <c r="B9" s="17"/>
      <c r="C9" s="111">
        <v>4</v>
      </c>
      <c r="D9" s="343" t="str">
        <f ca="1">VLOOKUP(C9,Postupy!$A$3:$AI$10,35,0)</f>
        <v xml:space="preserve"> </v>
      </c>
      <c r="E9" s="157">
        <f ca="1">VLOOKUP(C9,Postupy!$A$3:$AJ$10,36,0)</f>
        <v>0</v>
      </c>
      <c r="F9" s="28"/>
      <c r="G9" s="17"/>
      <c r="H9" s="65"/>
      <c r="I9" s="17"/>
      <c r="J9" s="17"/>
      <c r="K9" s="26"/>
      <c r="L9" s="384" t="s">
        <v>447</v>
      </c>
      <c r="M9" s="387" t="str">
        <f ca="1">IF(OR(TRIM(L10)="-",TRIM(L11)="-"),"",VLOOKUP(MIN(K10,K11),Hřiště!$B$11:$E$75,4,0))</f>
        <v/>
      </c>
      <c r="N9" s="17"/>
      <c r="O9" s="18"/>
      <c r="P9" s="288"/>
      <c r="Q9" s="17"/>
      <c r="R9" s="17"/>
      <c r="S9" s="17"/>
      <c r="T9" s="18"/>
      <c r="U9" s="17"/>
      <c r="V9" s="17"/>
      <c r="W9" s="17"/>
      <c r="X9" s="17"/>
      <c r="Y9" s="17"/>
      <c r="Z9" s="17"/>
      <c r="AA9" s="17"/>
      <c r="AB9" s="17"/>
    </row>
    <row r="10" spans="1:30" ht="19.5" thickTop="1" thickBot="1">
      <c r="A10" s="108"/>
      <c r="B10" s="84"/>
      <c r="C10" s="85"/>
      <c r="D10" s="64"/>
      <c r="E10" s="17"/>
      <c r="F10" s="17"/>
      <c r="G10" s="17"/>
      <c r="H10" s="66"/>
      <c r="I10" s="18"/>
      <c r="J10" s="18"/>
      <c r="K10" s="109">
        <v>1</v>
      </c>
      <c r="L10" s="110" t="str">
        <f ca="1">IF(OR(TRIM(H6)="-",TRIM(H7)="-"), IF(TRIM(H6)="-",H7,H6),IF(AND(I6="",I7="")," ",IF(N(I6)=N(I7)," ",IF(N(I6)&gt;N(I7),H6,H7))))</f>
        <v xml:space="preserve"> </v>
      </c>
      <c r="M10" s="156">
        <f ca="1">VLOOKUP(K10,Postupy!$A$3:$AN$6,40,0)</f>
        <v>0</v>
      </c>
      <c r="N10" s="27"/>
      <c r="O10" s="39">
        <v>1</v>
      </c>
      <c r="P10" s="134" t="str">
        <f ca="1">IF(AND(M10="",M11="")," ",IF(N(M10)=N(M11)," ",IF(N(M10)&gt;N(M11),L10,L11)))</f>
        <v xml:space="preserve"> </v>
      </c>
      <c r="Q10" s="40">
        <v>1</v>
      </c>
      <c r="R10" s="17"/>
      <c r="S10" s="18"/>
      <c r="T10" s="17"/>
      <c r="U10" s="17"/>
      <c r="V10" s="17"/>
      <c r="W10" s="17"/>
      <c r="X10" s="17"/>
      <c r="Y10" s="17"/>
      <c r="Z10" s="17"/>
      <c r="AA10" s="17"/>
    </row>
    <row r="11" spans="1:30" ht="20.25" thickTop="1" thickBot="1">
      <c r="A11" s="105"/>
      <c r="B11" s="22"/>
      <c r="C11" s="17"/>
      <c r="D11" s="384" t="s">
        <v>447</v>
      </c>
      <c r="E11" s="387" t="str">
        <f ca="1">IF(OR(TRIM(D12)="-",TRIM(D13)="-"),"",VLOOKUP(MIN(C12,C13),Hřiště!$B$11:$E$75,4,0))</f>
        <v/>
      </c>
      <c r="F11" s="17"/>
      <c r="G11" s="17"/>
      <c r="H11" s="67"/>
      <c r="I11" s="18"/>
      <c r="J11" s="18"/>
      <c r="K11" s="111">
        <v>2</v>
      </c>
      <c r="L11" s="112" t="str">
        <f ca="1">IF(OR(TRIM(H14)="-",TRIM(H15)="-"), IF(TRIM(H14)="-",H15,H14),IF(AND(I14="",I15="")," ",IF(N(I14)=N(I15)," ",IF(N(I14)&gt;N(I15),H14,H15))))</f>
        <v xml:space="preserve"> </v>
      </c>
      <c r="M11" s="157">
        <f ca="1">VLOOKUP(K11,Postupy!$A$3:$AN$6,40,0)</f>
        <v>0</v>
      </c>
      <c r="N11" s="17"/>
      <c r="O11" s="39">
        <v>2</v>
      </c>
      <c r="P11" s="132" t="str">
        <f ca="1">IF(AND(M10="",M11="")," ",IF(N(M11)=N(M10)," ",IF(N(M11)&gt;N(M10),L10,L11)))</f>
        <v xml:space="preserve"> </v>
      </c>
      <c r="Q11" s="131">
        <v>2</v>
      </c>
      <c r="R11" s="17"/>
      <c r="S11" s="17"/>
      <c r="T11" s="17"/>
      <c r="U11" s="17"/>
      <c r="V11" s="17"/>
      <c r="W11" s="17"/>
      <c r="X11" s="17"/>
      <c r="Y11" s="16"/>
      <c r="Z11" s="17"/>
      <c r="AA11" s="17"/>
      <c r="AB11" s="17"/>
      <c r="AC11" s="18"/>
    </row>
    <row r="12" spans="1:30" ht="18.75" thickBot="1">
      <c r="A12" s="117" t="str">
        <f ca="1">VLOOKUP(C12,Postupy!$A$3:$C$18,3,0)</f>
        <v>C1</v>
      </c>
      <c r="B12" s="17"/>
      <c r="C12" s="109">
        <v>3</v>
      </c>
      <c r="D12" s="343" t="str">
        <f ca="1">VLOOKUP(C12,Postupy!$A$3:$AI$10,35,0)</f>
        <v xml:space="preserve"> </v>
      </c>
      <c r="E12" s="156">
        <f ca="1">VLOOKUP(C12,Postupy!$A$3:$AJ$10,36,0)</f>
        <v>0</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7" t="str">
        <f ca="1">VLOOKUP(C13,Postupy!$A$3:$C$18,3,0)</f>
        <v>F1</v>
      </c>
      <c r="B13" s="17"/>
      <c r="C13" s="111">
        <v>6</v>
      </c>
      <c r="D13" s="343" t="str">
        <f ca="1">VLOOKUP(C13,Postupy!$A$3:$AI$10,35,0)</f>
        <v xml:space="preserve"> </v>
      </c>
      <c r="E13" s="157">
        <f ca="1">VLOOKUP(C13,Postupy!$A$3:$AJ$10,36,0)</f>
        <v>0</v>
      </c>
      <c r="F13" s="21"/>
      <c r="G13" s="26"/>
      <c r="H13" s="384" t="s">
        <v>447</v>
      </c>
      <c r="I13" s="387" t="str">
        <f ca="1">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8"/>
      <c r="B14" s="22"/>
      <c r="C14" s="17"/>
      <c r="D14" s="65"/>
      <c r="E14" s="17"/>
      <c r="F14" s="17"/>
      <c r="G14" s="109">
        <v>3</v>
      </c>
      <c r="H14" s="110" t="str">
        <f ca="1">IF(OR(TRIM(D12)="-",TRIM(D13)="-"), IF(TRIM(D12)="-",D13,D12),IF(AND(E12="",E13="")," ",IF(N(E12)=N(E13)," ",IF(N(E12)&gt;N(E13),D12,D13))))</f>
        <v xml:space="preserve"> </v>
      </c>
      <c r="I14" s="156">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5"/>
      <c r="B15" s="33"/>
      <c r="C15" s="17"/>
      <c r="D15" s="384" t="s">
        <v>447</v>
      </c>
      <c r="E15" s="387" t="str">
        <f ca="1">IF(OR(TRIM(D16)="-",TRIM(D17)="-"),"",VLOOKUP(MIN(C16,C17),Hřiště!$B$11:$E$75,4,0))</f>
        <v/>
      </c>
      <c r="F15" s="17"/>
      <c r="G15" s="111">
        <v>2</v>
      </c>
      <c r="H15" s="112" t="str">
        <f ca="1">IF(OR(TRIM(D16)="-",TRIM(D17)="-"), IF(TRIM(D16)="-",D17,D16),IF(AND(E16="",E17="")," ",IF(N(E16)=N(E17)," ",IF(N(E16)&gt;N(E17),D16,D17))))</f>
        <v xml:space="preserve"> </v>
      </c>
      <c r="I15" s="157">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7" t="str">
        <f ca="1">VLOOKUP(C16,Postupy!$A$3:$C$18,3,0)</f>
        <v>G1</v>
      </c>
      <c r="B16" s="17"/>
      <c r="C16" s="109">
        <v>7</v>
      </c>
      <c r="D16" s="343" t="str">
        <f ca="1">VLOOKUP(C16,Postupy!$A$3:$AI$10,35,0)</f>
        <v xml:space="preserve"> </v>
      </c>
      <c r="E16" s="156">
        <f ca="1">VLOOKUP(C16,Postupy!$A$3:$AJ$10,36,0)</f>
        <v>0</v>
      </c>
      <c r="F16" s="27"/>
      <c r="G16" s="26"/>
      <c r="H16" s="65"/>
      <c r="I16" s="16"/>
      <c r="J16" s="17"/>
      <c r="K16" s="17"/>
      <c r="L16" s="36"/>
      <c r="M16" s="16"/>
      <c r="N16" s="17"/>
      <c r="O16" s="17"/>
      <c r="P16" s="19"/>
      <c r="Q16" s="18"/>
      <c r="R16" s="17"/>
      <c r="S16" s="18"/>
      <c r="T16" s="35"/>
      <c r="U16" s="17"/>
      <c r="V16" s="17"/>
      <c r="W16" s="17"/>
      <c r="X16" s="17"/>
      <c r="Y16" s="17"/>
      <c r="Z16" s="17"/>
      <c r="AA16" s="17"/>
    </row>
    <row r="17" spans="1:27" ht="19.5" thickTop="1" thickBot="1">
      <c r="A17" s="117" t="str">
        <f ca="1">VLOOKUP(C17,Postupy!$A$3:$C$18,3,0)</f>
        <v>B1</v>
      </c>
      <c r="B17" s="17"/>
      <c r="C17" s="111">
        <v>2</v>
      </c>
      <c r="D17" s="343" t="str">
        <f ca="1">VLOOKUP(C17,Postupy!$A$3:$AI$10,35,0)</f>
        <v xml:space="preserve"> </v>
      </c>
      <c r="E17" s="157">
        <f ca="1">VLOOKUP(C17,Postupy!$A$3:$AJ$10,36,0)</f>
        <v>0</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7.2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4"/>
      <c r="L19" s="384" t="s">
        <v>447</v>
      </c>
      <c r="M19" s="387" t="str">
        <f ca="1">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09">
        <v>4</v>
      </c>
      <c r="L20" s="110" t="str">
        <f ca="1">IF(OR(TRIM(H6)="-",TRIM(H7)="-"), IF(TRIM(H6)="-",H6,H7),IF(AND(I6="",I7="")," ",IF(N(I7)=N(I6)," ",IF(N(I7)&gt;N(I6),H6,H7))))</f>
        <v xml:space="preserve"> </v>
      </c>
      <c r="M20" s="156">
        <f ca="1">VLOOKUP(K20,Postupy!$A$3:$AN$6,40,0)</f>
        <v>0</v>
      </c>
      <c r="N20" s="198"/>
      <c r="O20" s="39">
        <v>3</v>
      </c>
      <c r="P20" s="132" t="str">
        <f ca="1">IF(AND(M20="",M21="")," ",IF(N(M20)=N(M21)," ",IF(N(M20)&gt;N(M21),L20,L21)))</f>
        <v xml:space="preserve"> </v>
      </c>
      <c r="Q20" s="131">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1">
        <v>3</v>
      </c>
      <c r="L21" s="112" t="str">
        <f ca="1">IF(OR(TRIM(H14)="-",TRIM(H15)="-"), IF(TRIM(H14)="-",H14,H15),IF(AND(I14="",I15="")," ",IF(N(I15)=N(I14)," ",IF(N(I15)&gt;N(I14),H14,H15))))</f>
        <v xml:space="preserve"> </v>
      </c>
      <c r="M21" s="157">
        <f ca="1">VLOOKUP(K21,Postupy!$A$3:$AN$6,40,0)</f>
        <v>0</v>
      </c>
      <c r="N21" s="186"/>
      <c r="O21" s="39">
        <v>4</v>
      </c>
      <c r="P21" s="132" t="str">
        <f ca="1">IF(AND(M20="",M21="")," ",IF(N(M21)=N(M20)," ",IF(N(M21)&gt;N(M20),L20,L21)))</f>
        <v xml:space="preserve"> </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legacyDrawing r:id="rId2"/>
</worksheet>
</file>

<file path=xl/worksheets/sheet22.xml><?xml version="1.0" encoding="utf-8"?>
<worksheet xmlns="http://schemas.openxmlformats.org/spreadsheetml/2006/main" xmlns:r="http://schemas.openxmlformats.org/officeDocument/2006/relationships">
  <sheetPr codeName="List24"/>
  <dimension ref="A1:AD32"/>
  <sheetViews>
    <sheetView topLeftCell="B1" workbookViewId="0">
      <pane xSplit="3" ySplit="3" topLeftCell="E4" activePane="bottomRight" state="frozen"/>
      <selection pane="topRight"/>
      <selection pane="bottomLeft"/>
      <selection pane="bottomRight" activeCell="F7" sqref="F7"/>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 ca="1">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75" thickBot="1">
      <c r="A4" s="117" t="str">
        <f ca="1">VLOOKUP(C4,Postupy!$A$3:$C$34,3,0)</f>
        <v>H1</v>
      </c>
      <c r="B4" s="94"/>
      <c r="C4" s="109">
        <v>8</v>
      </c>
      <c r="D4" s="343" t="str">
        <f ca="1">IF(OR(TRIM('KO8'!D4)="-",TRIM('KO8'!D5)="-"), IF(TRIM('KO8'!D4)="-",'KO8'!D4,'KO8'!D5),IF(AND('KO8'!E4="",'KO8'!E5="")," ",IF(N('KO8'!E4)=N('KO8'!E5)," ",IF(N('KO8'!E4)&gt;N('KO8'!E5),'KO8'!D5,'KO8'!D4))))</f>
        <v xml:space="preserve"> </v>
      </c>
      <c r="E4" s="156"/>
      <c r="F4" s="20"/>
      <c r="G4" s="17"/>
      <c r="H4" s="38"/>
      <c r="I4" s="240"/>
      <c r="J4" s="17"/>
      <c r="K4" s="17"/>
      <c r="L4" s="35"/>
      <c r="M4" s="17"/>
      <c r="N4" s="17"/>
      <c r="O4" s="17"/>
      <c r="P4" s="17"/>
      <c r="Q4" s="17"/>
      <c r="R4" s="17"/>
      <c r="S4" s="17"/>
      <c r="T4" s="18"/>
      <c r="U4" s="17"/>
      <c r="V4" s="17"/>
      <c r="W4" s="17"/>
      <c r="X4" s="17"/>
      <c r="Y4" s="17"/>
      <c r="Z4" s="17"/>
      <c r="AA4" s="17"/>
      <c r="AB4" s="17"/>
    </row>
    <row r="5" spans="1:30" ht="20.25" thickTop="1" thickBot="1">
      <c r="A5" s="117" t="str">
        <f ca="1">VLOOKUP(C5,Postupy!$A$3:$C$34,3,0)</f>
        <v>E1</v>
      </c>
      <c r="B5" s="95"/>
      <c r="C5" s="111">
        <v>5</v>
      </c>
      <c r="D5" s="344" t="str">
        <f ca="1">IF(OR(TRIM('KO8'!D8)="-",TRIM('KO8'!D9)="-"), IF(TRIM('KO8'!D8)="-",'KO8'!D8,'KO8'!D9),IF(AND('KO8'!E8="",'KO8'!E9="")," ",IF(N('KO8'!E8)=N('KO8'!E9)," ",IF(N('KO8'!E8)&gt;N('KO8'!E9),'KO8'!D9,'KO8'!D8))))</f>
        <v xml:space="preserve"> </v>
      </c>
      <c r="E5" s="157"/>
      <c r="F5" s="21"/>
      <c r="G5" s="26"/>
      <c r="H5" s="345" t="s">
        <v>356</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8"/>
      <c r="B6" s="22"/>
      <c r="C6" s="17"/>
      <c r="D6" s="65"/>
      <c r="E6" s="240"/>
      <c r="F6" s="17"/>
      <c r="G6" s="109">
        <v>5</v>
      </c>
      <c r="H6" s="110" t="str">
        <f ca="1">IF(OR(TRIM(D4)="-",TRIM(D5)="-"), IF(TRIM(D4)="-",D5,D4),IF(AND(E4="",E5="")," ",IF(N(E4)=N(E5)," ",IF(N(E4)&gt;N(E5),D4,D5))))</f>
        <v xml:space="preserve"> </v>
      </c>
      <c r="I6" s="156"/>
      <c r="J6" s="27"/>
      <c r="K6" s="40">
        <v>5</v>
      </c>
      <c r="L6" s="134"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6</v>
      </c>
      <c r="H7" s="112" t="str">
        <f ca="1">IF(OR(TRIM(D8)="-",TRIM(D9)="-"), IF(TRIM(D8)="-",D9,D8),IF(AND(E8="",E9="")," ",IF(N(E8)=N(E9)," ",IF(N(E8)&gt;N(E9),D8,D9))))</f>
        <v xml:space="preserve"> </v>
      </c>
      <c r="I7" s="157"/>
      <c r="J7" s="21"/>
      <c r="K7" s="346">
        <v>6</v>
      </c>
      <c r="L7" s="132" t="str">
        <f>IF(AND(I6="",I7="")," ",IF(N(I7)=N(I6)," ",IF(N(I7)&gt;N(I6),H6,H7)))</f>
        <v xml:space="preserve"> </v>
      </c>
      <c r="M7" s="131">
        <v>6</v>
      </c>
      <c r="N7" s="17"/>
      <c r="O7" s="17"/>
      <c r="P7" s="17"/>
      <c r="Q7" s="17"/>
      <c r="R7" s="17"/>
      <c r="S7" s="17"/>
      <c r="T7" s="17"/>
      <c r="U7" s="17"/>
      <c r="V7" s="16"/>
      <c r="W7" s="17"/>
      <c r="X7" s="17"/>
      <c r="Y7" s="17"/>
      <c r="Z7" s="16"/>
      <c r="AA7" s="17"/>
      <c r="AB7" s="17"/>
      <c r="AC7" s="17"/>
      <c r="AD7" s="17"/>
    </row>
    <row r="8" spans="1:30" ht="18.75" thickBot="1">
      <c r="A8" s="117" t="e">
        <f ca="1">VLOOKUP(C50,Postupy!$A$3:$C$34,3,0)</f>
        <v>#N/A</v>
      </c>
      <c r="B8" s="94"/>
      <c r="C8" s="109">
        <v>6</v>
      </c>
      <c r="D8" s="343" t="str">
        <f ca="1">IF(OR(TRIM('KO8'!D12)="-",TRIM('KO8'!D13)="-"), IF(TRIM('KO8'!D12)="-",'KO8'!D12,'KO8'!D13),IF(AND('KO8'!E12="",'KO8'!E13="")," ",IF(N('KO8'!E12)=N('KO8'!E13)," ",IF(N('KO8'!E12)&gt;N('KO8'!E13),'KO8'!D13,'KO8'!D12))))</f>
        <v xml:space="preserve"> </v>
      </c>
      <c r="E8" s="156"/>
      <c r="F8" s="27"/>
      <c r="G8" s="26"/>
      <c r="H8" s="65"/>
      <c r="I8" s="241"/>
      <c r="J8" s="17"/>
      <c r="K8" s="17"/>
      <c r="L8" s="85"/>
      <c r="M8" s="19"/>
      <c r="N8" s="18"/>
      <c r="O8" s="17"/>
      <c r="P8" s="18"/>
      <c r="Q8" s="17"/>
      <c r="R8" s="17"/>
      <c r="S8" s="17"/>
      <c r="T8" s="17"/>
      <c r="U8" s="17"/>
      <c r="V8" s="16"/>
      <c r="W8" s="17"/>
      <c r="X8" s="17"/>
      <c r="Y8" s="17"/>
      <c r="Z8" s="16"/>
      <c r="AA8" s="17"/>
      <c r="AB8" s="17"/>
      <c r="AC8" s="17"/>
      <c r="AD8" s="17"/>
    </row>
    <row r="9" spans="1:30" ht="19.5" thickTop="1" thickBot="1">
      <c r="A9" s="117" t="e">
        <f ca="1">VLOOKUP(C51,Postupy!$A$3:$C$34,3,0)</f>
        <v>#N/A</v>
      </c>
      <c r="B9" s="33"/>
      <c r="C9" s="111">
        <v>7</v>
      </c>
      <c r="D9" s="344" t="str">
        <f ca="1">IF(OR(TRIM('KO8'!D16)="-",TRIM('KO8'!D17)="-"),IF(TRIM('KO8'!D16)="-",'KO8'!D16,'KO8'!D17),IF(AND('KO8'!E16="",'KO8'!E17="")," ",IF(N('KO8'!E16)=N('KO8'!E17)," ",IF(N('KO8'!E16)&gt;N('KO8'!E17),'KO8'!D17,'KO8'!D16))))</f>
        <v xml:space="preserve"> </v>
      </c>
      <c r="E9" s="157"/>
      <c r="F9" s="28"/>
      <c r="G9" s="17"/>
      <c r="H9" s="65"/>
      <c r="I9" s="240"/>
      <c r="J9" s="64"/>
      <c r="K9" s="64"/>
      <c r="L9" s="64"/>
      <c r="M9" s="64"/>
      <c r="N9" s="64"/>
      <c r="O9" s="64"/>
      <c r="P9" s="64"/>
      <c r="Q9" s="64"/>
      <c r="R9" s="17"/>
      <c r="S9" s="17"/>
      <c r="T9" s="18"/>
      <c r="U9" s="17"/>
      <c r="V9" s="17"/>
      <c r="W9" s="17"/>
      <c r="X9" s="17"/>
      <c r="Y9" s="17"/>
      <c r="Z9" s="17"/>
      <c r="AA9" s="17"/>
      <c r="AB9" s="17"/>
    </row>
    <row r="10" spans="1:30" ht="14.2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5" thickBot="1">
      <c r="A11" s="17"/>
      <c r="B11" s="22"/>
      <c r="C11" s="17"/>
      <c r="D11" s="65"/>
      <c r="E11" s="240"/>
      <c r="F11" s="17"/>
      <c r="G11" s="17"/>
      <c r="H11" s="345" t="s">
        <v>357</v>
      </c>
      <c r="I11" s="387" t="str">
        <f ca="1">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9.5" thickTop="1" thickBot="1">
      <c r="A12" s="17"/>
      <c r="B12" s="33"/>
      <c r="C12" s="29"/>
      <c r="D12" s="87"/>
      <c r="E12" s="240"/>
      <c r="F12" s="17"/>
      <c r="G12" s="109">
        <v>7</v>
      </c>
      <c r="H12" s="110" t="str">
        <f ca="1">IF(OR(TRIM(D4)="-",TRIM(D5)="-"), IF(TRIM(D4)="-",D5,D4),IF(AND(E4="",E5="")," ",IF(N(E4)=N(E5)," ",IF(N(E5)&gt;N(E4),D4,D5))))</f>
        <v xml:space="preserve"> </v>
      </c>
      <c r="I12" s="156"/>
      <c r="J12" s="198"/>
      <c r="K12" s="131">
        <v>7</v>
      </c>
      <c r="L12" s="132" t="str">
        <f>IF(AND(I12="",I13="")," ",IF(N(I12)=N(I13)," ",IF(N(I12)&gt;N(I13),H12,H13)))</f>
        <v xml:space="preserve"> </v>
      </c>
      <c r="M12" s="131">
        <v>7</v>
      </c>
      <c r="N12" s="17"/>
      <c r="O12" s="17"/>
      <c r="P12" s="18"/>
      <c r="Q12" s="68"/>
      <c r="R12" s="68"/>
      <c r="S12" s="68"/>
      <c r="T12" s="68"/>
      <c r="U12" s="68"/>
      <c r="V12" s="17"/>
      <c r="W12" s="17"/>
      <c r="X12" s="17"/>
      <c r="Y12" s="17"/>
      <c r="Z12" s="17"/>
      <c r="AA12" s="17"/>
    </row>
    <row r="13" spans="1:30" ht="19.5" thickTop="1" thickBot="1">
      <c r="A13" s="17"/>
      <c r="B13" s="84"/>
      <c r="C13" s="90"/>
      <c r="D13" s="91"/>
      <c r="E13" s="236"/>
      <c r="F13" s="17"/>
      <c r="G13" s="111">
        <v>8</v>
      </c>
      <c r="H13" s="112" t="str">
        <f ca="1">IF(OR(TRIM(D8)="-",TRIM(D9)="-"), IF(TRIM(D8)="-",D9,D8),IF(AND(E8="",E9="")," ",IF(N(E8)=N(E9)," ",IF(N(E9)&gt;N(E8),D8,D9))))</f>
        <v xml:space="preserve"> </v>
      </c>
      <c r="I13" s="157"/>
      <c r="J13" s="186"/>
      <c r="K13" s="346">
        <v>8</v>
      </c>
      <c r="L13" s="132" t="str">
        <f>IF(AND(I12="",I13="")," ",IF(N(I13)=N(I12)," ",IF(N(I13)&gt;N(I12),H12,H13)))</f>
        <v xml:space="preserve"> </v>
      </c>
      <c r="M13" s="131">
        <v>8</v>
      </c>
      <c r="N13" s="17"/>
      <c r="O13" s="17"/>
      <c r="P13" s="18"/>
      <c r="Q13" s="17"/>
      <c r="R13" s="17"/>
      <c r="S13" s="18"/>
      <c r="T13" s="17"/>
      <c r="U13" s="17"/>
      <c r="V13" s="17"/>
      <c r="W13" s="17"/>
      <c r="X13" s="17"/>
      <c r="Y13" s="17"/>
      <c r="Z13" s="17"/>
      <c r="AA13" s="17"/>
    </row>
    <row r="14" spans="1:30" ht="13.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5">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5">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5">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5">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5">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5">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5">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5">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5">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5">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5">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5">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v>
      </c>
      <c r="B1" s="71" t="s">
        <v>113</v>
      </c>
      <c r="C1" s="71" t="s">
        <v>83</v>
      </c>
      <c r="D1" s="72"/>
      <c r="E1" s="70"/>
      <c r="F1">
        <f>VLOOKUP(A1,'Hra 2P'!I8:J390,2,0)</f>
        <v>8</v>
      </c>
      <c r="L1">
        <f ca="1">IF(TRIM(B3)="-",0,1) + IF(TRIM(B4)="-",0,1) + IF(TRIM(B5)="-",0,1) + IF(TRIM(B6)="-",0,1)</f>
        <v>3</v>
      </c>
      <c r="R1">
        <f ca="1">INDIRECT(ADDRESS(4,A1,1,1,"Hřiště"))</f>
        <v>1</v>
      </c>
      <c r="S1">
        <f ca="1">INDIRECT(ADDRESS(5,A1,1,1,"Hřiště"))</f>
        <v>1</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 Carreau Brno - Michálek Ivo</v>
      </c>
      <c r="C3" s="70"/>
      <c r="D3" s="70"/>
      <c r="E3" s="70"/>
    </row>
    <row r="4" spans="1:20" ht="19.5">
      <c r="A4" s="70">
        <v>2</v>
      </c>
      <c r="B4" s="43" t="str">
        <f ca="1">IF(TYPE(VLOOKUP(CONCATENATE($C$1,A4),Skupiny!$A$3:$B$258,2,0))&gt;4," - ",VLOOKUP(CONCATENATE($C$1,A4),Skupiny!$A$3:$B$258,2,0))</f>
        <v>86 PC Sokol PP Hr. Králové - Melgr Jan</v>
      </c>
      <c r="C4" s="70"/>
      <c r="D4" s="70"/>
      <c r="E4" s="70"/>
    </row>
    <row r="5" spans="1:20" ht="19.5">
      <c r="A5" s="70">
        <v>3</v>
      </c>
      <c r="B5" s="43" t="str">
        <f ca="1">IF(TYPE(VLOOKUP(CONCATENATE($C$1,A5),Skupiny!$A$3:$B$258,2,0))&gt;4," - ",VLOOKUP(CONCATENATE($C$1,A5),Skupiny!$A$3:$B$258,2,0))</f>
        <v>87 JAPKO - Stejskal Václav</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 Carreau Brno - Michálek Ivo</v>
      </c>
      <c r="C8" s="74" t="str">
        <f>IF(('Hra 2P'!E8=""),"",'Hra 2P'!E8)</f>
        <v/>
      </c>
      <c r="D8" s="74" t="str">
        <f>IF(('Hra 2P'!F8=""),"",'Hra 2P'!F8)</f>
        <v/>
      </c>
      <c r="E8" s="43" t="str">
        <f ca="1">B6</f>
        <v xml:space="preserve"> - </v>
      </c>
    </row>
    <row r="9" spans="1:20" ht="19.5">
      <c r="A9" s="70"/>
      <c r="B9" s="43" t="str">
        <f ca="1">B4</f>
        <v>86 PC Sokol PP Hr. Králové - Melgr Jan</v>
      </c>
      <c r="C9" s="74">
        <f>IF(('Hra 2P'!E9=""),"",'Hra 2P'!E9)</f>
        <v>13</v>
      </c>
      <c r="D9" s="74">
        <f>IF(('Hra 2P'!F9=""),"",'Hra 2P'!F9)</f>
        <v>1</v>
      </c>
      <c r="E9" s="43" t="str">
        <f ca="1">B5</f>
        <v>87 JAPKO - Stejskal Václav</v>
      </c>
    </row>
    <row r="10" spans="1:20" ht="19.5">
      <c r="A10" s="75" t="s">
        <v>46</v>
      </c>
      <c r="B10" s="43" t="str">
        <f ca="1">IF(TRIM(E8)="-",B8,IF(AND(C8="",D8="")," ",IF(N(C8)&gt;N(D8),B8,E8)))</f>
        <v>1 Carreau Brno - Michálek Ivo</v>
      </c>
      <c r="C10" s="74">
        <f>IF(('Hra 2P'!E10=""),"",'Hra 2P'!E10)</f>
        <v>13</v>
      </c>
      <c r="D10" s="74">
        <f>IF(('Hra 2P'!F10=""),"",'Hra 2P'!F10)</f>
        <v>6</v>
      </c>
      <c r="E10" s="43" t="str">
        <f ca="1">IF(AND(C9="",D9="")," ",IF(N(C9)&gt;N(D9),B9,E9))</f>
        <v>86 PC Sokol PP Hr. Králové - Melgr Jan</v>
      </c>
    </row>
    <row r="11" spans="1:20" ht="19.5">
      <c r="A11" s="75" t="s">
        <v>47</v>
      </c>
      <c r="B11" s="43" t="str">
        <f ca="1">IF(TRIM(E8)="-",E8,IF(AND(C8="",D8="")," ",IF(N(C8)&gt;N(D8),E8,B8)))</f>
        <v xml:space="preserve"> - </v>
      </c>
      <c r="C11" s="74" t="str">
        <f>IF(('Hra 2P'!E11=""),"",'Hra 2P'!E11)</f>
        <v/>
      </c>
      <c r="D11" s="74">
        <f>IF(('Hra 2P'!F11=""),"",'Hra 2P'!F11)</f>
        <v>13</v>
      </c>
      <c r="E11" s="43" t="str">
        <f ca="1">IF(TRIM(E9)="",E9,IF(AND(C9="",D9="")," ",IF(N(C9)&gt;N(D9),E9,B9)))</f>
        <v>87 JAPKO - Stejskal Václav</v>
      </c>
    </row>
    <row r="12" spans="1:20" ht="19.5">
      <c r="A12" s="75" t="s">
        <v>48</v>
      </c>
      <c r="B12" s="43" t="str">
        <f ca="1">IF(TRIM(E10)="",E10,IF(AND(C10="",D10="")," ",IF(N(C10)&gt;N(D10),E10,B10)))</f>
        <v>86 PC Sokol PP Hr. Králové - Melgr Jan</v>
      </c>
      <c r="C12" s="74">
        <f>IF(('Hra 2P'!E12=""),"",'Hra 2P'!E12)</f>
        <v>12</v>
      </c>
      <c r="D12" s="74">
        <f>IF(('Hra 2P'!F12=""),"",'Hra 2P'!F12)</f>
        <v>13</v>
      </c>
      <c r="E12" s="43" t="str">
        <f ca="1">IF(AND(TRIM(B11)="",TRIM(E8)=""),E11,IF(AND(C11="",D11="")," ",IF(N(C11)&gt;N(D11),B11,E11)))</f>
        <v>87 JAPKO - Stejskal Václav</v>
      </c>
    </row>
    <row r="13" spans="1:20" ht="37.15" customHeight="1">
      <c r="A13" s="70"/>
      <c r="B13" s="76" t="s">
        <v>52</v>
      </c>
      <c r="C13" s="77" t="s">
        <v>116</v>
      </c>
      <c r="D13" s="70"/>
      <c r="E13" s="70"/>
    </row>
    <row r="14" spans="1:20" ht="19.5">
      <c r="A14" s="70" t="s">
        <v>31</v>
      </c>
      <c r="B14" s="43" t="str">
        <f ca="1">IF(N(C10)+N(D10)&gt;0,IF(N(C10)&gt;N(D10),B10,E10),"")</f>
        <v>1 Carreau Brno - Michálek Ivo</v>
      </c>
      <c r="C14" s="73" t="str">
        <f>CONCATENATE($C$1,A3)</f>
        <v>A1</v>
      </c>
      <c r="D14" s="70"/>
      <c r="E14" s="70"/>
    </row>
    <row r="15" spans="1:20" ht="19.5">
      <c r="A15" s="70" t="s">
        <v>32</v>
      </c>
      <c r="B15" s="43" t="str">
        <f ca="1">IF(N(C12)+N(D12)&gt;0,IF(N(C12)&gt;N(D12),B12,E12),"")</f>
        <v>87 JAPKO - Stejskal Václav</v>
      </c>
      <c r="C15" s="73" t="str">
        <f>CONCATENATE($C$1,A4)</f>
        <v>A2</v>
      </c>
      <c r="D15" s="70"/>
      <c r="E15" s="70"/>
    </row>
    <row r="16" spans="1:20" ht="19.5">
      <c r="A16" s="70" t="s">
        <v>33</v>
      </c>
      <c r="B16" s="43" t="str">
        <f ca="1">IF(N(C12)+N(D12)&gt;0,IF(N(C12)&gt;N(D12),E12,B12),"")</f>
        <v>86 PC Sokol PP Hr. Králové - Melgr Jan</v>
      </c>
      <c r="C16" s="73" t="str">
        <f>CONCATENATE($C$1,A5)</f>
        <v>A3</v>
      </c>
      <c r="D16" s="70"/>
      <c r="E16" s="70"/>
    </row>
    <row r="17" spans="1:5" ht="19.5">
      <c r="A17" s="70" t="s">
        <v>34</v>
      </c>
      <c r="B17" s="78" t="str">
        <f ca="1">IF(N(C11)+N(D11)&gt;0,IF(N(C11)&gt;N(D11),E11,B11),"")</f>
        <v xml:space="preserve"> - </v>
      </c>
      <c r="C17" s="73" t="str">
        <f>CONCATENATE($C$1,A6)</f>
        <v>A4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v>
      </c>
      <c r="B1" s="71" t="s">
        <v>113</v>
      </c>
      <c r="C1" s="71" t="s">
        <v>84</v>
      </c>
      <c r="D1" s="72"/>
      <c r="E1" s="70"/>
      <c r="F1">
        <f>VLOOKUP(A1,'Hra 2P'!I8:J390,2,0)</f>
        <v>14</v>
      </c>
      <c r="L1">
        <f ca="1">IF(TRIM(B3)="-",0,1) + IF(TRIM(B4)="-",0,1) + IF(TRIM(B5)="-",0,1) + IF(TRIM(B6)="-",0,1)</f>
        <v>3</v>
      </c>
      <c r="R1">
        <f ca="1">INDIRECT(ADDRESS(4,A1,1,1,"Hřiště"))</f>
        <v>2</v>
      </c>
      <c r="S1">
        <f ca="1">INDIRECT(ADDRESS(5,A1,1,1,"Hřiště"))</f>
        <v>2</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 PC Sokol Lipník - Vavrovič Petr ml.</v>
      </c>
      <c r="C3" s="70"/>
      <c r="D3" s="70"/>
      <c r="E3" s="70"/>
    </row>
    <row r="4" spans="1:20" ht="19.5">
      <c r="A4" s="70">
        <v>2</v>
      </c>
      <c r="B4" s="43" t="str">
        <f ca="1">IF(TYPE(VLOOKUP(CONCATENATE($C$1,A4),Skupiny!$A$3:$B$258,2,0))&gt;4," - ",VLOOKUP(CONCATENATE($C$1,A4),Skupiny!$A$3:$B$258,2,0))</f>
        <v>85 Petank Club Praha - Froněk Jiří ml.</v>
      </c>
      <c r="C4" s="70"/>
      <c r="D4" s="70"/>
      <c r="E4" s="70"/>
    </row>
    <row r="5" spans="1:20" ht="19.5">
      <c r="A5" s="70">
        <v>3</v>
      </c>
      <c r="B5" s="43" t="str">
        <f ca="1">IF(TYPE(VLOOKUP(CONCATENATE($C$1,A5),Skupiny!$A$3:$B$258,2,0))&gt;4," - ",VLOOKUP(CONCATENATE($C$1,A5),Skupiny!$A$3:$B$258,2,0))</f>
        <v>88 C.T.P. Club Ořech - Glaser Vladimír</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 PC Sokol Lipník - Vavrovič Petr ml.</v>
      </c>
      <c r="C8" s="74" t="str">
        <f>IF(('Hra 2P'!E14=""),"",'Hra 2P'!E14)</f>
        <v/>
      </c>
      <c r="D8" s="74" t="str">
        <f>IF(('Hra 2P'!F14=""),"",'Hra 2P'!F14)</f>
        <v/>
      </c>
      <c r="E8" s="43" t="str">
        <f ca="1">B6</f>
        <v xml:space="preserve"> - </v>
      </c>
    </row>
    <row r="9" spans="1:20" ht="19.5">
      <c r="A9" s="70"/>
      <c r="B9" s="43" t="str">
        <f ca="1">B4</f>
        <v>85 Petank Club Praha - Froněk Jiří ml.</v>
      </c>
      <c r="C9" s="74">
        <f>IF(('Hra 2P'!E15=""),"",'Hra 2P'!E15)</f>
        <v>12</v>
      </c>
      <c r="D9" s="74">
        <f>IF(('Hra 2P'!F15=""),"",'Hra 2P'!F15)</f>
        <v>13</v>
      </c>
      <c r="E9" s="43" t="str">
        <f ca="1">B5</f>
        <v>88 C.T.P. Club Ořech - Glaser Vladimír</v>
      </c>
    </row>
    <row r="10" spans="1:20" ht="19.5">
      <c r="A10" s="75" t="s">
        <v>46</v>
      </c>
      <c r="B10" s="43" t="str">
        <f ca="1">IF(TRIM(E8)="-",B8,IF(AND(C8="",D8="")," ",IF(N(C8)&gt;N(D8),B8,E8)))</f>
        <v>2 PC Sokol Lipník - Vavrovič Petr ml.</v>
      </c>
      <c r="C10" s="74">
        <f>IF(('Hra 2P'!E16=""),"",'Hra 2P'!E16)</f>
        <v>13</v>
      </c>
      <c r="D10" s="74">
        <f>IF(('Hra 2P'!F16=""),"",'Hra 2P'!F16)</f>
        <v>5</v>
      </c>
      <c r="E10" s="43" t="str">
        <f ca="1">IF(AND(C9="",D9="")," ",IF(N(C9)&gt;N(D9),B9,E9))</f>
        <v>88 C.T.P. Club Ořech - Glaser Vladimír</v>
      </c>
    </row>
    <row r="11" spans="1:20" ht="19.5">
      <c r="A11" s="75" t="s">
        <v>47</v>
      </c>
      <c r="B11" s="43" t="str">
        <f ca="1">IF(TRIM(E8)="-",E8,IF(AND(C8="",D8="")," ",IF(N(C8)&gt;N(D8),E8,B8)))</f>
        <v xml:space="preserve"> - </v>
      </c>
      <c r="C11" s="74" t="str">
        <f>IF(('Hra 2P'!E17=""),"",'Hra 2P'!E17)</f>
        <v/>
      </c>
      <c r="D11" s="74">
        <f>IF(('Hra 2P'!F17=""),"",'Hra 2P'!F17)</f>
        <v>13</v>
      </c>
      <c r="E11" s="43" t="str">
        <f ca="1">IF(TRIM(E9)="",E9,IF(AND(C9="",D9="")," ",IF(N(C9)&gt;N(D9),E9,B9)))</f>
        <v>85 Petank Club Praha - Froněk Jiří ml.</v>
      </c>
    </row>
    <row r="12" spans="1:20" ht="19.5">
      <c r="A12" s="75" t="s">
        <v>48</v>
      </c>
      <c r="B12" s="43" t="str">
        <f ca="1">IF(TRIM(E10)="",E10,IF(AND(C10="",D10="")," ",IF(N(C10)&gt;N(D10),E10,B10)))</f>
        <v>88 C.T.P. Club Ořech - Glaser Vladimír</v>
      </c>
      <c r="C12" s="74">
        <f>IF(('Hra 2P'!E18=""),"",'Hra 2P'!E18)</f>
        <v>8</v>
      </c>
      <c r="D12" s="74">
        <f>IF(('Hra 2P'!F18=""),"",'Hra 2P'!F18)</f>
        <v>13</v>
      </c>
      <c r="E12" s="43" t="str">
        <f ca="1">IF(AND(TRIM(B11)="",TRIM(E8)=""),E11,IF(AND(C11="",D11="")," ",IF(N(C11)&gt;N(D11),B11,E11)))</f>
        <v>85 Petank Club Praha - Froněk Jiří ml.</v>
      </c>
    </row>
    <row r="13" spans="1:20" ht="37.15" customHeight="1">
      <c r="A13" s="70"/>
      <c r="B13" s="76" t="s">
        <v>52</v>
      </c>
      <c r="C13" s="77" t="s">
        <v>116</v>
      </c>
      <c r="D13" s="70"/>
      <c r="E13" s="70"/>
    </row>
    <row r="14" spans="1:20" ht="19.5">
      <c r="A14" s="70" t="s">
        <v>31</v>
      </c>
      <c r="B14" s="43" t="str">
        <f ca="1">IF(N(C10)+N(D10)&gt;0,IF(N(C10)&gt;N(D10),B10,E10),"")</f>
        <v>2 PC Sokol Lipník - Vavrovič Petr ml.</v>
      </c>
      <c r="C14" s="73" t="str">
        <f>CONCATENATE($C$1,A3)</f>
        <v>B1</v>
      </c>
      <c r="D14" s="70"/>
      <c r="E14" s="70"/>
    </row>
    <row r="15" spans="1:20" ht="19.5">
      <c r="A15" s="70" t="s">
        <v>32</v>
      </c>
      <c r="B15" s="43" t="str">
        <f ca="1">IF(N(C12)+N(D12)&gt;0,IF(N(C12)&gt;N(D12),B12,E12),"")</f>
        <v>85 Petank Club Praha - Froněk Jiří ml.</v>
      </c>
      <c r="C15" s="73" t="str">
        <f>CONCATENATE($C$1,A4)</f>
        <v>B2</v>
      </c>
      <c r="D15" s="70"/>
      <c r="E15" s="70"/>
    </row>
    <row r="16" spans="1:20" ht="19.5">
      <c r="A16" s="70" t="s">
        <v>33</v>
      </c>
      <c r="B16" s="43" t="str">
        <f ca="1">IF(N(C12)+N(D12)&gt;0,IF(N(C12)&gt;N(D12),E12,B12),"")</f>
        <v>88 C.T.P. Club Ořech - Glaser Vladimír</v>
      </c>
      <c r="C16" s="73" t="str">
        <f>CONCATENATE($C$1,A5)</f>
        <v>B3</v>
      </c>
      <c r="D16" s="70"/>
      <c r="E16" s="70"/>
    </row>
    <row r="17" spans="1:5" ht="19.5">
      <c r="A17" s="70" t="s">
        <v>34</v>
      </c>
      <c r="B17" s="78" t="str">
        <f ca="1">IF(N(C11)+N(D11)&gt;0,IF(N(C11)&gt;N(D11),E11,B11),"")</f>
        <v xml:space="preserve"> - </v>
      </c>
      <c r="C17" s="73" t="str">
        <f>CONCATENATE($C$1,A6)</f>
        <v>B4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v>
      </c>
      <c r="B1" s="71" t="s">
        <v>113</v>
      </c>
      <c r="C1" s="71" t="s">
        <v>118</v>
      </c>
      <c r="D1" s="72"/>
      <c r="E1" s="70"/>
      <c r="F1">
        <f>VLOOKUP(A1,'Hra 2P'!I8:J390,2,0)</f>
        <v>20</v>
      </c>
      <c r="L1">
        <f ca="1">IF(TRIM(B3)="-",0,1) + IF(TRIM(B4)="-",0,1) + IF(TRIM(B5)="-",0,1) + IF(TRIM(B6)="-",0,1)</f>
        <v>3</v>
      </c>
      <c r="R1">
        <f ca="1">INDIRECT(ADDRESS(4,A1,1,1,"Hřiště"))</f>
        <v>3</v>
      </c>
      <c r="S1">
        <f ca="1">INDIRECT(ADDRESS(5,A1,1,1,"Hřiště"))</f>
        <v>3</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3 Carreau Brno - Michálek Tomáš</v>
      </c>
      <c r="C3" s="70"/>
      <c r="D3" s="70"/>
      <c r="E3" s="70"/>
    </row>
    <row r="4" spans="1:20" ht="19.5">
      <c r="A4" s="70">
        <v>2</v>
      </c>
      <c r="B4" s="43" t="str">
        <f ca="1">IF(TYPE(VLOOKUP(CONCATENATE($C$1,A4),Skupiny!$A$3:$B$258,2,0))&gt;4," - ",VLOOKUP(CONCATENATE($C$1,A4),Skupiny!$A$3:$B$258,2,0))</f>
        <v>84 PC Sokol PP Hr. Králové - Melgr Pavel</v>
      </c>
      <c r="C4" s="70"/>
      <c r="D4" s="70"/>
      <c r="E4" s="70"/>
    </row>
    <row r="5" spans="1:20" ht="19.5">
      <c r="A5" s="70">
        <v>3</v>
      </c>
      <c r="B5" s="43" t="str">
        <f ca="1">IF(TYPE(VLOOKUP(CONCATENATE($C$1,A5),Skupiny!$A$3:$B$258,2,0))&gt;4," - ",VLOOKUP(CONCATENATE($C$1,A5),Skupiny!$A$3:$B$258,2,0))</f>
        <v>89 SK Sahara Vědomice - Piller Tomáš</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3 Carreau Brno - Michálek Tomáš</v>
      </c>
      <c r="C8" s="74" t="str">
        <f>IF(('Hra 2P'!E20=""),"",'Hra 2P'!E20)</f>
        <v/>
      </c>
      <c r="D8" s="74" t="str">
        <f>IF(('Hra 2P'!F20=""),"",'Hra 2P'!F20)</f>
        <v/>
      </c>
      <c r="E8" s="43" t="str">
        <f ca="1">B6</f>
        <v xml:space="preserve"> - </v>
      </c>
    </row>
    <row r="9" spans="1:20" ht="19.5">
      <c r="A9" s="70"/>
      <c r="B9" s="43" t="str">
        <f ca="1">B4</f>
        <v>84 PC Sokol PP Hr. Králové - Melgr Pavel</v>
      </c>
      <c r="C9" s="74">
        <f>IF(('Hra 2P'!E21=""),"",'Hra 2P'!E21)</f>
        <v>13</v>
      </c>
      <c r="D9" s="74">
        <f>IF(('Hra 2P'!F21=""),"",'Hra 2P'!F21)</f>
        <v>4</v>
      </c>
      <c r="E9" s="43" t="str">
        <f ca="1">B5</f>
        <v>89 SK Sahara Vědomice - Piller Tomáš</v>
      </c>
    </row>
    <row r="10" spans="1:20" ht="19.5">
      <c r="A10" s="75" t="s">
        <v>46</v>
      </c>
      <c r="B10" s="43" t="str">
        <f ca="1">IF(TRIM(E8)="-",B8,IF(AND(C8="",D8="")," ",IF(N(C8)&gt;N(D8),B8,E8)))</f>
        <v>3 Carreau Brno - Michálek Tomáš</v>
      </c>
      <c r="C10" s="74">
        <f>IF(('Hra 2P'!E22=""),"",'Hra 2P'!E22)</f>
        <v>13</v>
      </c>
      <c r="D10" s="74">
        <f>IF(('Hra 2P'!F22=""),"",'Hra 2P'!F22)</f>
        <v>1</v>
      </c>
      <c r="E10" s="43" t="str">
        <f ca="1">IF(AND(C9="",D9="")," ",IF(N(C9)&gt;N(D9),B9,E9))</f>
        <v>84 PC Sokol PP Hr. Králové - Melgr Pavel</v>
      </c>
    </row>
    <row r="11" spans="1:20" ht="19.5">
      <c r="A11" s="75" t="s">
        <v>47</v>
      </c>
      <c r="B11" s="43" t="str">
        <f ca="1">IF(TRIM(E8)="-",E8,IF(AND(C8="",D8="")," ",IF(N(C8)&gt;N(D8),E8,B8)))</f>
        <v xml:space="preserve"> - </v>
      </c>
      <c r="C11" s="74" t="str">
        <f>IF(('Hra 2P'!E23=""),"",'Hra 2P'!E23)</f>
        <v/>
      </c>
      <c r="D11" s="74">
        <f>IF(('Hra 2P'!F23=""),"",'Hra 2P'!F23)</f>
        <v>13</v>
      </c>
      <c r="E11" s="43" t="str">
        <f ca="1">IF(TRIM(E9)="",E9,IF(AND(C9="",D9="")," ",IF(N(C9)&gt;N(D9),E9,B9)))</f>
        <v>89 SK Sahara Vědomice - Piller Tomáš</v>
      </c>
    </row>
    <row r="12" spans="1:20" ht="19.5">
      <c r="A12" s="75" t="s">
        <v>48</v>
      </c>
      <c r="B12" s="43" t="str">
        <f ca="1">IF(TRIM(E10)="",E10,IF(AND(C10="",D10="")," ",IF(N(C10)&gt;N(D10),E10,B10)))</f>
        <v>84 PC Sokol PP Hr. Králové - Melgr Pavel</v>
      </c>
      <c r="C12" s="74">
        <f>IF(('Hra 2P'!E24=""),"",'Hra 2P'!E24)</f>
        <v>9</v>
      </c>
      <c r="D12" s="74">
        <f>IF(('Hra 2P'!F24=""),"",'Hra 2P'!F24)</f>
        <v>13</v>
      </c>
      <c r="E12" s="43" t="str">
        <f ca="1">IF(AND(TRIM(B11)="",TRIM(E8)=""),E11,IF(AND(C11="",D11="")," ",IF(N(C11)&gt;N(D11),B11,E11)))</f>
        <v>89 SK Sahara Vědomice - Piller Tomáš</v>
      </c>
    </row>
    <row r="13" spans="1:20" ht="37.15" customHeight="1">
      <c r="A13" s="70"/>
      <c r="B13" s="76" t="s">
        <v>52</v>
      </c>
      <c r="C13" s="77" t="s">
        <v>116</v>
      </c>
      <c r="D13" s="70"/>
      <c r="E13" s="70"/>
    </row>
    <row r="14" spans="1:20" ht="19.5">
      <c r="A14" s="70" t="s">
        <v>31</v>
      </c>
      <c r="B14" s="43" t="str">
        <f ca="1">IF(N(C10)+N(D10)&gt;0,IF(N(C10)&gt;N(D10),B10,E10),"")</f>
        <v>3 Carreau Brno - Michálek Tomáš</v>
      </c>
      <c r="C14" s="73" t="str">
        <f>CONCATENATE($C$1,A3)</f>
        <v>C1</v>
      </c>
      <c r="D14" s="70"/>
      <c r="E14" s="70"/>
    </row>
    <row r="15" spans="1:20" ht="19.5">
      <c r="A15" s="70" t="s">
        <v>32</v>
      </c>
      <c r="B15" s="43" t="str">
        <f ca="1">IF(N(C12)+N(D12)&gt;0,IF(N(C12)&gt;N(D12),B12,E12),"")</f>
        <v>89 SK Sahara Vědomice - Piller Tomáš</v>
      </c>
      <c r="C15" s="73" t="str">
        <f>CONCATENATE($C$1,A4)</f>
        <v>C2</v>
      </c>
      <c r="D15" s="70"/>
      <c r="E15" s="70"/>
    </row>
    <row r="16" spans="1:20" ht="19.5">
      <c r="A16" s="70" t="s">
        <v>33</v>
      </c>
      <c r="B16" s="43" t="str">
        <f ca="1">IF(N(C12)+N(D12)&gt;0,IF(N(C12)&gt;N(D12),E12,B12),"")</f>
        <v>84 PC Sokol PP Hr. Králové - Melgr Pavel</v>
      </c>
      <c r="C16" s="73" t="str">
        <f>CONCATENATE($C$1,A5)</f>
        <v>C3</v>
      </c>
      <c r="D16" s="70"/>
      <c r="E16" s="70"/>
    </row>
    <row r="17" spans="1:5" ht="19.5">
      <c r="A17" s="70" t="s">
        <v>34</v>
      </c>
      <c r="B17" s="78" t="str">
        <f ca="1">IF(N(C11)+N(D11)&gt;0,IF(N(C11)&gt;N(D11),E11,B11),"")</f>
        <v xml:space="preserve"> - </v>
      </c>
      <c r="C17" s="73" t="str">
        <f>CONCATENATE($C$1,A6)</f>
        <v>C4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v>
      </c>
      <c r="B1" s="71" t="s">
        <v>113</v>
      </c>
      <c r="C1" s="71" t="s">
        <v>85</v>
      </c>
      <c r="D1" s="72"/>
      <c r="E1" s="70"/>
      <c r="F1">
        <f>VLOOKUP(A1,'Hra 2P'!I8:J390,2,0)</f>
        <v>26</v>
      </c>
      <c r="L1">
        <f ca="1">IF(TRIM(B3)="-",0,1) + IF(TRIM(B4)="-",0,1) + IF(TRIM(B5)="-",0,1) + IF(TRIM(B6)="-",0,1)</f>
        <v>3</v>
      </c>
      <c r="R1">
        <f ca="1">INDIRECT(ADDRESS(4,A1,1,1,"Hřiště"))</f>
        <v>4</v>
      </c>
      <c r="S1">
        <f ca="1">INDIRECT(ADDRESS(5,A1,1,1,"Hřiště"))</f>
        <v>4</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4 PC Kolová - Kauca Jindřich</v>
      </c>
      <c r="C3" s="70"/>
      <c r="D3" s="70"/>
      <c r="E3" s="70"/>
    </row>
    <row r="4" spans="1:20" ht="19.5">
      <c r="A4" s="70">
        <v>2</v>
      </c>
      <c r="B4" s="43" t="str">
        <f ca="1">IF(TYPE(VLOOKUP(CONCATENATE($C$1,A4),Skupiny!$A$3:$B$258,2,0))&gt;4," - ",VLOOKUP(CONCATENATE($C$1,A4),Skupiny!$A$3:$B$258,2,0))</f>
        <v>83 PKT Velký Šanc - Horálek Jiří</v>
      </c>
      <c r="C4" s="70"/>
      <c r="D4" s="70"/>
      <c r="E4" s="70"/>
    </row>
    <row r="5" spans="1:20" ht="19.5">
      <c r="A5" s="70">
        <v>3</v>
      </c>
      <c r="B5" s="43" t="str">
        <f ca="1">IF(TYPE(VLOOKUP(CONCATENATE($C$1,A5),Skupiny!$A$3:$B$258,2,0))&gt;4," - ",VLOOKUP(CONCATENATE($C$1,A5),Skupiny!$A$3:$B$258,2,0))</f>
        <v>90 PK Osika Plzeň - Mráz Václav</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4 PC Kolová - Kauca Jindřich</v>
      </c>
      <c r="C8" s="74" t="str">
        <f>IF(('Hra 2P'!E26=""),"",'Hra 2P'!E26)</f>
        <v/>
      </c>
      <c r="D8" s="74" t="str">
        <f>IF(('Hra 2P'!F26=""),"",'Hra 2P'!F26)</f>
        <v/>
      </c>
      <c r="E8" s="43" t="str">
        <f ca="1">B6</f>
        <v xml:space="preserve"> - </v>
      </c>
    </row>
    <row r="9" spans="1:20" ht="19.5">
      <c r="A9" s="70"/>
      <c r="B9" s="43" t="str">
        <f ca="1">B4</f>
        <v>83 PKT Velký Šanc - Horálek Jiří</v>
      </c>
      <c r="C9" s="74">
        <f>IF(('Hra 2P'!E27=""),"",'Hra 2P'!E27)</f>
        <v>13</v>
      </c>
      <c r="D9" s="74">
        <f>IF(('Hra 2P'!F27=""),"",'Hra 2P'!F27)</f>
        <v>4</v>
      </c>
      <c r="E9" s="43" t="str">
        <f ca="1">B5</f>
        <v>90 PK Osika Plzeň - Mráz Václav</v>
      </c>
    </row>
    <row r="10" spans="1:20" ht="19.5">
      <c r="A10" s="75" t="s">
        <v>46</v>
      </c>
      <c r="B10" s="43" t="str">
        <f ca="1">IF(TRIM(E8)="-",B8,IF(AND(C8="",D8="")," ",IF(N(C8)&gt;N(D8),B8,E8)))</f>
        <v>4 PC Kolová - Kauca Jindřich</v>
      </c>
      <c r="C10" s="74">
        <f>IF(('Hra 2P'!E28=""),"",'Hra 2P'!E28)</f>
        <v>13</v>
      </c>
      <c r="D10" s="74">
        <f>IF(('Hra 2P'!F28=""),"",'Hra 2P'!F28)</f>
        <v>7</v>
      </c>
      <c r="E10" s="43" t="str">
        <f ca="1">IF(AND(C9="",D9="")," ",IF(N(C9)&gt;N(D9),B9,E9))</f>
        <v>83 PKT Velký Šanc - Horálek Jiří</v>
      </c>
    </row>
    <row r="11" spans="1:20" ht="19.5">
      <c r="A11" s="75" t="s">
        <v>47</v>
      </c>
      <c r="B11" s="43" t="str">
        <f ca="1">IF(TRIM(E8)="-",E8,IF(AND(C8="",D8="")," ",IF(N(C8)&gt;N(D8),E8,B8)))</f>
        <v xml:space="preserve"> - </v>
      </c>
      <c r="C11" s="74" t="str">
        <f>IF(('Hra 2P'!E29=""),"",'Hra 2P'!E29)</f>
        <v/>
      </c>
      <c r="D11" s="74">
        <f>IF(('Hra 2P'!F29=""),"",'Hra 2P'!F29)</f>
        <v>13</v>
      </c>
      <c r="E11" s="43" t="str">
        <f ca="1">IF(TRIM(E9)="",E9,IF(AND(C9="",D9="")," ",IF(N(C9)&gt;N(D9),E9,B9)))</f>
        <v>90 PK Osika Plzeň - Mráz Václav</v>
      </c>
    </row>
    <row r="12" spans="1:20" ht="19.5">
      <c r="A12" s="75" t="s">
        <v>48</v>
      </c>
      <c r="B12" s="43" t="str">
        <f ca="1">IF(TRIM(E10)="",E10,IF(AND(C10="",D10="")," ",IF(N(C10)&gt;N(D10),E10,B10)))</f>
        <v>83 PKT Velký Šanc - Horálek Jiří</v>
      </c>
      <c r="C12" s="74">
        <f>IF(('Hra 2P'!E30=""),"",'Hra 2P'!E30)</f>
        <v>13</v>
      </c>
      <c r="D12" s="74">
        <f>IF(('Hra 2P'!F30=""),"",'Hra 2P'!F30)</f>
        <v>10</v>
      </c>
      <c r="E12" s="43" t="str">
        <f ca="1">IF(AND(TRIM(B11)="",TRIM(E8)=""),E11,IF(AND(C11="",D11="")," ",IF(N(C11)&gt;N(D11),B11,E11)))</f>
        <v>90 PK Osika Plzeň - Mráz Václav</v>
      </c>
    </row>
    <row r="13" spans="1:20" ht="37.15" customHeight="1">
      <c r="A13" s="70"/>
      <c r="B13" s="76" t="s">
        <v>52</v>
      </c>
      <c r="C13" s="77" t="s">
        <v>116</v>
      </c>
      <c r="D13" s="70"/>
      <c r="E13" s="70"/>
    </row>
    <row r="14" spans="1:20" ht="19.5">
      <c r="A14" s="70" t="s">
        <v>31</v>
      </c>
      <c r="B14" s="43" t="str">
        <f ca="1">IF(N(C10)+N(D10)&gt;0,IF(N(C10)&gt;N(D10),B10,E10),"")</f>
        <v>4 PC Kolová - Kauca Jindřich</v>
      </c>
      <c r="C14" s="73" t="str">
        <f>CONCATENATE($C$1,A3)</f>
        <v>D1</v>
      </c>
      <c r="D14" s="70"/>
      <c r="E14" s="70"/>
    </row>
    <row r="15" spans="1:20" ht="19.5">
      <c r="A15" s="70" t="s">
        <v>32</v>
      </c>
      <c r="B15" s="43" t="str">
        <f ca="1">IF(N(C12)+N(D12)&gt;0,IF(N(C12)&gt;N(D12),B12,E12),"")</f>
        <v>83 PKT Velký Šanc - Horálek Jiří</v>
      </c>
      <c r="C15" s="73" t="str">
        <f>CONCATENATE($C$1,A4)</f>
        <v>D2</v>
      </c>
      <c r="D15" s="70"/>
      <c r="E15" s="70"/>
    </row>
    <row r="16" spans="1:20" ht="19.5">
      <c r="A16" s="70" t="s">
        <v>33</v>
      </c>
      <c r="B16" s="43" t="str">
        <f ca="1">IF(N(C12)+N(D12)&gt;0,IF(N(C12)&gt;N(D12),E12,B12),"")</f>
        <v>90 PK Osika Plzeň - Mráz Václav</v>
      </c>
      <c r="C16" s="73" t="str">
        <f>CONCATENATE($C$1,A5)</f>
        <v>D3</v>
      </c>
      <c r="D16" s="70"/>
      <c r="E16" s="70"/>
    </row>
    <row r="17" spans="1:5" ht="19.5">
      <c r="A17" s="70" t="s">
        <v>34</v>
      </c>
      <c r="B17" s="78" t="str">
        <f ca="1">IF(N(C11)+N(D11)&gt;0,IF(N(C11)&gt;N(D11),E11,B11),"")</f>
        <v xml:space="preserve"> - </v>
      </c>
      <c r="C17" s="73" t="str">
        <f>CONCATENATE($C$1,A6)</f>
        <v>D4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v>
      </c>
      <c r="B1" s="71" t="s">
        <v>113</v>
      </c>
      <c r="C1" s="71" t="s">
        <v>86</v>
      </c>
      <c r="D1" s="72"/>
      <c r="E1" s="70"/>
      <c r="F1">
        <f>VLOOKUP(A1,'Hra 2P'!I8:J390,2,0)</f>
        <v>32</v>
      </c>
      <c r="L1">
        <f ca="1">IF(TRIM(B3)="-",0,1) + IF(TRIM(B4)="-",0,1) + IF(TRIM(B5)="-",0,1) + IF(TRIM(B6)="-",0,1)</f>
        <v>3</v>
      </c>
      <c r="R1">
        <f ca="1">INDIRECT(ADDRESS(4,A1,1,1,"Hřiště"))</f>
        <v>5</v>
      </c>
      <c r="S1">
        <f ca="1">INDIRECT(ADDRESS(5,A1,1,1,"Hřiště"))</f>
        <v>5</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5 Carreau Brno - Slobodová Veronika</v>
      </c>
      <c r="C3" s="70"/>
      <c r="D3" s="70"/>
      <c r="E3" s="70"/>
    </row>
    <row r="4" spans="1:20" ht="19.5">
      <c r="A4" s="70">
        <v>2</v>
      </c>
      <c r="B4" s="43" t="str">
        <f ca="1">IF(TYPE(VLOOKUP(CONCATENATE($C$1,A4),Skupiny!$A$3:$B$258,2,0))&gt;4," - ",VLOOKUP(CONCATENATE($C$1,A4),Skupiny!$A$3:$B$258,2,0))</f>
        <v>82 Petank Club Praha - Kašparová Barbora</v>
      </c>
      <c r="C4" s="70"/>
      <c r="D4" s="70"/>
      <c r="E4" s="70"/>
    </row>
    <row r="5" spans="1:20" ht="19.5">
      <c r="A5" s="70">
        <v>3</v>
      </c>
      <c r="B5" s="43" t="str">
        <f ca="1">IF(TYPE(VLOOKUP(CONCATENATE($C$1,A5),Skupiny!$A$3:$B$258,2,0))&gt;4," - ",VLOOKUP(CONCATENATE($C$1,A5),Skupiny!$A$3:$B$258,2,0))</f>
        <v>91 Carreau Brno - Bytešník Roman</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5 Carreau Brno - Slobodová Veronika</v>
      </c>
      <c r="C8" s="74" t="str">
        <f>IF(('Hra 2P'!E32=""),"",'Hra 2P'!E32)</f>
        <v/>
      </c>
      <c r="D8" s="74" t="str">
        <f>IF(('Hra 2P'!F32=""),"",'Hra 2P'!F32)</f>
        <v/>
      </c>
      <c r="E8" s="43" t="str">
        <f ca="1">B6</f>
        <v xml:space="preserve"> - </v>
      </c>
    </row>
    <row r="9" spans="1:20" ht="19.5">
      <c r="A9" s="70"/>
      <c r="B9" s="43" t="str">
        <f ca="1">B4</f>
        <v>82 Petank Club Praha - Kašparová Barbora</v>
      </c>
      <c r="C9" s="74">
        <f>IF(('Hra 2P'!E33=""),"",'Hra 2P'!E33)</f>
        <v>5</v>
      </c>
      <c r="D9" s="74">
        <f>IF(('Hra 2P'!F33=""),"",'Hra 2P'!F33)</f>
        <v>13</v>
      </c>
      <c r="E9" s="43" t="str">
        <f ca="1">B5</f>
        <v>91 Carreau Brno - Bytešník Roman</v>
      </c>
    </row>
    <row r="10" spans="1:20" ht="19.5">
      <c r="A10" s="75" t="s">
        <v>46</v>
      </c>
      <c r="B10" s="43" t="str">
        <f ca="1">IF(TRIM(E8)="-",B8,IF(AND(C8="",D8="")," ",IF(N(C8)&gt;N(D8),B8,E8)))</f>
        <v>5 Carreau Brno - Slobodová Veronika</v>
      </c>
      <c r="C10" s="74">
        <f>IF(('Hra 2P'!E34=""),"",'Hra 2P'!E34)</f>
        <v>13</v>
      </c>
      <c r="D10" s="74">
        <f>IF(('Hra 2P'!F34=""),"",'Hra 2P'!F34)</f>
        <v>2</v>
      </c>
      <c r="E10" s="43" t="str">
        <f ca="1">IF(AND(C9="",D9="")," ",IF(N(C9)&gt;N(D9),B9,E9))</f>
        <v>91 Carreau Brno - Bytešník Roman</v>
      </c>
    </row>
    <row r="11" spans="1:20" ht="19.5">
      <c r="A11" s="75" t="s">
        <v>47</v>
      </c>
      <c r="B11" s="43" t="str">
        <f ca="1">IF(TRIM(E8)="-",E8,IF(AND(C8="",D8="")," ",IF(N(C8)&gt;N(D8),E8,B8)))</f>
        <v xml:space="preserve"> - </v>
      </c>
      <c r="C11" s="74" t="str">
        <f>IF(('Hra 2P'!E35=""),"",'Hra 2P'!E35)</f>
        <v/>
      </c>
      <c r="D11" s="74">
        <f>IF(('Hra 2P'!F35=""),"",'Hra 2P'!F35)</f>
        <v>13</v>
      </c>
      <c r="E11" s="43" t="str">
        <f ca="1">IF(TRIM(E9)="",E9,IF(AND(C9="",D9="")," ",IF(N(C9)&gt;N(D9),E9,B9)))</f>
        <v>82 Petank Club Praha - Kašparová Barbora</v>
      </c>
    </row>
    <row r="12" spans="1:20" ht="19.5">
      <c r="A12" s="75" t="s">
        <v>48</v>
      </c>
      <c r="B12" s="43" t="str">
        <f ca="1">IF(TRIM(E10)="",E10,IF(AND(C10="",D10="")," ",IF(N(C10)&gt;N(D10),E10,B10)))</f>
        <v>91 Carreau Brno - Bytešník Roman</v>
      </c>
      <c r="C12" s="74">
        <f>IF(('Hra 2P'!E36=""),"",'Hra 2P'!E36)</f>
        <v>9</v>
      </c>
      <c r="D12" s="74">
        <f>IF(('Hra 2P'!F36=""),"",'Hra 2P'!F36)</f>
        <v>13</v>
      </c>
      <c r="E12" s="43" t="str">
        <f ca="1">IF(AND(TRIM(B11)="",TRIM(E8)=""),E11,IF(AND(C11="",D11="")," ",IF(N(C11)&gt;N(D11),B11,E11)))</f>
        <v>82 Petank Club Praha - Kašparová Barbora</v>
      </c>
    </row>
    <row r="13" spans="1:20" ht="37.15" customHeight="1">
      <c r="A13" s="70"/>
      <c r="B13" s="76" t="s">
        <v>52</v>
      </c>
      <c r="C13" s="77" t="s">
        <v>116</v>
      </c>
      <c r="D13" s="70"/>
      <c r="E13" s="70"/>
    </row>
    <row r="14" spans="1:20" ht="19.5">
      <c r="A14" s="70" t="s">
        <v>31</v>
      </c>
      <c r="B14" s="43" t="str">
        <f ca="1">IF(N(C10)+N(D10)&gt;0,IF(N(C10)&gt;N(D10),B10,E10),"")</f>
        <v>5 Carreau Brno - Slobodová Veronika</v>
      </c>
      <c r="C14" s="73" t="str">
        <f>CONCATENATE($C$1,A3)</f>
        <v>E1</v>
      </c>
      <c r="D14" s="70"/>
      <c r="E14" s="70"/>
    </row>
    <row r="15" spans="1:20" ht="19.5">
      <c r="A15" s="70" t="s">
        <v>32</v>
      </c>
      <c r="B15" s="43" t="str">
        <f ca="1">IF(N(C12)+N(D12)&gt;0,IF(N(C12)&gt;N(D12),B12,E12),"")</f>
        <v>82 Petank Club Praha - Kašparová Barbora</v>
      </c>
      <c r="C15" s="73" t="str">
        <f>CONCATENATE($C$1,A4)</f>
        <v>E2</v>
      </c>
      <c r="D15" s="70"/>
      <c r="E15" s="70"/>
    </row>
    <row r="16" spans="1:20" ht="19.5">
      <c r="A16" s="70" t="s">
        <v>33</v>
      </c>
      <c r="B16" s="43" t="str">
        <f ca="1">IF(N(C12)+N(D12)&gt;0,IF(N(C12)&gt;N(D12),E12,B12),"")</f>
        <v>91 Carreau Brno - Bytešník Roman</v>
      </c>
      <c r="C16" s="73" t="str">
        <f>CONCATENATE($C$1,A5)</f>
        <v>E3</v>
      </c>
      <c r="D16" s="70"/>
      <c r="E16" s="70"/>
    </row>
    <row r="17" spans="1:5" ht="19.5">
      <c r="A17" s="70" t="s">
        <v>34</v>
      </c>
      <c r="B17" s="78" t="str">
        <f ca="1">IF(N(C11)+N(D11)&gt;0,IF(N(C11)&gt;N(D11),E11,B11),"")</f>
        <v xml:space="preserve"> - </v>
      </c>
      <c r="C17" s="73" t="str">
        <f>CONCATENATE($C$1,A6)</f>
        <v>E4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v>
      </c>
      <c r="B1" s="71" t="s">
        <v>113</v>
      </c>
      <c r="C1" s="71" t="s">
        <v>87</v>
      </c>
      <c r="D1" s="72"/>
      <c r="E1" s="70"/>
      <c r="F1">
        <f>VLOOKUP(A1,'Hra 2P'!I8:J390,2,0)</f>
        <v>38</v>
      </c>
      <c r="L1">
        <f ca="1">IF(TRIM(B3)="-",0,1) + IF(TRIM(B4)="-",0,1) + IF(TRIM(B5)="-",0,1) + IF(TRIM(B6)="-",0,1)</f>
        <v>3</v>
      </c>
      <c r="R1">
        <f ca="1">INDIRECT(ADDRESS(4,A1,1,1,"Hřiště"))</f>
        <v>6</v>
      </c>
      <c r="S1">
        <f ca="1">INDIRECT(ADDRESS(5,A1,1,1,"Hřiště"))</f>
        <v>6</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6 PC Sokol Lipník - Froňková Kateřina</v>
      </c>
      <c r="C3" s="70"/>
      <c r="D3" s="70"/>
      <c r="E3" s="70"/>
    </row>
    <row r="4" spans="1:20" ht="19.5">
      <c r="A4" s="70">
        <v>2</v>
      </c>
      <c r="B4" s="43" t="str">
        <f ca="1">IF(TYPE(VLOOKUP(CONCATENATE($C$1,A4),Skupiny!$A$3:$B$258,2,0))&gt;4," - ",VLOOKUP(CONCATENATE($C$1,A4),Skupiny!$A$3:$B$258,2,0))</f>
        <v>81 PKT Velký Šanc - Semrád Oldřich</v>
      </c>
      <c r="C4" s="70"/>
      <c r="D4" s="70"/>
      <c r="E4" s="70"/>
    </row>
    <row r="5" spans="1:20" ht="19.5">
      <c r="A5" s="70">
        <v>3</v>
      </c>
      <c r="B5" s="43" t="str">
        <f ca="1">IF(TYPE(VLOOKUP(CONCATENATE($C$1,A5),Skupiny!$A$3:$B$258,2,0))&gt;4," - ",VLOOKUP(CONCATENATE($C$1,A5),Skupiny!$A$3:$B$258,2,0))</f>
        <v>92 PAK Albrechtice - Žiak Radomír</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6 PC Sokol Lipník - Froňková Kateřina</v>
      </c>
      <c r="C8" s="74" t="str">
        <f>IF(('Hra 2P'!E38=""),"",'Hra 2P'!E38)</f>
        <v/>
      </c>
      <c r="D8" s="74" t="str">
        <f>IF(('Hra 2P'!F38=""),"",'Hra 2P'!F38)</f>
        <v/>
      </c>
      <c r="E8" s="43" t="str">
        <f ca="1">B6</f>
        <v xml:space="preserve"> - </v>
      </c>
    </row>
    <row r="9" spans="1:20" ht="19.5">
      <c r="A9" s="70"/>
      <c r="B9" s="43" t="str">
        <f ca="1">B4</f>
        <v>81 PKT Velký Šanc - Semrád Oldřich</v>
      </c>
      <c r="C9" s="74">
        <f>IF(('Hra 2P'!E39=""),"",'Hra 2P'!E39)</f>
        <v>6</v>
      </c>
      <c r="D9" s="74">
        <f>IF(('Hra 2P'!F39=""),"",'Hra 2P'!F39)</f>
        <v>13</v>
      </c>
      <c r="E9" s="43" t="str">
        <f ca="1">B5</f>
        <v>92 PAK Albrechtice - Žiak Radomír</v>
      </c>
    </row>
    <row r="10" spans="1:20" ht="19.5">
      <c r="A10" s="75" t="s">
        <v>46</v>
      </c>
      <c r="B10" s="43" t="str">
        <f ca="1">IF(TRIM(E8)="-",B8,IF(AND(C8="",D8="")," ",IF(N(C8)&gt;N(D8),B8,E8)))</f>
        <v>6 PC Sokol Lipník - Froňková Kateřina</v>
      </c>
      <c r="C10" s="74">
        <f>IF(('Hra 2P'!E40=""),"",'Hra 2P'!E40)</f>
        <v>13</v>
      </c>
      <c r="D10" s="74">
        <f>IF(('Hra 2P'!F40=""),"",'Hra 2P'!F40)</f>
        <v>4</v>
      </c>
      <c r="E10" s="43" t="str">
        <f ca="1">IF(AND(C9="",D9="")," ",IF(N(C9)&gt;N(D9),B9,E9))</f>
        <v>92 PAK Albrechtice - Žiak Radomír</v>
      </c>
    </row>
    <row r="11" spans="1:20" ht="19.5">
      <c r="A11" s="75" t="s">
        <v>47</v>
      </c>
      <c r="B11" s="43" t="str">
        <f ca="1">IF(TRIM(E8)="-",E8,IF(AND(C8="",D8="")," ",IF(N(C8)&gt;N(D8),E8,B8)))</f>
        <v xml:space="preserve"> - </v>
      </c>
      <c r="C11" s="74" t="str">
        <f>IF(('Hra 2P'!E41=""),"",'Hra 2P'!E41)</f>
        <v/>
      </c>
      <c r="D11" s="74">
        <f>IF(('Hra 2P'!F41=""),"",'Hra 2P'!F41)</f>
        <v>13</v>
      </c>
      <c r="E11" s="43" t="str">
        <f ca="1">IF(TRIM(E9)="",E9,IF(AND(C9="",D9="")," ",IF(N(C9)&gt;N(D9),E9,B9)))</f>
        <v>81 PKT Velký Šanc - Semrád Oldřich</v>
      </c>
    </row>
    <row r="12" spans="1:20" ht="19.5">
      <c r="A12" s="75" t="s">
        <v>48</v>
      </c>
      <c r="B12" s="43" t="str">
        <f ca="1">IF(TRIM(E10)="",E10,IF(AND(C10="",D10="")," ",IF(N(C10)&gt;N(D10),E10,B10)))</f>
        <v>92 PAK Albrechtice - Žiak Radomír</v>
      </c>
      <c r="C12" s="74">
        <f>IF(('Hra 2P'!E42=""),"",'Hra 2P'!E42)</f>
        <v>13</v>
      </c>
      <c r="D12" s="74">
        <f>IF(('Hra 2P'!F42=""),"",'Hra 2P'!F42)</f>
        <v>4</v>
      </c>
      <c r="E12" s="43" t="str">
        <f ca="1">IF(AND(TRIM(B11)="",TRIM(E8)=""),E11,IF(AND(C11="",D11="")," ",IF(N(C11)&gt;N(D11),B11,E11)))</f>
        <v>81 PKT Velký Šanc - Semrád Oldřich</v>
      </c>
    </row>
    <row r="13" spans="1:20" ht="37.15" customHeight="1">
      <c r="A13" s="70"/>
      <c r="B13" s="76" t="s">
        <v>52</v>
      </c>
      <c r="C13" s="77" t="s">
        <v>116</v>
      </c>
      <c r="D13" s="70"/>
      <c r="E13" s="70"/>
    </row>
    <row r="14" spans="1:20" ht="19.5">
      <c r="A14" s="70" t="s">
        <v>31</v>
      </c>
      <c r="B14" s="43" t="str">
        <f ca="1">IF(N(C10)+N(D10)&gt;0,IF(N(C10)&gt;N(D10),B10,E10),"")</f>
        <v>6 PC Sokol Lipník - Froňková Kateřina</v>
      </c>
      <c r="C14" s="73" t="str">
        <f>CONCATENATE($C$1,A3)</f>
        <v>F1</v>
      </c>
      <c r="D14" s="70"/>
      <c r="E14" s="70"/>
    </row>
    <row r="15" spans="1:20" ht="19.5">
      <c r="A15" s="70" t="s">
        <v>32</v>
      </c>
      <c r="B15" s="43" t="str">
        <f ca="1">IF(N(C12)+N(D12)&gt;0,IF(N(C12)&gt;N(D12),B12,E12),"")</f>
        <v>92 PAK Albrechtice - Žiak Radomír</v>
      </c>
      <c r="C15" s="73" t="str">
        <f>CONCATENATE($C$1,A4)</f>
        <v>F2</v>
      </c>
      <c r="D15" s="70"/>
      <c r="E15" s="70"/>
    </row>
    <row r="16" spans="1:20" ht="19.5">
      <c r="A16" s="70" t="s">
        <v>33</v>
      </c>
      <c r="B16" s="43" t="str">
        <f ca="1">IF(N(C12)+N(D12)&gt;0,IF(N(C12)&gt;N(D12),E12,B12),"")</f>
        <v>81 PKT Velký Šanc - Semrád Oldřich</v>
      </c>
      <c r="C16" s="73" t="str">
        <f>CONCATENATE($C$1,A5)</f>
        <v>F3</v>
      </c>
      <c r="D16" s="70"/>
      <c r="E16" s="70"/>
    </row>
    <row r="17" spans="1:5" ht="19.5">
      <c r="A17" s="70" t="s">
        <v>34</v>
      </c>
      <c r="B17" s="78" t="str">
        <f ca="1">IF(N(C11)+N(D11)&gt;0,IF(N(C11)&gt;N(D11),E11,B11),"")</f>
        <v xml:space="preserve"> - </v>
      </c>
      <c r="C17" s="73" t="str">
        <f>CONCATENATE($C$1,A6)</f>
        <v>F4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7</v>
      </c>
      <c r="B1" s="71" t="s">
        <v>113</v>
      </c>
      <c r="C1" s="71" t="s">
        <v>88</v>
      </c>
      <c r="D1" s="72"/>
      <c r="E1" s="70"/>
      <c r="F1">
        <f>VLOOKUP(A1,'Hra 2P'!I8:J390,2,0)</f>
        <v>44</v>
      </c>
      <c r="L1">
        <f ca="1">IF(TRIM(B3)="-",0,1) + IF(TRIM(B4)="-",0,1) + IF(TRIM(B5)="-",0,1) + IF(TRIM(B6)="-",0,1)</f>
        <v>3</v>
      </c>
      <c r="R1">
        <f ca="1">INDIRECT(ADDRESS(4,A1,1,1,"Hřiště"))</f>
        <v>7</v>
      </c>
      <c r="S1">
        <f ca="1">INDIRECT(ADDRESS(5,A1,1,1,"Hřiště"))</f>
        <v>7</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7 PLUK Jablonec - Lukáš Vojtěch</v>
      </c>
      <c r="C3" s="70"/>
      <c r="D3" s="70"/>
      <c r="E3" s="70"/>
    </row>
    <row r="4" spans="1:20" ht="19.5">
      <c r="A4" s="70">
        <v>2</v>
      </c>
      <c r="B4" s="43" t="str">
        <f ca="1">IF(TYPE(VLOOKUP(CONCATENATE($C$1,A4),Skupiny!$A$3:$B$258,2,0))&gt;4," - ",VLOOKUP(CONCATENATE($C$1,A4),Skupiny!$A$3:$B$258,2,0))</f>
        <v>80 PKT Velký Šanc - Sedláčková Marie</v>
      </c>
      <c r="C4" s="70"/>
      <c r="D4" s="70"/>
      <c r="E4" s="70"/>
    </row>
    <row r="5" spans="1:20" ht="19.5">
      <c r="A5" s="70">
        <v>3</v>
      </c>
      <c r="B5" s="43" t="str">
        <f ca="1">IF(TYPE(VLOOKUP(CONCATENATE($C$1,A5),Skupiny!$A$3:$B$258,2,0))&gt;4," - ",VLOOKUP(CONCATENATE($C$1,A5),Skupiny!$A$3:$B$258,2,0))</f>
        <v>93 1. KPK Vrchlabí - Bucek Zdeněk</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7 PLUK Jablonec - Lukáš Vojtěch</v>
      </c>
      <c r="C8" s="74" t="str">
        <f>IF(('Hra 2P'!E44=""),"",'Hra 2P'!E44)</f>
        <v/>
      </c>
      <c r="D8" s="74" t="str">
        <f>IF(('Hra 2P'!F44=""),"",'Hra 2P'!F44)</f>
        <v/>
      </c>
      <c r="E8" s="43" t="str">
        <f ca="1">B6</f>
        <v xml:space="preserve"> - </v>
      </c>
    </row>
    <row r="9" spans="1:20" ht="19.5">
      <c r="A9" s="70"/>
      <c r="B9" s="43" t="str">
        <f ca="1">B4</f>
        <v>80 PKT Velký Šanc - Sedláčková Marie</v>
      </c>
      <c r="C9" s="74">
        <f>IF(('Hra 2P'!E45=""),"",'Hra 2P'!E45)</f>
        <v>10</v>
      </c>
      <c r="D9" s="74">
        <f>IF(('Hra 2P'!F45=""),"",'Hra 2P'!F45)</f>
        <v>13</v>
      </c>
      <c r="E9" s="43" t="str">
        <f ca="1">B5</f>
        <v>93 1. KPK Vrchlabí - Bucek Zdeněk</v>
      </c>
    </row>
    <row r="10" spans="1:20" ht="19.5">
      <c r="A10" s="75" t="s">
        <v>46</v>
      </c>
      <c r="B10" s="43" t="str">
        <f ca="1">IF(TRIM(E8)="-",B8,IF(AND(C8="",D8="")," ",IF(N(C8)&gt;N(D8),B8,E8)))</f>
        <v>7 PLUK Jablonec - Lukáš Vojtěch</v>
      </c>
      <c r="C10" s="74">
        <f>IF(('Hra 2P'!E46=""),"",'Hra 2P'!E46)</f>
        <v>13</v>
      </c>
      <c r="D10" s="74">
        <f>IF(('Hra 2P'!F46=""),"",'Hra 2P'!F46)</f>
        <v>2</v>
      </c>
      <c r="E10" s="43" t="str">
        <f ca="1">IF(AND(C9="",D9="")," ",IF(N(C9)&gt;N(D9),B9,E9))</f>
        <v>93 1. KPK Vrchlabí - Bucek Zdeněk</v>
      </c>
    </row>
    <row r="11" spans="1:20" ht="19.5">
      <c r="A11" s="75" t="s">
        <v>47</v>
      </c>
      <c r="B11" s="43" t="str">
        <f ca="1">IF(TRIM(E8)="-",E8,IF(AND(C8="",D8="")," ",IF(N(C8)&gt;N(D8),E8,B8)))</f>
        <v xml:space="preserve"> - </v>
      </c>
      <c r="C11" s="74" t="str">
        <f>IF(('Hra 2P'!E47=""),"",'Hra 2P'!E47)</f>
        <v/>
      </c>
      <c r="D11" s="74">
        <f>IF(('Hra 2P'!F47=""),"",'Hra 2P'!F47)</f>
        <v>13</v>
      </c>
      <c r="E11" s="43" t="str">
        <f ca="1">IF(TRIM(E9)="",E9,IF(AND(C9="",D9="")," ",IF(N(C9)&gt;N(D9),E9,B9)))</f>
        <v>80 PKT Velký Šanc - Sedláčková Marie</v>
      </c>
    </row>
    <row r="12" spans="1:20" ht="19.5">
      <c r="A12" s="75" t="s">
        <v>48</v>
      </c>
      <c r="B12" s="43" t="str">
        <f ca="1">IF(TRIM(E10)="",E10,IF(AND(C10="",D10="")," ",IF(N(C10)&gt;N(D10),E10,B10)))</f>
        <v>93 1. KPK Vrchlabí - Bucek Zdeněk</v>
      </c>
      <c r="C12" s="74">
        <f>IF(('Hra 2P'!E48=""),"",'Hra 2P'!E48)</f>
        <v>13</v>
      </c>
      <c r="D12" s="74">
        <f>IF(('Hra 2P'!F48=""),"",'Hra 2P'!F48)</f>
        <v>12</v>
      </c>
      <c r="E12" s="43" t="str">
        <f ca="1">IF(AND(TRIM(B11)="",TRIM(E8)=""),E11,IF(AND(C11="",D11="")," ",IF(N(C11)&gt;N(D11),B11,E11)))</f>
        <v>80 PKT Velký Šanc - Sedláčková Marie</v>
      </c>
    </row>
    <row r="13" spans="1:20" ht="37.15" customHeight="1">
      <c r="A13" s="70"/>
      <c r="B13" s="76" t="s">
        <v>52</v>
      </c>
      <c r="C13" s="77" t="s">
        <v>116</v>
      </c>
      <c r="D13" s="70"/>
      <c r="E13" s="70"/>
    </row>
    <row r="14" spans="1:20" ht="19.5">
      <c r="A14" s="70" t="s">
        <v>31</v>
      </c>
      <c r="B14" s="43" t="str">
        <f ca="1">IF(N(C10)+N(D10)&gt;0,IF(N(C10)&gt;N(D10),B10,E10),"")</f>
        <v>7 PLUK Jablonec - Lukáš Vojtěch</v>
      </c>
      <c r="C14" s="73" t="str">
        <f>CONCATENATE($C$1,A3)</f>
        <v>G1</v>
      </c>
      <c r="D14" s="70"/>
      <c r="E14" s="70"/>
    </row>
    <row r="15" spans="1:20" ht="19.5">
      <c r="A15" s="70" t="s">
        <v>32</v>
      </c>
      <c r="B15" s="43" t="str">
        <f ca="1">IF(N(C12)+N(D12)&gt;0,IF(N(C12)&gt;N(D12),B12,E12),"")</f>
        <v>93 1. KPK Vrchlabí - Bucek Zdeněk</v>
      </c>
      <c r="C15" s="73" t="str">
        <f>CONCATENATE($C$1,A4)</f>
        <v>G2</v>
      </c>
      <c r="D15" s="70"/>
      <c r="E15" s="70"/>
    </row>
    <row r="16" spans="1:20" ht="19.5">
      <c r="A16" s="70" t="s">
        <v>33</v>
      </c>
      <c r="B16" s="43" t="str">
        <f ca="1">IF(N(C12)+N(D12)&gt;0,IF(N(C12)&gt;N(D12),E12,B12),"")</f>
        <v>80 PKT Velký Šanc - Sedláčková Marie</v>
      </c>
      <c r="C16" s="73" t="str">
        <f>CONCATENATE($C$1,A5)</f>
        <v>G3</v>
      </c>
      <c r="D16" s="70"/>
      <c r="E16" s="70"/>
    </row>
    <row r="17" spans="1:5" ht="19.5">
      <c r="A17" s="70" t="s">
        <v>34</v>
      </c>
      <c r="B17" s="78" t="str">
        <f ca="1">IF(N(C11)+N(D11)&gt;0,IF(N(C11)&gt;N(D11),E11,B11),"")</f>
        <v xml:space="preserve"> - </v>
      </c>
      <c r="C17" s="73" t="str">
        <f>CONCATENATE($C$1,A6)</f>
        <v>G4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1" t="s">
        <v>176</v>
      </c>
      <c r="B1" s="100"/>
      <c r="C1" s="101"/>
    </row>
    <row r="2" spans="1:3">
      <c r="A2" t="s">
        <v>177</v>
      </c>
    </row>
    <row r="3" spans="1:3" ht="13.5" thickBot="1"/>
    <row r="4" spans="1:3">
      <c r="A4" s="142" t="s">
        <v>178</v>
      </c>
      <c r="B4" s="143" t="s">
        <v>179</v>
      </c>
      <c r="C4" s="144" t="s">
        <v>180</v>
      </c>
    </row>
    <row r="5" spans="1:3" ht="13.5" thickBot="1">
      <c r="A5" s="145" t="s">
        <v>146</v>
      </c>
      <c r="B5" s="146"/>
      <c r="C5" s="147"/>
    </row>
    <row r="6" spans="1:3" ht="15.75">
      <c r="A6" s="148" t="s">
        <v>181</v>
      </c>
      <c r="B6" s="149" t="s">
        <v>153</v>
      </c>
      <c r="C6" s="150" t="s">
        <v>100</v>
      </c>
    </row>
    <row r="7" spans="1:3" ht="15.75">
      <c r="A7" s="151" t="s">
        <v>182</v>
      </c>
      <c r="B7" s="152" t="s">
        <v>175</v>
      </c>
      <c r="C7" s="150" t="s">
        <v>103</v>
      </c>
    </row>
    <row r="8" spans="1:3" ht="15.75">
      <c r="A8" s="151" t="s">
        <v>183</v>
      </c>
      <c r="B8" s="153" t="s">
        <v>173</v>
      </c>
      <c r="C8" s="150" t="s">
        <v>107</v>
      </c>
    </row>
    <row r="9" spans="1:3" ht="15.75">
      <c r="A9" s="151" t="s">
        <v>184</v>
      </c>
      <c r="B9" s="152" t="s">
        <v>156</v>
      </c>
      <c r="C9" s="150" t="s">
        <v>107</v>
      </c>
    </row>
    <row r="10" spans="1:3" ht="15.75">
      <c r="A10" s="151" t="s">
        <v>185</v>
      </c>
      <c r="B10" s="152" t="s">
        <v>186</v>
      </c>
      <c r="C10" s="150" t="s">
        <v>100</v>
      </c>
    </row>
    <row r="11" spans="1:3" ht="15.75">
      <c r="A11" s="151" t="s">
        <v>187</v>
      </c>
      <c r="B11" s="152" t="s">
        <v>174</v>
      </c>
      <c r="C11" s="150" t="s">
        <v>107</v>
      </c>
    </row>
    <row r="12" spans="1:3" ht="15.75">
      <c r="A12" s="151" t="s">
        <v>188</v>
      </c>
      <c r="B12" s="152" t="s">
        <v>189</v>
      </c>
      <c r="C12" s="150" t="s">
        <v>103</v>
      </c>
    </row>
    <row r="13" spans="1:3" ht="15.75">
      <c r="A13" s="151" t="s">
        <v>190</v>
      </c>
      <c r="B13" s="153" t="s">
        <v>165</v>
      </c>
      <c r="C13" s="150" t="s">
        <v>100</v>
      </c>
    </row>
    <row r="14" spans="1:3" ht="15.75">
      <c r="A14" s="151" t="s">
        <v>191</v>
      </c>
      <c r="B14" s="152" t="s">
        <v>160</v>
      </c>
      <c r="C14" s="150" t="s">
        <v>103</v>
      </c>
    </row>
    <row r="15" spans="1:3" ht="15.75">
      <c r="A15" s="151" t="s">
        <v>192</v>
      </c>
      <c r="B15" s="152" t="s">
        <v>170</v>
      </c>
      <c r="C15" s="150" t="s">
        <v>103</v>
      </c>
    </row>
    <row r="16" spans="1:3" ht="15.75">
      <c r="A16" s="151" t="s">
        <v>193</v>
      </c>
      <c r="B16" s="152" t="s">
        <v>194</v>
      </c>
      <c r="C16" s="150" t="s">
        <v>103</v>
      </c>
    </row>
    <row r="17" spans="1:3" ht="15.75">
      <c r="A17" s="151" t="s">
        <v>195</v>
      </c>
      <c r="B17" s="152" t="s">
        <v>196</v>
      </c>
      <c r="C17" s="150" t="s">
        <v>103</v>
      </c>
    </row>
    <row r="18" spans="1:3" ht="15.75">
      <c r="A18" s="151" t="s">
        <v>197</v>
      </c>
      <c r="B18" s="153" t="s">
        <v>198</v>
      </c>
      <c r="C18" s="150" t="s">
        <v>103</v>
      </c>
    </row>
    <row r="19" spans="1:3" ht="15.75">
      <c r="A19" s="151" t="s">
        <v>199</v>
      </c>
      <c r="B19" s="153" t="s">
        <v>200</v>
      </c>
      <c r="C19" s="150" t="s">
        <v>107</v>
      </c>
    </row>
    <row r="20" spans="1:3" ht="15.75">
      <c r="A20" s="151" t="s">
        <v>201</v>
      </c>
      <c r="B20" s="152" t="s">
        <v>202</v>
      </c>
      <c r="C20" s="150" t="s">
        <v>100</v>
      </c>
    </row>
    <row r="21" spans="1:3" ht="15.75">
      <c r="A21" s="151" t="s">
        <v>203</v>
      </c>
      <c r="B21" s="152" t="s">
        <v>152</v>
      </c>
      <c r="C21" s="150" t="s">
        <v>100</v>
      </c>
    </row>
    <row r="22" spans="1:3" ht="15.75">
      <c r="A22" s="151" t="s">
        <v>204</v>
      </c>
      <c r="B22" s="153" t="s">
        <v>155</v>
      </c>
      <c r="C22" s="150" t="s">
        <v>103</v>
      </c>
    </row>
    <row r="23" spans="1:3" ht="15.75">
      <c r="A23" s="151" t="s">
        <v>205</v>
      </c>
      <c r="B23" s="153" t="s">
        <v>171</v>
      </c>
      <c r="C23" s="150" t="s">
        <v>107</v>
      </c>
    </row>
    <row r="24" spans="1:3" ht="15.75">
      <c r="A24" s="151" t="s">
        <v>206</v>
      </c>
      <c r="B24" s="152" t="s">
        <v>167</v>
      </c>
      <c r="C24" s="150" t="s">
        <v>107</v>
      </c>
    </row>
    <row r="25" spans="1:3" ht="15.75">
      <c r="A25" s="151" t="s">
        <v>207</v>
      </c>
      <c r="B25" s="152" t="s">
        <v>169</v>
      </c>
      <c r="C25" s="150" t="s">
        <v>103</v>
      </c>
    </row>
    <row r="26" spans="1:3" ht="15.75">
      <c r="A26" s="151" t="s">
        <v>208</v>
      </c>
      <c r="B26" s="152" t="s">
        <v>159</v>
      </c>
      <c r="C26" s="150" t="s">
        <v>103</v>
      </c>
    </row>
    <row r="27" spans="1:3" ht="15.75">
      <c r="A27" s="151" t="s">
        <v>209</v>
      </c>
      <c r="B27" s="153" t="s">
        <v>154</v>
      </c>
      <c r="C27" s="150" t="s">
        <v>103</v>
      </c>
    </row>
    <row r="28" spans="1:3" ht="15.75">
      <c r="A28" s="151" t="s">
        <v>210</v>
      </c>
      <c r="B28" s="152" t="s">
        <v>161</v>
      </c>
      <c r="C28" s="150" t="s">
        <v>103</v>
      </c>
    </row>
    <row r="29" spans="1:3" ht="15.75">
      <c r="A29" s="151" t="s">
        <v>211</v>
      </c>
      <c r="B29" s="152" t="s">
        <v>212</v>
      </c>
      <c r="C29" s="150" t="s">
        <v>107</v>
      </c>
    </row>
    <row r="30" spans="1:3" ht="15.75">
      <c r="A30" s="151" t="s">
        <v>213</v>
      </c>
      <c r="B30" s="152" t="s">
        <v>214</v>
      </c>
      <c r="C30" s="150" t="s">
        <v>100</v>
      </c>
    </row>
    <row r="31" spans="1:3" ht="15.75">
      <c r="A31" s="151" t="s">
        <v>215</v>
      </c>
      <c r="B31" s="152" t="s">
        <v>216</v>
      </c>
      <c r="C31" s="150" t="s">
        <v>103</v>
      </c>
    </row>
    <row r="32" spans="1:3" ht="15.75">
      <c r="A32" s="154" t="s">
        <v>217</v>
      </c>
      <c r="B32" s="155" t="s">
        <v>218</v>
      </c>
      <c r="C32" s="150" t="s">
        <v>107</v>
      </c>
    </row>
    <row r="33" spans="1:3" ht="15.75">
      <c r="A33" s="154" t="s">
        <v>219</v>
      </c>
      <c r="B33" s="155" t="s">
        <v>220</v>
      </c>
      <c r="C33" s="150" t="s">
        <v>107</v>
      </c>
    </row>
    <row r="34" spans="1:3" ht="15.75">
      <c r="A34" s="154" t="s">
        <v>221</v>
      </c>
      <c r="B34" s="155" t="s">
        <v>222</v>
      </c>
      <c r="C34" s="150" t="s">
        <v>100</v>
      </c>
    </row>
    <row r="35" spans="1:3" ht="15.75">
      <c r="A35" s="154" t="s">
        <v>223</v>
      </c>
      <c r="B35" s="155" t="s">
        <v>224</v>
      </c>
      <c r="C35" s="150" t="s">
        <v>107</v>
      </c>
    </row>
    <row r="36" spans="1:3" ht="15.75">
      <c r="A36" s="154" t="s">
        <v>225</v>
      </c>
      <c r="B36" s="155" t="s">
        <v>226</v>
      </c>
      <c r="C36" s="150" t="s">
        <v>107</v>
      </c>
    </row>
    <row r="37" spans="1:3" ht="15.75">
      <c r="A37" s="154" t="s">
        <v>227</v>
      </c>
      <c r="B37" s="155" t="s">
        <v>228</v>
      </c>
      <c r="C37" s="150" t="s">
        <v>107</v>
      </c>
    </row>
    <row r="38" spans="1:3" ht="15.75">
      <c r="A38" s="154" t="s">
        <v>229</v>
      </c>
      <c r="B38" s="155" t="s">
        <v>166</v>
      </c>
      <c r="C38" s="150" t="s">
        <v>107</v>
      </c>
    </row>
    <row r="39" spans="1:3" ht="15.75">
      <c r="A39" s="154" t="s">
        <v>230</v>
      </c>
      <c r="B39" s="155" t="s">
        <v>168</v>
      </c>
      <c r="C39" s="150" t="s">
        <v>100</v>
      </c>
    </row>
    <row r="40" spans="1:3" ht="15.75">
      <c r="A40" s="154" t="s">
        <v>231</v>
      </c>
      <c r="B40" s="155" t="s">
        <v>163</v>
      </c>
      <c r="C40" s="150" t="s">
        <v>107</v>
      </c>
    </row>
    <row r="41" spans="1:3" ht="15.75">
      <c r="A41" s="154" t="s">
        <v>232</v>
      </c>
      <c r="B41" s="155" t="s">
        <v>233</v>
      </c>
      <c r="C41" s="150" t="s">
        <v>100</v>
      </c>
    </row>
    <row r="42" spans="1:3" ht="15.75">
      <c r="A42" s="154" t="s">
        <v>234</v>
      </c>
      <c r="B42" s="155" t="s">
        <v>151</v>
      </c>
      <c r="C42" s="150" t="s">
        <v>107</v>
      </c>
    </row>
    <row r="43" spans="1:3" ht="15.75">
      <c r="A43" s="154" t="s">
        <v>235</v>
      </c>
      <c r="B43" s="155" t="s">
        <v>236</v>
      </c>
      <c r="C43" s="150" t="s">
        <v>107</v>
      </c>
    </row>
    <row r="44" spans="1:3" ht="15.75">
      <c r="A44" s="154" t="s">
        <v>237</v>
      </c>
      <c r="B44" s="155" t="s">
        <v>158</v>
      </c>
      <c r="C44" s="150" t="s">
        <v>107</v>
      </c>
    </row>
    <row r="45" spans="1:3" ht="15.75">
      <c r="A45" s="154" t="s">
        <v>238</v>
      </c>
      <c r="B45" s="155" t="s">
        <v>172</v>
      </c>
      <c r="C45" s="150" t="s">
        <v>100</v>
      </c>
    </row>
    <row r="46" spans="1:3" ht="15.75">
      <c r="A46" s="154" t="s">
        <v>239</v>
      </c>
      <c r="B46" s="155" t="s">
        <v>162</v>
      </c>
      <c r="C46" s="150" t="s">
        <v>107</v>
      </c>
    </row>
    <row r="47" spans="1:3" ht="15.75">
      <c r="A47" s="154" t="s">
        <v>240</v>
      </c>
      <c r="B47" s="155" t="s">
        <v>150</v>
      </c>
      <c r="C47" s="150" t="s">
        <v>107</v>
      </c>
    </row>
    <row r="48" spans="1:3" ht="15.75">
      <c r="A48" s="154" t="s">
        <v>241</v>
      </c>
      <c r="B48" s="155" t="s">
        <v>242</v>
      </c>
      <c r="C48" s="150" t="s">
        <v>107</v>
      </c>
    </row>
    <row r="49" spans="1:3" ht="15.75">
      <c r="A49" s="154" t="s">
        <v>243</v>
      </c>
      <c r="B49" s="155" t="s">
        <v>164</v>
      </c>
      <c r="C49" s="150" t="s">
        <v>100</v>
      </c>
    </row>
    <row r="50" spans="1:3" ht="15.75">
      <c r="A50" s="154" t="s">
        <v>244</v>
      </c>
      <c r="B50" s="155" t="s">
        <v>157</v>
      </c>
      <c r="C50" s="150" t="s">
        <v>100</v>
      </c>
    </row>
    <row r="51" spans="1:3" ht="15.75">
      <c r="A51" s="154" t="s">
        <v>328</v>
      </c>
      <c r="B51" s="155" t="s">
        <v>329</v>
      </c>
      <c r="C51" s="150" t="s">
        <v>107</v>
      </c>
    </row>
    <row r="52" spans="1:3" ht="15.75">
      <c r="A52" s="154" t="s">
        <v>330</v>
      </c>
      <c r="B52" s="155" t="s">
        <v>331</v>
      </c>
      <c r="C52" s="150" t="s">
        <v>107</v>
      </c>
    </row>
    <row r="53" spans="1:3" ht="15.7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8</v>
      </c>
      <c r="B1" s="71" t="s">
        <v>113</v>
      </c>
      <c r="C1" s="71" t="s">
        <v>89</v>
      </c>
      <c r="D1" s="72"/>
      <c r="E1" s="70"/>
      <c r="F1">
        <f>VLOOKUP(A1,'Hra 2P'!I8:J390,2,0)</f>
        <v>50</v>
      </c>
      <c r="L1">
        <f ca="1">IF(TRIM(B3)="-",0,1) + IF(TRIM(B4)="-",0,1) + IF(TRIM(B5)="-",0,1) + IF(TRIM(B6)="-",0,1)</f>
        <v>3</v>
      </c>
      <c r="R1">
        <f ca="1">INDIRECT(ADDRESS(4,A1,1,1,"Hřiště"))</f>
        <v>8</v>
      </c>
      <c r="S1">
        <f ca="1">INDIRECT(ADDRESS(5,A1,1,1,"Hřiště"))</f>
        <v>8</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8 1. KPK Vrchlabí - Bílek Vojtěch</v>
      </c>
      <c r="C3" s="70"/>
      <c r="D3" s="70"/>
      <c r="E3" s="70"/>
    </row>
    <row r="4" spans="1:20" ht="19.5">
      <c r="A4" s="70">
        <v>2</v>
      </c>
      <c r="B4" s="43" t="str">
        <f ca="1">IF(TYPE(VLOOKUP(CONCATENATE($C$1,A4),Skupiny!$A$3:$B$258,2,0))&gt;4," - ",VLOOKUP(CONCATENATE($C$1,A4),Skupiny!$A$3:$B$258,2,0))</f>
        <v>79 PO Chotěboř - Pachla Pavel</v>
      </c>
      <c r="C4" s="70"/>
      <c r="D4" s="70"/>
      <c r="E4" s="70"/>
    </row>
    <row r="5" spans="1:20" ht="19.5">
      <c r="A5" s="70">
        <v>3</v>
      </c>
      <c r="B5" s="43" t="str">
        <f ca="1">IF(TYPE(VLOOKUP(CONCATENATE($C$1,A5),Skupiny!$A$3:$B$258,2,0))&gt;4," - ",VLOOKUP(CONCATENATE($C$1,A5),Skupiny!$A$3:$B$258,2,0))</f>
        <v>94 HRODE KRUMSÍN - Drmola Michal</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8 1. KPK Vrchlabí - Bílek Vojtěch</v>
      </c>
      <c r="C8" s="74" t="str">
        <f>IF(('Hra 2P'!E50=""),"",'Hra 2P'!E50)</f>
        <v/>
      </c>
      <c r="D8" s="74" t="str">
        <f>IF(('Hra 2P'!F50=""),"",'Hra 2P'!F50)</f>
        <v/>
      </c>
      <c r="E8" s="43" t="str">
        <f ca="1">B6</f>
        <v xml:space="preserve"> - </v>
      </c>
    </row>
    <row r="9" spans="1:20" ht="19.5">
      <c r="A9" s="70"/>
      <c r="B9" s="43" t="str">
        <f ca="1">B4</f>
        <v>79 PO Chotěboř - Pachla Pavel</v>
      </c>
      <c r="C9" s="74">
        <f>IF(('Hra 2P'!E51=""),"",'Hra 2P'!E51)</f>
        <v>13</v>
      </c>
      <c r="D9" s="74">
        <f>IF(('Hra 2P'!F51=""),"",'Hra 2P'!F51)</f>
        <v>12</v>
      </c>
      <c r="E9" s="43" t="str">
        <f ca="1">B5</f>
        <v>94 HRODE KRUMSÍN - Drmola Michal</v>
      </c>
    </row>
    <row r="10" spans="1:20" ht="19.5">
      <c r="A10" s="75" t="s">
        <v>46</v>
      </c>
      <c r="B10" s="43" t="str">
        <f ca="1">IF(TRIM(E8)="-",B8,IF(AND(C8="",D8="")," ",IF(N(C8)&gt;N(D8),B8,E8)))</f>
        <v>8 1. KPK Vrchlabí - Bílek Vojtěch</v>
      </c>
      <c r="C10" s="74">
        <f>IF(('Hra 2P'!E52=""),"",'Hra 2P'!E52)</f>
        <v>13</v>
      </c>
      <c r="D10" s="74">
        <f>IF(('Hra 2P'!F52=""),"",'Hra 2P'!F52)</f>
        <v>2</v>
      </c>
      <c r="E10" s="43" t="str">
        <f ca="1">IF(AND(C9="",D9="")," ",IF(N(C9)&gt;N(D9),B9,E9))</f>
        <v>79 PO Chotěboř - Pachla Pavel</v>
      </c>
    </row>
    <row r="11" spans="1:20" ht="19.5">
      <c r="A11" s="75" t="s">
        <v>47</v>
      </c>
      <c r="B11" s="43" t="str">
        <f ca="1">IF(TRIM(E8)="-",E8,IF(AND(C8="",D8="")," ",IF(N(C8)&gt;N(D8),E8,B8)))</f>
        <v xml:space="preserve"> - </v>
      </c>
      <c r="C11" s="74" t="str">
        <f>IF(('Hra 2P'!E53=""),"",'Hra 2P'!E53)</f>
        <v/>
      </c>
      <c r="D11" s="74">
        <f>IF(('Hra 2P'!F53=""),"",'Hra 2P'!F53)</f>
        <v>13</v>
      </c>
      <c r="E11" s="43" t="str">
        <f ca="1">IF(TRIM(E9)="",E9,IF(AND(C9="",D9="")," ",IF(N(C9)&gt;N(D9),E9,B9)))</f>
        <v>94 HRODE KRUMSÍN - Drmola Michal</v>
      </c>
    </row>
    <row r="12" spans="1:20" ht="19.5">
      <c r="A12" s="75" t="s">
        <v>48</v>
      </c>
      <c r="B12" s="43" t="str">
        <f ca="1">IF(TRIM(E10)="",E10,IF(AND(C10="",D10="")," ",IF(N(C10)&gt;N(D10),E10,B10)))</f>
        <v>79 PO Chotěboř - Pachla Pavel</v>
      </c>
      <c r="C12" s="74">
        <f>IF(('Hra 2P'!E54=""),"",'Hra 2P'!E54)</f>
        <v>13</v>
      </c>
      <c r="D12" s="74">
        <f>IF(('Hra 2P'!F54=""),"",'Hra 2P'!F54)</f>
        <v>10</v>
      </c>
      <c r="E12" s="43" t="str">
        <f ca="1">IF(AND(TRIM(B11)="",TRIM(E8)=""),E11,IF(AND(C11="",D11="")," ",IF(N(C11)&gt;N(D11),B11,E11)))</f>
        <v>94 HRODE KRUMSÍN - Drmola Michal</v>
      </c>
    </row>
    <row r="13" spans="1:20" ht="37.15" customHeight="1">
      <c r="A13" s="70"/>
      <c r="B13" s="76" t="s">
        <v>52</v>
      </c>
      <c r="C13" s="77" t="s">
        <v>116</v>
      </c>
      <c r="D13" s="70"/>
      <c r="E13" s="70"/>
    </row>
    <row r="14" spans="1:20" ht="19.5">
      <c r="A14" s="70" t="s">
        <v>31</v>
      </c>
      <c r="B14" s="43" t="str">
        <f ca="1">IF(N(C10)+N(D10)&gt;0,IF(N(C10)&gt;N(D10),B10,E10),"")</f>
        <v>8 1. KPK Vrchlabí - Bílek Vojtěch</v>
      </c>
      <c r="C14" s="73" t="str">
        <f>CONCATENATE($C$1,A3)</f>
        <v>H1</v>
      </c>
      <c r="D14" s="70"/>
      <c r="E14" s="70"/>
    </row>
    <row r="15" spans="1:20" ht="19.5">
      <c r="A15" s="70" t="s">
        <v>32</v>
      </c>
      <c r="B15" s="43" t="str">
        <f ca="1">IF(N(C12)+N(D12)&gt;0,IF(N(C12)&gt;N(D12),B12,E12),"")</f>
        <v>79 PO Chotěboř - Pachla Pavel</v>
      </c>
      <c r="C15" s="73" t="str">
        <f>CONCATENATE($C$1,A4)</f>
        <v>H2</v>
      </c>
      <c r="D15" s="70"/>
      <c r="E15" s="70"/>
    </row>
    <row r="16" spans="1:20" ht="19.5">
      <c r="A16" s="70" t="s">
        <v>33</v>
      </c>
      <c r="B16" s="43" t="str">
        <f ca="1">IF(N(C12)+N(D12)&gt;0,IF(N(C12)&gt;N(D12),E12,B12),"")</f>
        <v>94 HRODE KRUMSÍN - Drmola Michal</v>
      </c>
      <c r="C16" s="73" t="str">
        <f>CONCATENATE($C$1,A5)</f>
        <v>H3</v>
      </c>
      <c r="D16" s="70"/>
      <c r="E16" s="70"/>
    </row>
    <row r="17" spans="1:5" ht="19.5">
      <c r="A17" s="70" t="s">
        <v>34</v>
      </c>
      <c r="B17" s="78" t="str">
        <f ca="1">IF(N(C11)+N(D11)&gt;0,IF(N(C11)&gt;N(D11),E11,B11),"")</f>
        <v xml:space="preserve"> - </v>
      </c>
      <c r="C17" s="73" t="str">
        <f>CONCATENATE($C$1,A6)</f>
        <v>H4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9</v>
      </c>
      <c r="B1" s="71" t="s">
        <v>113</v>
      </c>
      <c r="C1" s="71" t="s">
        <v>90</v>
      </c>
      <c r="D1" s="72"/>
      <c r="E1" s="70"/>
      <c r="F1">
        <f>VLOOKUP(A1,'Hra 2P'!I8:J390,2,0)</f>
        <v>56</v>
      </c>
      <c r="L1">
        <f ca="1">IF(TRIM(B3)="-",0,1) + IF(TRIM(B4)="-",0,1) + IF(TRIM(B5)="-",0,1) + IF(TRIM(B6)="-",0,1)</f>
        <v>3</v>
      </c>
      <c r="R1">
        <f ca="1">INDIRECT(ADDRESS(4,A1,1,1,"Hřiště"))</f>
        <v>9</v>
      </c>
      <c r="S1">
        <f ca="1">INDIRECT(ADDRESS(5,A1,1,1,"Hřiště"))</f>
        <v>9</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9 VARAN - Valenz Lukáš</v>
      </c>
      <c r="C3" s="70"/>
      <c r="D3" s="70"/>
      <c r="E3" s="70"/>
    </row>
    <row r="4" spans="1:20" ht="19.5">
      <c r="A4" s="70">
        <v>2</v>
      </c>
      <c r="B4" s="43" t="str">
        <f ca="1">IF(TYPE(VLOOKUP(CONCATENATE($C$1,A4),Skupiny!$A$3:$B$258,2,0))&gt;4," - ",VLOOKUP(CONCATENATE($C$1,A4),Skupiny!$A$3:$B$258,2,0))</f>
        <v>78 HRODE KRUMSÍN - Karásková Františka</v>
      </c>
      <c r="C4" s="70"/>
      <c r="D4" s="70"/>
      <c r="E4" s="70"/>
    </row>
    <row r="5" spans="1:20" ht="19.5">
      <c r="A5" s="70">
        <v>3</v>
      </c>
      <c r="B5" s="43" t="str">
        <f ca="1">IF(TYPE(VLOOKUP(CONCATENATE($C$1,A5),Skupiny!$A$3:$B$258,2,0))&gt;4," - ",VLOOKUP(CONCATENATE($C$1,A5),Skupiny!$A$3:$B$258,2,0))</f>
        <v>95 PPA POZORKA - Michovský Jiří</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9 VARAN - Valenz Lukáš</v>
      </c>
      <c r="C8" s="74" t="str">
        <f>IF(('Hra 2P'!E56=""),"",'Hra 2P'!E56)</f>
        <v/>
      </c>
      <c r="D8" s="74" t="str">
        <f>IF(('Hra 2P'!F56=""),"",'Hra 2P'!F56)</f>
        <v/>
      </c>
      <c r="E8" s="43" t="str">
        <f ca="1">B6</f>
        <v xml:space="preserve"> - </v>
      </c>
    </row>
    <row r="9" spans="1:20" ht="19.5">
      <c r="A9" s="70"/>
      <c r="B9" s="43" t="str">
        <f ca="1">B4</f>
        <v>78 HRODE KRUMSÍN - Karásková Františka</v>
      </c>
      <c r="C9" s="74">
        <f>IF(('Hra 2P'!E57=""),"",'Hra 2P'!E57)</f>
        <v>11</v>
      </c>
      <c r="D9" s="74">
        <f>IF(('Hra 2P'!F57=""),"",'Hra 2P'!F57)</f>
        <v>13</v>
      </c>
      <c r="E9" s="43" t="str">
        <f ca="1">B5</f>
        <v>95 PPA POZORKA - Michovský Jiří</v>
      </c>
    </row>
    <row r="10" spans="1:20" ht="19.5">
      <c r="A10" s="75" t="s">
        <v>46</v>
      </c>
      <c r="B10" s="43" t="str">
        <f ca="1">IF(TRIM(E8)="-",B8,IF(AND(C8="",D8="")," ",IF(N(C8)&gt;N(D8),B8,E8)))</f>
        <v>9 VARAN - Valenz Lukáš</v>
      </c>
      <c r="C10" s="74">
        <f>IF(('Hra 2P'!E58=""),"",'Hra 2P'!E58)</f>
        <v>13</v>
      </c>
      <c r="D10" s="74">
        <f>IF(('Hra 2P'!F58=""),"",'Hra 2P'!F58)</f>
        <v>9</v>
      </c>
      <c r="E10" s="43" t="str">
        <f ca="1">IF(AND(C9="",D9="")," ",IF(N(C9)&gt;N(D9),B9,E9))</f>
        <v>95 PPA POZORKA - Michovský Jiří</v>
      </c>
    </row>
    <row r="11" spans="1:20" ht="19.5">
      <c r="A11" s="75" t="s">
        <v>47</v>
      </c>
      <c r="B11" s="43" t="str">
        <f ca="1">IF(TRIM(E8)="-",E8,IF(AND(C8="",D8="")," ",IF(N(C8)&gt;N(D8),E8,B8)))</f>
        <v xml:space="preserve"> - </v>
      </c>
      <c r="C11" s="74" t="str">
        <f>IF(('Hra 2P'!E59=""),"",'Hra 2P'!E59)</f>
        <v/>
      </c>
      <c r="D11" s="74">
        <f>IF(('Hra 2P'!F59=""),"",'Hra 2P'!F59)</f>
        <v>13</v>
      </c>
      <c r="E11" s="43" t="str">
        <f ca="1">IF(TRIM(E9)="",E9,IF(AND(C9="",D9="")," ",IF(N(C9)&gt;N(D9),E9,B9)))</f>
        <v>78 HRODE KRUMSÍN - Karásková Františka</v>
      </c>
    </row>
    <row r="12" spans="1:20" ht="19.5">
      <c r="A12" s="75" t="s">
        <v>48</v>
      </c>
      <c r="B12" s="43" t="str">
        <f ca="1">IF(TRIM(E10)="",E10,IF(AND(C10="",D10="")," ",IF(N(C10)&gt;N(D10),E10,B10)))</f>
        <v>95 PPA POZORKA - Michovský Jiří</v>
      </c>
      <c r="C12" s="74">
        <f>IF(('Hra 2P'!E60=""),"",'Hra 2P'!E60)</f>
        <v>13</v>
      </c>
      <c r="D12" s="74">
        <f>IF(('Hra 2P'!F60=""),"",'Hra 2P'!F60)</f>
        <v>9</v>
      </c>
      <c r="E12" s="43" t="str">
        <f ca="1">IF(AND(TRIM(B11)="",TRIM(E8)=""),E11,IF(AND(C11="",D11="")," ",IF(N(C11)&gt;N(D11),B11,E11)))</f>
        <v>78 HRODE KRUMSÍN - Karásková Františka</v>
      </c>
    </row>
    <row r="13" spans="1:20" ht="37.15" customHeight="1">
      <c r="A13" s="70"/>
      <c r="B13" s="76" t="s">
        <v>52</v>
      </c>
      <c r="C13" s="77" t="s">
        <v>116</v>
      </c>
      <c r="D13" s="70"/>
      <c r="E13" s="70"/>
    </row>
    <row r="14" spans="1:20" ht="19.5">
      <c r="A14" s="70" t="s">
        <v>31</v>
      </c>
      <c r="B14" s="43" t="str">
        <f ca="1">IF(N(C10)+N(D10)&gt;0,IF(N(C10)&gt;N(D10),B10,E10),"")</f>
        <v>9 VARAN - Valenz Lukáš</v>
      </c>
      <c r="C14" s="73" t="str">
        <f>CONCATENATE($C$1,A3)</f>
        <v>I1</v>
      </c>
      <c r="D14" s="70"/>
      <c r="E14" s="70"/>
    </row>
    <row r="15" spans="1:20" ht="19.5">
      <c r="A15" s="70" t="s">
        <v>32</v>
      </c>
      <c r="B15" s="43" t="str">
        <f ca="1">IF(N(C12)+N(D12)&gt;0,IF(N(C12)&gt;N(D12),B12,E12),"")</f>
        <v>95 PPA POZORKA - Michovský Jiří</v>
      </c>
      <c r="C15" s="73" t="str">
        <f>CONCATENATE($C$1,A4)</f>
        <v>I2</v>
      </c>
      <c r="D15" s="70"/>
      <c r="E15" s="70"/>
    </row>
    <row r="16" spans="1:20" ht="19.5">
      <c r="A16" s="70" t="s">
        <v>33</v>
      </c>
      <c r="B16" s="43" t="str">
        <f ca="1">IF(N(C12)+N(D12)&gt;0,IF(N(C12)&gt;N(D12),E12,B12),"")</f>
        <v>78 HRODE KRUMSÍN - Karásková Františka</v>
      </c>
      <c r="C16" s="73" t="str">
        <f>CONCATENATE($C$1,A5)</f>
        <v>I3</v>
      </c>
      <c r="D16" s="70"/>
      <c r="E16" s="70"/>
    </row>
    <row r="17" spans="1:5" ht="19.5">
      <c r="A17" s="70" t="s">
        <v>34</v>
      </c>
      <c r="B17" s="78" t="str">
        <f ca="1">IF(N(C11)+N(D11)&gt;0,IF(N(C11)&gt;N(D11),E11,B11),"")</f>
        <v xml:space="preserve"> - </v>
      </c>
      <c r="C17" s="73" t="str">
        <f>CONCATENATE($C$1,A6)</f>
        <v>I4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10</v>
      </c>
      <c r="B1" s="71" t="s">
        <v>113</v>
      </c>
      <c r="C1" s="71" t="s">
        <v>91</v>
      </c>
      <c r="D1" s="72"/>
      <c r="E1" s="70"/>
      <c r="F1">
        <f>VLOOKUP(A1,'Hra 2P'!I8:J390,2,0)</f>
        <v>62</v>
      </c>
      <c r="L1">
        <f ca="1">IF(TRIM(B3)="-",0,1) + IF(TRIM(B4)="-",0,1) + IF(TRIM(B5)="-",0,1) + IF(TRIM(B6)="-",0,1)</f>
        <v>3</v>
      </c>
      <c r="R1">
        <f ca="1">INDIRECT(ADDRESS(4,A1,1,1,"Hřiště"))</f>
        <v>10</v>
      </c>
      <c r="S1">
        <f ca="1">INDIRECT(ADDRESS(5,A1,1,1,"Hřiště"))</f>
        <v>10</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10 TOP - ORLOVÁ - Bačo David</v>
      </c>
      <c r="C3" s="70"/>
      <c r="D3" s="70"/>
      <c r="E3" s="70"/>
    </row>
    <row r="4" spans="1:20" ht="19.5">
      <c r="A4" s="70">
        <v>2</v>
      </c>
      <c r="B4" s="43" t="str">
        <f ca="1">IF(TYPE(VLOOKUP(CONCATENATE($C$1,A4),Skupiny!$A$3:$B$258,2,0))&gt;4," - ",VLOOKUP(CONCATENATE($C$1,A4),Skupiny!$A$3:$B$258,2,0))</f>
        <v>77 CdP Loděnice - Gorroňo López Rubi</v>
      </c>
      <c r="C4" s="70"/>
      <c r="D4" s="70"/>
      <c r="E4" s="70"/>
    </row>
    <row r="5" spans="1:20" ht="19.5">
      <c r="A5" s="70">
        <v>3</v>
      </c>
      <c r="B5" s="43" t="str">
        <f ca="1">IF(TYPE(VLOOKUP(CONCATENATE($C$1,A5),Skupiny!$A$3:$B$258,2,0))&gt;4," - ",VLOOKUP(CONCATENATE($C$1,A5),Skupiny!$A$3:$B$258,2,0))</f>
        <v>96 1. KPK Vrchlabí - Kadavá Petra</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10 TOP - ORLOVÁ - Bačo David</v>
      </c>
      <c r="C8" s="74" t="str">
        <f>IF(('Hra 2P'!E62=""),"",'Hra 2P'!E62)</f>
        <v/>
      </c>
      <c r="D8" s="74" t="str">
        <f>IF(('Hra 2P'!F62=""),"",'Hra 2P'!F62)</f>
        <v/>
      </c>
      <c r="E8" s="43" t="str">
        <f ca="1">B6</f>
        <v xml:space="preserve"> - </v>
      </c>
    </row>
    <row r="9" spans="1:20" ht="19.5">
      <c r="A9" s="70"/>
      <c r="B9" s="43" t="str">
        <f ca="1">B4</f>
        <v>77 CdP Loděnice - Gorroňo López Rubi</v>
      </c>
      <c r="C9" s="74">
        <f>IF(('Hra 2P'!E63=""),"",'Hra 2P'!E63)</f>
        <v>11</v>
      </c>
      <c r="D9" s="74">
        <f>IF(('Hra 2P'!F63=""),"",'Hra 2P'!F63)</f>
        <v>13</v>
      </c>
      <c r="E9" s="43" t="str">
        <f ca="1">B5</f>
        <v>96 1. KPK Vrchlabí - Kadavá Petra</v>
      </c>
    </row>
    <row r="10" spans="1:20" ht="19.5">
      <c r="A10" s="75" t="s">
        <v>46</v>
      </c>
      <c r="B10" s="43" t="str">
        <f ca="1">IF(TRIM(E8)="-",B8,IF(AND(C8="",D8="")," ",IF(N(C8)&gt;N(D8),B8,E8)))</f>
        <v>10 TOP - ORLOVÁ - Bačo David</v>
      </c>
      <c r="C10" s="74">
        <f>IF(('Hra 2P'!E64=""),"",'Hra 2P'!E64)</f>
        <v>13</v>
      </c>
      <c r="D10" s="74">
        <f>IF(('Hra 2P'!F64=""),"",'Hra 2P'!F64)</f>
        <v>6</v>
      </c>
      <c r="E10" s="43" t="str">
        <f ca="1">IF(AND(C9="",D9="")," ",IF(N(C9)&gt;N(D9),B9,E9))</f>
        <v>96 1. KPK Vrchlabí - Kadavá Petra</v>
      </c>
    </row>
    <row r="11" spans="1:20" ht="19.5">
      <c r="A11" s="75" t="s">
        <v>47</v>
      </c>
      <c r="B11" s="43" t="str">
        <f ca="1">IF(TRIM(E8)="-",E8,IF(AND(C8="",D8="")," ",IF(N(C8)&gt;N(D8),E8,B8)))</f>
        <v xml:space="preserve"> - </v>
      </c>
      <c r="C11" s="74" t="str">
        <f>IF(('Hra 2P'!E65=""),"",'Hra 2P'!E65)</f>
        <v/>
      </c>
      <c r="D11" s="74">
        <f>IF(('Hra 2P'!F65=""),"",'Hra 2P'!F65)</f>
        <v>13</v>
      </c>
      <c r="E11" s="43" t="str">
        <f ca="1">IF(TRIM(E9)="",E9,IF(AND(C9="",D9="")," ",IF(N(C9)&gt;N(D9),E9,B9)))</f>
        <v>77 CdP Loděnice - Gorroňo López Rubi</v>
      </c>
    </row>
    <row r="12" spans="1:20" ht="19.5">
      <c r="A12" s="75" t="s">
        <v>48</v>
      </c>
      <c r="B12" s="43" t="str">
        <f ca="1">IF(TRIM(E10)="",E10,IF(AND(C10="",D10="")," ",IF(N(C10)&gt;N(D10),E10,B10)))</f>
        <v>96 1. KPK Vrchlabí - Kadavá Petra</v>
      </c>
      <c r="C12" s="74">
        <f>IF(('Hra 2P'!E66=""),"",'Hra 2P'!E66)</f>
        <v>13</v>
      </c>
      <c r="D12" s="74">
        <f>IF(('Hra 2P'!F66=""),"",'Hra 2P'!F66)</f>
        <v>12</v>
      </c>
      <c r="E12" s="43" t="str">
        <f ca="1">IF(AND(TRIM(B11)="",TRIM(E8)=""),E11,IF(AND(C11="",D11="")," ",IF(N(C11)&gt;N(D11),B11,E11)))</f>
        <v>77 CdP Loděnice - Gorroňo López Rubi</v>
      </c>
    </row>
    <row r="13" spans="1:20" ht="37.15" customHeight="1">
      <c r="A13" s="70"/>
      <c r="B13" s="76" t="s">
        <v>52</v>
      </c>
      <c r="C13" s="77" t="s">
        <v>116</v>
      </c>
      <c r="D13" s="70"/>
      <c r="E13" s="70"/>
    </row>
    <row r="14" spans="1:20" ht="19.5">
      <c r="A14" s="70" t="s">
        <v>31</v>
      </c>
      <c r="B14" s="43" t="str">
        <f ca="1">IF(N(C10)+N(D10)&gt;0,IF(N(C10)&gt;N(D10),B10,E10),"")</f>
        <v>10 TOP - ORLOVÁ - Bačo David</v>
      </c>
      <c r="C14" s="73" t="str">
        <f>CONCATENATE($C$1,A3)</f>
        <v>J1</v>
      </c>
      <c r="D14" s="70"/>
      <c r="E14" s="70"/>
    </row>
    <row r="15" spans="1:20" ht="19.5">
      <c r="A15" s="70" t="s">
        <v>32</v>
      </c>
      <c r="B15" s="43" t="str">
        <f ca="1">IF(N(C12)+N(D12)&gt;0,IF(N(C12)&gt;N(D12),B12,E12),"")</f>
        <v>96 1. KPK Vrchlabí - Kadavá Petra</v>
      </c>
      <c r="C15" s="73" t="str">
        <f>CONCATENATE($C$1,A4)</f>
        <v>J2</v>
      </c>
      <c r="D15" s="70"/>
      <c r="E15" s="70"/>
    </row>
    <row r="16" spans="1:20" ht="19.5">
      <c r="A16" s="70" t="s">
        <v>33</v>
      </c>
      <c r="B16" s="43" t="str">
        <f ca="1">IF(N(C12)+N(D12)&gt;0,IF(N(C12)&gt;N(D12),E12,B12),"")</f>
        <v>77 CdP Loděnice - Gorroňo López Rubi</v>
      </c>
      <c r="C16" s="73" t="str">
        <f>CONCATENATE($C$1,A5)</f>
        <v>J3</v>
      </c>
      <c r="D16" s="70"/>
      <c r="E16" s="70"/>
    </row>
    <row r="17" spans="1:5" ht="19.5">
      <c r="A17" s="70" t="s">
        <v>34</v>
      </c>
      <c r="B17" s="78" t="str">
        <f ca="1">IF(N(C11)+N(D11)&gt;0,IF(N(C11)&gt;N(D11),E11,B11),"")</f>
        <v xml:space="preserve"> - </v>
      </c>
      <c r="C17" s="73" t="str">
        <f>CONCATENATE($C$1,A6)</f>
        <v>J4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11</v>
      </c>
      <c r="B1" s="71" t="s">
        <v>113</v>
      </c>
      <c r="C1" s="71" t="s">
        <v>92</v>
      </c>
      <c r="D1" s="72"/>
      <c r="E1" s="70"/>
      <c r="F1">
        <f>VLOOKUP(A1,'Hra 2P'!I8:J390,2,0)</f>
        <v>68</v>
      </c>
      <c r="L1">
        <f ca="1">IF(TRIM(B3)="-",0,1) + IF(TRIM(B4)="-",0,1) + IF(TRIM(B5)="-",0,1) + IF(TRIM(B6)="-",0,1)</f>
        <v>3</v>
      </c>
      <c r="R1">
        <f ca="1">INDIRECT(ADDRESS(4,A1,1,1,"Hřiště"))</f>
        <v>11</v>
      </c>
      <c r="S1">
        <f ca="1">INDIRECT(ADDRESS(5,A1,1,1,"Hřiště"))</f>
        <v>11</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11 PC Sokol Lipník - Morávek Petr</v>
      </c>
      <c r="C3" s="70"/>
      <c r="D3" s="70"/>
      <c r="E3" s="70"/>
    </row>
    <row r="4" spans="1:20" ht="19.5">
      <c r="A4" s="70">
        <v>2</v>
      </c>
      <c r="B4" s="43" t="str">
        <f ca="1">IF(TYPE(VLOOKUP(CONCATENATE($C$1,A4),Skupiny!$A$3:$B$258,2,0))&gt;4," - ",VLOOKUP(CONCATENATE($C$1,A4),Skupiny!$A$3:$B$258,2,0))</f>
        <v>76 PC Kolová - Horáček Jindřich</v>
      </c>
      <c r="C4" s="70"/>
      <c r="D4" s="70"/>
      <c r="E4" s="70"/>
    </row>
    <row r="5" spans="1:20" ht="19.5">
      <c r="A5" s="70">
        <v>3</v>
      </c>
      <c r="B5" s="43" t="str">
        <f ca="1">IF(TYPE(VLOOKUP(CONCATENATE($C$1,A5),Skupiny!$A$3:$B$258,2,0))&gt;4," - ",VLOOKUP(CONCATENATE($C$1,A5),Skupiny!$A$3:$B$258,2,0))</f>
        <v>97 PK Osika Plzeň - Špitálský Milan</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11 PC Sokol Lipník - Morávek Petr</v>
      </c>
      <c r="C8" s="74" t="str">
        <f>IF(('Hra 2P'!E68=""),"",'Hra 2P'!E68)</f>
        <v/>
      </c>
      <c r="D8" s="74" t="str">
        <f>IF(('Hra 2P'!F68=""),"",'Hra 2P'!F68)</f>
        <v/>
      </c>
      <c r="E8" s="43" t="str">
        <f ca="1">B6</f>
        <v xml:space="preserve"> - </v>
      </c>
    </row>
    <row r="9" spans="1:20" ht="19.5">
      <c r="A9" s="70"/>
      <c r="B9" s="43" t="str">
        <f ca="1">B4</f>
        <v>76 PC Kolová - Horáček Jindřich</v>
      </c>
      <c r="C9" s="74">
        <f>IF(('Hra 2P'!E69=""),"",'Hra 2P'!E69)</f>
        <v>13</v>
      </c>
      <c r="D9" s="74">
        <f>IF(('Hra 2P'!F69=""),"",'Hra 2P'!F69)</f>
        <v>11</v>
      </c>
      <c r="E9" s="43" t="str">
        <f ca="1">B5</f>
        <v>97 PK Osika Plzeň - Špitálský Milan</v>
      </c>
    </row>
    <row r="10" spans="1:20" ht="19.5">
      <c r="A10" s="75" t="s">
        <v>46</v>
      </c>
      <c r="B10" s="43" t="str">
        <f ca="1">IF(TRIM(E8)="-",B8,IF(AND(C8="",D8="")," ",IF(N(C8)&gt;N(D8),B8,E8)))</f>
        <v>11 PC Sokol Lipník - Morávek Petr</v>
      </c>
      <c r="C10" s="74">
        <f>IF(('Hra 2P'!E70=""),"",'Hra 2P'!E70)</f>
        <v>9</v>
      </c>
      <c r="D10" s="74">
        <f>IF(('Hra 2P'!F70=""),"",'Hra 2P'!F70)</f>
        <v>12</v>
      </c>
      <c r="E10" s="43" t="str">
        <f ca="1">IF(AND(C9="",D9="")," ",IF(N(C9)&gt;N(D9),B9,E9))</f>
        <v>76 PC Kolová - Horáček Jindřich</v>
      </c>
    </row>
    <row r="11" spans="1:20" ht="19.5">
      <c r="A11" s="75" t="s">
        <v>47</v>
      </c>
      <c r="B11" s="43" t="str">
        <f ca="1">IF(TRIM(E8)="-",E8,IF(AND(C8="",D8="")," ",IF(N(C8)&gt;N(D8),E8,B8)))</f>
        <v xml:space="preserve"> - </v>
      </c>
      <c r="C11" s="74" t="str">
        <f>IF(('Hra 2P'!E71=""),"",'Hra 2P'!E71)</f>
        <v/>
      </c>
      <c r="D11" s="74">
        <f>IF(('Hra 2P'!F71=""),"",'Hra 2P'!F71)</f>
        <v>13</v>
      </c>
      <c r="E11" s="43" t="str">
        <f ca="1">IF(TRIM(E9)="",E9,IF(AND(C9="",D9="")," ",IF(N(C9)&gt;N(D9),E9,B9)))</f>
        <v>97 PK Osika Plzeň - Špitálský Milan</v>
      </c>
    </row>
    <row r="12" spans="1:20" ht="19.5">
      <c r="A12" s="75" t="s">
        <v>48</v>
      </c>
      <c r="B12" s="43" t="str">
        <f ca="1">IF(TRIM(E10)="",E10,IF(AND(C10="",D10="")," ",IF(N(C10)&gt;N(D10),E10,B10)))</f>
        <v>11 PC Sokol Lipník - Morávek Petr</v>
      </c>
      <c r="C12" s="74">
        <f>IF(('Hra 2P'!E72=""),"",'Hra 2P'!E72)</f>
        <v>6</v>
      </c>
      <c r="D12" s="74">
        <f>IF(('Hra 2P'!F72=""),"",'Hra 2P'!F72)</f>
        <v>13</v>
      </c>
      <c r="E12" s="43" t="str">
        <f ca="1">IF(AND(TRIM(B11)="",TRIM(E8)=""),E11,IF(AND(C11="",D11="")," ",IF(N(C11)&gt;N(D11),B11,E11)))</f>
        <v>97 PK Osika Plzeň - Špitálský Milan</v>
      </c>
    </row>
    <row r="13" spans="1:20" ht="37.15" customHeight="1">
      <c r="A13" s="70"/>
      <c r="B13" s="76" t="s">
        <v>52</v>
      </c>
      <c r="C13" s="77" t="s">
        <v>116</v>
      </c>
      <c r="D13" s="70"/>
      <c r="E13" s="70"/>
    </row>
    <row r="14" spans="1:20" ht="19.5">
      <c r="A14" s="70" t="s">
        <v>31</v>
      </c>
      <c r="B14" s="43" t="str">
        <f ca="1">IF(N(C10)+N(D10)&gt;0,IF(N(C10)&gt;N(D10),B10,E10),"")</f>
        <v>76 PC Kolová - Horáček Jindřich</v>
      </c>
      <c r="C14" s="73" t="str">
        <f>CONCATENATE($C$1,A3)</f>
        <v>K1</v>
      </c>
      <c r="D14" s="70"/>
      <c r="E14" s="70"/>
    </row>
    <row r="15" spans="1:20" ht="19.5">
      <c r="A15" s="70" t="s">
        <v>32</v>
      </c>
      <c r="B15" s="43" t="str">
        <f ca="1">IF(N(C12)+N(D12)&gt;0,IF(N(C12)&gt;N(D12),B12,E12),"")</f>
        <v>97 PK Osika Plzeň - Špitálský Milan</v>
      </c>
      <c r="C15" s="73" t="str">
        <f>CONCATENATE($C$1,A4)</f>
        <v>K2</v>
      </c>
      <c r="D15" s="70"/>
      <c r="E15" s="70"/>
    </row>
    <row r="16" spans="1:20" ht="19.5">
      <c r="A16" s="70" t="s">
        <v>33</v>
      </c>
      <c r="B16" s="43" t="str">
        <f ca="1">IF(N(C12)+N(D12)&gt;0,IF(N(C12)&gt;N(D12),E12,B12),"")</f>
        <v>11 PC Sokol Lipník - Morávek Petr</v>
      </c>
      <c r="C16" s="73" t="str">
        <f>CONCATENATE($C$1,A5)</f>
        <v>K3</v>
      </c>
      <c r="D16" s="70"/>
      <c r="E16" s="70"/>
    </row>
    <row r="17" spans="1:5" ht="19.5">
      <c r="A17" s="70" t="s">
        <v>34</v>
      </c>
      <c r="B17" s="78" t="str">
        <f ca="1">IF(N(C11)+N(D11)&gt;0,IF(N(C11)&gt;N(D11),E11,B11),"")</f>
        <v xml:space="preserve"> - </v>
      </c>
      <c r="C17" s="73" t="str">
        <f>CONCATENATE($C$1,A6)</f>
        <v>K4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12</v>
      </c>
      <c r="B1" s="71" t="s">
        <v>113</v>
      </c>
      <c r="C1" s="71" t="s">
        <v>93</v>
      </c>
      <c r="D1" s="72"/>
      <c r="E1" s="70"/>
      <c r="F1">
        <f>VLOOKUP(A1,'Hra 2P'!I8:J390,2,0)</f>
        <v>74</v>
      </c>
      <c r="L1">
        <f ca="1">IF(TRIM(B3)="-",0,1) + IF(TRIM(B4)="-",0,1) + IF(TRIM(B5)="-",0,1) + IF(TRIM(B6)="-",0,1)</f>
        <v>3</v>
      </c>
      <c r="R1">
        <f ca="1">INDIRECT(ADDRESS(4,A1,1,1,"Hřiště"))</f>
        <v>12</v>
      </c>
      <c r="S1">
        <f ca="1">INDIRECT(ADDRESS(5,A1,1,1,"Hřiště"))</f>
        <v>12</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12 FRAPECO - Řehoř Miroslav</v>
      </c>
      <c r="C3" s="70"/>
      <c r="D3" s="70"/>
      <c r="E3" s="70"/>
    </row>
    <row r="4" spans="1:20" ht="19.5">
      <c r="A4" s="70">
        <v>2</v>
      </c>
      <c r="B4" s="43" t="str">
        <f ca="1">IF(TYPE(VLOOKUP(CONCATENATE($C$1,A4),Skupiny!$A$3:$B$258,2,0))&gt;4," - ",VLOOKUP(CONCATENATE($C$1,A4),Skupiny!$A$3:$B$258,2,0))</f>
        <v>75 Petank Club Praha - Maňák Jan</v>
      </c>
      <c r="C4" s="70"/>
      <c r="D4" s="70"/>
      <c r="E4" s="70"/>
    </row>
    <row r="5" spans="1:20" ht="19.5">
      <c r="A5" s="70">
        <v>3</v>
      </c>
      <c r="B5" s="43" t="str">
        <f ca="1">IF(TYPE(VLOOKUP(CONCATENATE($C$1,A5),Skupiny!$A$3:$B$258,2,0))&gt;4," - ",VLOOKUP(CONCATENATE($C$1,A5),Skupiny!$A$3:$B$258,2,0))</f>
        <v>98 C.T.P. Club Ořech - Glaserová Dana</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12 FRAPECO - Řehoř Miroslav</v>
      </c>
      <c r="C8" s="74" t="str">
        <f>IF(('Hra 2P'!E74=""),"",'Hra 2P'!E74)</f>
        <v/>
      </c>
      <c r="D8" s="74" t="str">
        <f>IF(('Hra 2P'!F74=""),"",'Hra 2P'!F74)</f>
        <v/>
      </c>
      <c r="E8" s="43" t="str">
        <f ca="1">B6</f>
        <v xml:space="preserve"> - </v>
      </c>
    </row>
    <row r="9" spans="1:20" ht="19.5">
      <c r="A9" s="70"/>
      <c r="B9" s="43" t="str">
        <f ca="1">B4</f>
        <v>75 Petank Club Praha - Maňák Jan</v>
      </c>
      <c r="C9" s="74">
        <f>IF(('Hra 2P'!E75=""),"",'Hra 2P'!E75)</f>
        <v>6</v>
      </c>
      <c r="D9" s="74">
        <f>IF(('Hra 2P'!F75=""),"",'Hra 2P'!F75)</f>
        <v>13</v>
      </c>
      <c r="E9" s="43" t="str">
        <f ca="1">B5</f>
        <v>98 C.T.P. Club Ořech - Glaserová Dana</v>
      </c>
    </row>
    <row r="10" spans="1:20" ht="19.5">
      <c r="A10" s="75" t="s">
        <v>46</v>
      </c>
      <c r="B10" s="43" t="str">
        <f ca="1">IF(TRIM(E8)="-",B8,IF(AND(C8="",D8="")," ",IF(N(C8)&gt;N(D8),B8,E8)))</f>
        <v>12 FRAPECO - Řehoř Miroslav</v>
      </c>
      <c r="C10" s="74">
        <f>IF(('Hra 2P'!E76=""),"",'Hra 2P'!E76)</f>
        <v>13</v>
      </c>
      <c r="D10" s="74">
        <f>IF(('Hra 2P'!F76=""),"",'Hra 2P'!F76)</f>
        <v>6</v>
      </c>
      <c r="E10" s="43" t="str">
        <f ca="1">IF(AND(C9="",D9="")," ",IF(N(C9)&gt;N(D9),B9,E9))</f>
        <v>98 C.T.P. Club Ořech - Glaserová Dana</v>
      </c>
    </row>
    <row r="11" spans="1:20" ht="19.5">
      <c r="A11" s="75" t="s">
        <v>47</v>
      </c>
      <c r="B11" s="43" t="str">
        <f ca="1">IF(TRIM(E8)="-",E8,IF(AND(C8="",D8="")," ",IF(N(C8)&gt;N(D8),E8,B8)))</f>
        <v xml:space="preserve"> - </v>
      </c>
      <c r="C11" s="74" t="str">
        <f>IF(('Hra 2P'!E77=""),"",'Hra 2P'!E77)</f>
        <v/>
      </c>
      <c r="D11" s="74">
        <f>IF(('Hra 2P'!F77=""),"",'Hra 2P'!F77)</f>
        <v>13</v>
      </c>
      <c r="E11" s="43" t="str">
        <f ca="1">IF(TRIM(E9)="",E9,IF(AND(C9="",D9="")," ",IF(N(C9)&gt;N(D9),E9,B9)))</f>
        <v>75 Petank Club Praha - Maňák Jan</v>
      </c>
    </row>
    <row r="12" spans="1:20" ht="19.5">
      <c r="A12" s="75" t="s">
        <v>48</v>
      </c>
      <c r="B12" s="43" t="str">
        <f ca="1">IF(TRIM(E10)="",E10,IF(AND(C10="",D10="")," ",IF(N(C10)&gt;N(D10),E10,B10)))</f>
        <v>98 C.T.P. Club Ořech - Glaserová Dana</v>
      </c>
      <c r="C12" s="74">
        <f>IF(('Hra 2P'!E78=""),"",'Hra 2P'!E78)</f>
        <v>13</v>
      </c>
      <c r="D12" s="74">
        <f>IF(('Hra 2P'!F78=""),"",'Hra 2P'!F78)</f>
        <v>6</v>
      </c>
      <c r="E12" s="43" t="str">
        <f ca="1">IF(AND(TRIM(B11)="",TRIM(E8)=""),E11,IF(AND(C11="",D11="")," ",IF(N(C11)&gt;N(D11),B11,E11)))</f>
        <v>75 Petank Club Praha - Maňák Jan</v>
      </c>
    </row>
    <row r="13" spans="1:20" ht="37.15" customHeight="1">
      <c r="A13" s="70"/>
      <c r="B13" s="76" t="s">
        <v>52</v>
      </c>
      <c r="C13" s="77" t="s">
        <v>116</v>
      </c>
      <c r="D13" s="70"/>
      <c r="E13" s="70"/>
    </row>
    <row r="14" spans="1:20" ht="19.5">
      <c r="A14" s="70" t="s">
        <v>31</v>
      </c>
      <c r="B14" s="43" t="str">
        <f ca="1">IF(N(C10)+N(D10)&gt;0,IF(N(C10)&gt;N(D10),B10,E10),"")</f>
        <v>12 FRAPECO - Řehoř Miroslav</v>
      </c>
      <c r="C14" s="73" t="str">
        <f>CONCATENATE($C$1,A3)</f>
        <v>L1</v>
      </c>
      <c r="D14" s="70"/>
      <c r="E14" s="70"/>
    </row>
    <row r="15" spans="1:20" ht="19.5">
      <c r="A15" s="70" t="s">
        <v>32</v>
      </c>
      <c r="B15" s="43" t="str">
        <f ca="1">IF(N(C12)+N(D12)&gt;0,IF(N(C12)&gt;N(D12),B12,E12),"")</f>
        <v>98 C.T.P. Club Ořech - Glaserová Dana</v>
      </c>
      <c r="C15" s="73" t="str">
        <f>CONCATENATE($C$1,A4)</f>
        <v>L2</v>
      </c>
      <c r="D15" s="70"/>
      <c r="E15" s="70"/>
    </row>
    <row r="16" spans="1:20" ht="19.5">
      <c r="A16" s="70" t="s">
        <v>33</v>
      </c>
      <c r="B16" s="43" t="str">
        <f ca="1">IF(N(C12)+N(D12)&gt;0,IF(N(C12)&gt;N(D12),E12,B12),"")</f>
        <v>75 Petank Club Praha - Maňák Jan</v>
      </c>
      <c r="C16" s="73" t="str">
        <f>CONCATENATE($C$1,A5)</f>
        <v>L3</v>
      </c>
      <c r="D16" s="70"/>
      <c r="E16" s="70"/>
    </row>
    <row r="17" spans="1:5" ht="19.5">
      <c r="A17" s="70" t="s">
        <v>34</v>
      </c>
      <c r="B17" s="78" t="str">
        <f ca="1">IF(N(C11)+N(D11)&gt;0,IF(N(C11)&gt;N(D11),E11,B11),"")</f>
        <v xml:space="preserve"> - </v>
      </c>
      <c r="C17" s="73" t="str">
        <f>CONCATENATE($C$1,A6)</f>
        <v>L4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13</v>
      </c>
      <c r="B1" s="71" t="s">
        <v>113</v>
      </c>
      <c r="C1" s="71" t="s">
        <v>94</v>
      </c>
      <c r="D1" s="72"/>
      <c r="E1" s="70"/>
      <c r="F1">
        <f>VLOOKUP(A1,'Hra 2P'!I8:J390,2,0)</f>
        <v>80</v>
      </c>
      <c r="L1">
        <f ca="1">IF(TRIM(B3)="-",0,1) + IF(TRIM(B4)="-",0,1) + IF(TRIM(B5)="-",0,1) + IF(TRIM(B6)="-",0,1)</f>
        <v>3</v>
      </c>
      <c r="R1">
        <f ca="1">INDIRECT(ADDRESS(4,A1,1,1,"Hřiště"))</f>
        <v>13</v>
      </c>
      <c r="S1">
        <f ca="1">INDIRECT(ADDRESS(5,A1,1,1,"Hřiště"))</f>
        <v>13</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13 PC Sokol Lipník - Zdobinský Michal ml.</v>
      </c>
      <c r="C3" s="70"/>
      <c r="D3" s="70"/>
      <c r="E3" s="70"/>
    </row>
    <row r="4" spans="1:20" ht="19.5">
      <c r="A4" s="70">
        <v>2</v>
      </c>
      <c r="B4" s="43" t="str">
        <f ca="1">IF(TYPE(VLOOKUP(CONCATENATE($C$1,A4),Skupiny!$A$3:$B$258,2,0))&gt;4," - ",VLOOKUP(CONCATENATE($C$1,A4),Skupiny!$A$3:$B$258,2,0))</f>
        <v>74 PK Osika Plzeň - Jirkovský Tomáš</v>
      </c>
      <c r="C4" s="70"/>
      <c r="D4" s="70"/>
      <c r="E4" s="70"/>
    </row>
    <row r="5" spans="1:20" ht="19.5">
      <c r="A5" s="70">
        <v>3</v>
      </c>
      <c r="B5" s="43" t="str">
        <f ca="1">IF(TYPE(VLOOKUP(CONCATENATE($C$1,A5),Skupiny!$A$3:$B$258,2,0))&gt;4," - ",VLOOKUP(CONCATENATE($C$1,A5),Skupiny!$A$3:$B$258,2,0))</f>
        <v>99 SK Sahara Vědomice - Kocourek Pavel</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13 PC Sokol Lipník - Zdobinský Michal ml.</v>
      </c>
      <c r="C8" s="74" t="str">
        <f>IF(('Hra 2P'!E80=""),"",'Hra 2P'!E80)</f>
        <v/>
      </c>
      <c r="D8" s="74" t="str">
        <f>IF(('Hra 2P'!F80=""),"",'Hra 2P'!F80)</f>
        <v/>
      </c>
      <c r="E8" s="43" t="str">
        <f ca="1">B6</f>
        <v xml:space="preserve"> - </v>
      </c>
    </row>
    <row r="9" spans="1:20" ht="19.5">
      <c r="A9" s="70"/>
      <c r="B9" s="43" t="str">
        <f ca="1">B4</f>
        <v>74 PK Osika Plzeň - Jirkovský Tomáš</v>
      </c>
      <c r="C9" s="74">
        <f>IF(('Hra 2P'!E81=""),"",'Hra 2P'!E81)</f>
        <v>8</v>
      </c>
      <c r="D9" s="74">
        <f>IF(('Hra 2P'!F81=""),"",'Hra 2P'!F81)</f>
        <v>13</v>
      </c>
      <c r="E9" s="43" t="str">
        <f ca="1">B5</f>
        <v>99 SK Sahara Vědomice - Kocourek Pavel</v>
      </c>
    </row>
    <row r="10" spans="1:20" ht="19.5">
      <c r="A10" s="75" t="s">
        <v>46</v>
      </c>
      <c r="B10" s="43" t="str">
        <f ca="1">IF(TRIM(E8)="-",B8,IF(AND(C8="",D8="")," ",IF(N(C8)&gt;N(D8),B8,E8)))</f>
        <v>13 PC Sokol Lipník - Zdobinský Michal ml.</v>
      </c>
      <c r="C10" s="74">
        <f>IF(('Hra 2P'!E82=""),"",'Hra 2P'!E82)</f>
        <v>6</v>
      </c>
      <c r="D10" s="74">
        <f>IF(('Hra 2P'!F82=""),"",'Hra 2P'!F82)</f>
        <v>13</v>
      </c>
      <c r="E10" s="43" t="str">
        <f ca="1">IF(AND(C9="",D9="")," ",IF(N(C9)&gt;N(D9),B9,E9))</f>
        <v>99 SK Sahara Vědomice - Kocourek Pavel</v>
      </c>
    </row>
    <row r="11" spans="1:20" ht="19.5">
      <c r="A11" s="75" t="s">
        <v>47</v>
      </c>
      <c r="B11" s="43" t="str">
        <f ca="1">IF(TRIM(E8)="-",E8,IF(AND(C8="",D8="")," ",IF(N(C8)&gt;N(D8),E8,B8)))</f>
        <v xml:space="preserve"> - </v>
      </c>
      <c r="C11" s="74" t="str">
        <f>IF(('Hra 2P'!E83=""),"",'Hra 2P'!E83)</f>
        <v/>
      </c>
      <c r="D11" s="74">
        <f>IF(('Hra 2P'!F83=""),"",'Hra 2P'!F83)</f>
        <v>13</v>
      </c>
      <c r="E11" s="43" t="str">
        <f ca="1">IF(TRIM(E9)="",E9,IF(AND(C9="",D9="")," ",IF(N(C9)&gt;N(D9),E9,B9)))</f>
        <v>74 PK Osika Plzeň - Jirkovský Tomáš</v>
      </c>
    </row>
    <row r="12" spans="1:20" ht="19.5">
      <c r="A12" s="75" t="s">
        <v>48</v>
      </c>
      <c r="B12" s="43" t="str">
        <f ca="1">IF(TRIM(E10)="",E10,IF(AND(C10="",D10="")," ",IF(N(C10)&gt;N(D10),E10,B10)))</f>
        <v>13 PC Sokol Lipník - Zdobinský Michal ml.</v>
      </c>
      <c r="C12" s="74">
        <f>IF(('Hra 2P'!E84=""),"",'Hra 2P'!E84)</f>
        <v>13</v>
      </c>
      <c r="D12" s="74">
        <f>IF(('Hra 2P'!F84=""),"",'Hra 2P'!F84)</f>
        <v>7</v>
      </c>
      <c r="E12" s="43" t="str">
        <f ca="1">IF(AND(TRIM(B11)="",TRIM(E8)=""),E11,IF(AND(C11="",D11="")," ",IF(N(C11)&gt;N(D11),B11,E11)))</f>
        <v>74 PK Osika Plzeň - Jirkovský Tomáš</v>
      </c>
    </row>
    <row r="13" spans="1:20" ht="37.15" customHeight="1">
      <c r="A13" s="70"/>
      <c r="B13" s="76" t="s">
        <v>52</v>
      </c>
      <c r="C13" s="77" t="s">
        <v>116</v>
      </c>
      <c r="D13" s="70"/>
      <c r="E13" s="70"/>
    </row>
    <row r="14" spans="1:20" ht="19.5">
      <c r="A14" s="70" t="s">
        <v>31</v>
      </c>
      <c r="B14" s="43" t="str">
        <f ca="1">IF(N(C10)+N(D10)&gt;0,IF(N(C10)&gt;N(D10),B10,E10),"")</f>
        <v>99 SK Sahara Vědomice - Kocourek Pavel</v>
      </c>
      <c r="C14" s="73" t="str">
        <f>CONCATENATE($C$1,A3)</f>
        <v>M1</v>
      </c>
      <c r="D14" s="70"/>
      <c r="E14" s="70"/>
    </row>
    <row r="15" spans="1:20" ht="19.5">
      <c r="A15" s="70" t="s">
        <v>32</v>
      </c>
      <c r="B15" s="43" t="str">
        <f ca="1">IF(N(C12)+N(D12)&gt;0,IF(N(C12)&gt;N(D12),B12,E12),"")</f>
        <v>13 PC Sokol Lipník - Zdobinský Michal ml.</v>
      </c>
      <c r="C15" s="73" t="str">
        <f>CONCATENATE($C$1,A4)</f>
        <v>M2</v>
      </c>
      <c r="D15" s="70"/>
      <c r="E15" s="70"/>
    </row>
    <row r="16" spans="1:20" ht="19.5">
      <c r="A16" s="70" t="s">
        <v>33</v>
      </c>
      <c r="B16" s="43" t="str">
        <f ca="1">IF(N(C12)+N(D12)&gt;0,IF(N(C12)&gt;N(D12),E12,B12),"")</f>
        <v>74 PK Osika Plzeň - Jirkovský Tomáš</v>
      </c>
      <c r="C16" s="73" t="str">
        <f>CONCATENATE($C$1,A5)</f>
        <v>M3</v>
      </c>
      <c r="D16" s="70"/>
      <c r="E16" s="70"/>
    </row>
    <row r="17" spans="1:5" ht="19.5">
      <c r="A17" s="70" t="s">
        <v>34</v>
      </c>
      <c r="B17" s="78" t="str">
        <f ca="1">IF(N(C11)+N(D11)&gt;0,IF(N(C11)&gt;N(D11),E11,B11),"")</f>
        <v xml:space="preserve"> - </v>
      </c>
      <c r="C17" s="73" t="str">
        <f>CONCATENATE($C$1,A6)</f>
        <v>M4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14</v>
      </c>
      <c r="B1" s="71" t="s">
        <v>113</v>
      </c>
      <c r="C1" s="71" t="s">
        <v>95</v>
      </c>
      <c r="D1" s="72"/>
      <c r="E1" s="70"/>
      <c r="F1">
        <f>VLOOKUP(A1,'Hra 2P'!I8:J390,2,0)</f>
        <v>86</v>
      </c>
      <c r="L1">
        <f ca="1">IF(TRIM(B3)="-",0,1) + IF(TRIM(B4)="-",0,1) + IF(TRIM(B5)="-",0,1) + IF(TRIM(B6)="-",0,1)</f>
        <v>3</v>
      </c>
      <c r="R1">
        <f ca="1">INDIRECT(ADDRESS(4,A1,1,1,"Hřiště"))</f>
        <v>14</v>
      </c>
      <c r="S1">
        <f ca="1">INDIRECT(ADDRESS(5,A1,1,1,"Hřiště"))</f>
        <v>14</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14 FRAPECO - Ondryáš Jiří</v>
      </c>
      <c r="C3" s="70"/>
      <c r="D3" s="70"/>
      <c r="E3" s="70"/>
    </row>
    <row r="4" spans="1:20" ht="19.5">
      <c r="A4" s="70">
        <v>2</v>
      </c>
      <c r="B4" s="43" t="str">
        <f ca="1">IF(TYPE(VLOOKUP(CONCATENATE($C$1,A4),Skupiny!$A$3:$B$258,2,0))&gt;4," - ",VLOOKUP(CONCATENATE($C$1,A4),Skupiny!$A$3:$B$258,2,0))</f>
        <v>73 SKP Kulová osma - Sjögren Magda</v>
      </c>
      <c r="C4" s="70"/>
      <c r="D4" s="70"/>
      <c r="E4" s="70"/>
    </row>
    <row r="5" spans="1:20" ht="19.5">
      <c r="A5" s="70">
        <v>3</v>
      </c>
      <c r="B5" s="43" t="str">
        <f ca="1">IF(TYPE(VLOOKUP(CONCATENATE($C$1,A5),Skupiny!$A$3:$B$258,2,0))&gt;4," - ",VLOOKUP(CONCATENATE($C$1,A5),Skupiny!$A$3:$B$258,2,0))</f>
        <v>100 1. Starobrněnský PK - Blažejová Eva</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14 FRAPECO - Ondryáš Jiří</v>
      </c>
      <c r="C8" s="74" t="str">
        <f>IF(('Hra 2P'!E86=""),"",'Hra 2P'!E86)</f>
        <v/>
      </c>
      <c r="D8" s="74" t="str">
        <f>IF(('Hra 2P'!F86=""),"",'Hra 2P'!F86)</f>
        <v/>
      </c>
      <c r="E8" s="43" t="str">
        <f ca="1">B6</f>
        <v xml:space="preserve"> - </v>
      </c>
    </row>
    <row r="9" spans="1:20" ht="19.5">
      <c r="A9" s="70"/>
      <c r="B9" s="43" t="str">
        <f ca="1">B4</f>
        <v>73 SKP Kulová osma - Sjögren Magda</v>
      </c>
      <c r="C9" s="74">
        <f>IF(('Hra 2P'!E87=""),"",'Hra 2P'!E87)</f>
        <v>13</v>
      </c>
      <c r="D9" s="74">
        <f>IF(('Hra 2P'!F87=""),"",'Hra 2P'!F87)</f>
        <v>11</v>
      </c>
      <c r="E9" s="43" t="str">
        <f ca="1">B5</f>
        <v>100 1. Starobrněnský PK - Blažejová Eva</v>
      </c>
    </row>
    <row r="10" spans="1:20" ht="19.5">
      <c r="A10" s="75" t="s">
        <v>46</v>
      </c>
      <c r="B10" s="43" t="str">
        <f ca="1">IF(TRIM(E8)="-",B8,IF(AND(C8="",D8="")," ",IF(N(C8)&gt;N(D8),B8,E8)))</f>
        <v>14 FRAPECO - Ondryáš Jiří</v>
      </c>
      <c r="C10" s="74">
        <f>IF(('Hra 2P'!E88=""),"",'Hra 2P'!E88)</f>
        <v>13</v>
      </c>
      <c r="D10" s="74">
        <f>IF(('Hra 2P'!F88=""),"",'Hra 2P'!F88)</f>
        <v>1</v>
      </c>
      <c r="E10" s="43" t="str">
        <f ca="1">IF(AND(C9="",D9="")," ",IF(N(C9)&gt;N(D9),B9,E9))</f>
        <v>73 SKP Kulová osma - Sjögren Magda</v>
      </c>
    </row>
    <row r="11" spans="1:20" ht="19.5">
      <c r="A11" s="75" t="s">
        <v>47</v>
      </c>
      <c r="B11" s="43" t="str">
        <f ca="1">IF(TRIM(E8)="-",E8,IF(AND(C8="",D8="")," ",IF(N(C8)&gt;N(D8),E8,B8)))</f>
        <v xml:space="preserve"> - </v>
      </c>
      <c r="C11" s="74" t="str">
        <f>IF(('Hra 2P'!E89=""),"",'Hra 2P'!E89)</f>
        <v/>
      </c>
      <c r="D11" s="74">
        <f>IF(('Hra 2P'!F89=""),"",'Hra 2P'!F89)</f>
        <v>13</v>
      </c>
      <c r="E11" s="43" t="str">
        <f ca="1">IF(TRIM(E9)="",E9,IF(AND(C9="",D9="")," ",IF(N(C9)&gt;N(D9),E9,B9)))</f>
        <v>100 1. Starobrněnský PK - Blažejová Eva</v>
      </c>
    </row>
    <row r="12" spans="1:20" ht="19.5">
      <c r="A12" s="75" t="s">
        <v>48</v>
      </c>
      <c r="B12" s="43" t="str">
        <f ca="1">IF(TRIM(E10)="",E10,IF(AND(C10="",D10="")," ",IF(N(C10)&gt;N(D10),E10,B10)))</f>
        <v>73 SKP Kulová osma - Sjögren Magda</v>
      </c>
      <c r="C12" s="74">
        <f>IF(('Hra 2P'!E90=""),"",'Hra 2P'!E90)</f>
        <v>4</v>
      </c>
      <c r="D12" s="74">
        <f>IF(('Hra 2P'!F90=""),"",'Hra 2P'!F90)</f>
        <v>13</v>
      </c>
      <c r="E12" s="43" t="str">
        <f ca="1">IF(AND(TRIM(B11)="",TRIM(E8)=""),E11,IF(AND(C11="",D11="")," ",IF(N(C11)&gt;N(D11),B11,E11)))</f>
        <v>100 1. Starobrněnský PK - Blažejová Eva</v>
      </c>
    </row>
    <row r="13" spans="1:20" ht="37.15" customHeight="1">
      <c r="A13" s="70"/>
      <c r="B13" s="76" t="s">
        <v>52</v>
      </c>
      <c r="C13" s="77" t="s">
        <v>116</v>
      </c>
      <c r="D13" s="70"/>
      <c r="E13" s="70"/>
    </row>
    <row r="14" spans="1:20" ht="19.5">
      <c r="A14" s="70" t="s">
        <v>31</v>
      </c>
      <c r="B14" s="43" t="str">
        <f ca="1">IF(N(C10)+N(D10)&gt;0,IF(N(C10)&gt;N(D10),B10,E10),"")</f>
        <v>14 FRAPECO - Ondryáš Jiří</v>
      </c>
      <c r="C14" s="73" t="str">
        <f>CONCATENATE($C$1,A3)</f>
        <v>N1</v>
      </c>
      <c r="D14" s="70"/>
      <c r="E14" s="70"/>
    </row>
    <row r="15" spans="1:20" ht="19.5">
      <c r="A15" s="70" t="s">
        <v>32</v>
      </c>
      <c r="B15" s="43" t="str">
        <f ca="1">IF(N(C12)+N(D12)&gt;0,IF(N(C12)&gt;N(D12),B12,E12),"")</f>
        <v>100 1. Starobrněnský PK - Blažejová Eva</v>
      </c>
      <c r="C15" s="73" t="str">
        <f>CONCATENATE($C$1,A4)</f>
        <v>N2</v>
      </c>
      <c r="D15" s="70"/>
      <c r="E15" s="70"/>
    </row>
    <row r="16" spans="1:20" ht="19.5">
      <c r="A16" s="70" t="s">
        <v>33</v>
      </c>
      <c r="B16" s="43" t="str">
        <f ca="1">IF(N(C12)+N(D12)&gt;0,IF(N(C12)&gt;N(D12),E12,B12),"")</f>
        <v>73 SKP Kulová osma - Sjögren Magda</v>
      </c>
      <c r="C16" s="73" t="str">
        <f>CONCATENATE($C$1,A5)</f>
        <v>N3</v>
      </c>
      <c r="D16" s="70"/>
      <c r="E16" s="70"/>
    </row>
    <row r="17" spans="1:5" ht="19.5">
      <c r="A17" s="70" t="s">
        <v>34</v>
      </c>
      <c r="B17" s="78" t="str">
        <f ca="1">IF(N(C11)+N(D11)&gt;0,IF(N(C11)&gt;N(D11),E11,B11),"")</f>
        <v xml:space="preserve"> - </v>
      </c>
      <c r="C17" s="73" t="str">
        <f>CONCATENATE($C$1,A6)</f>
        <v>N4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15</v>
      </c>
      <c r="B1" s="71" t="s">
        <v>113</v>
      </c>
      <c r="C1" s="71" t="s">
        <v>96</v>
      </c>
      <c r="D1" s="72"/>
      <c r="E1" s="70"/>
      <c r="F1">
        <f>VLOOKUP(A1,'Hra 2P'!I8:J390,2,0)</f>
        <v>92</v>
      </c>
      <c r="L1">
        <f ca="1">IF(TRIM(B3)="-",0,1) + IF(TRIM(B4)="-",0,1) + IF(TRIM(B5)="-",0,1) + IF(TRIM(B6)="-",0,1)</f>
        <v>3</v>
      </c>
      <c r="R1">
        <f ca="1">INDIRECT(ADDRESS(4,A1,1,1,"Hřiště"))</f>
        <v>15</v>
      </c>
      <c r="S1">
        <f ca="1">INDIRECT(ADDRESS(5,A1,1,1,"Hřiště"))</f>
        <v>15</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15 PLUK Jablonec - Palicová Markéta</v>
      </c>
      <c r="C3" s="70"/>
      <c r="D3" s="70"/>
      <c r="E3" s="70"/>
    </row>
    <row r="4" spans="1:20" ht="19.5">
      <c r="A4" s="70">
        <v>2</v>
      </c>
      <c r="B4" s="43" t="str">
        <f ca="1">IF(TYPE(VLOOKUP(CONCATENATE($C$1,A4),Skupiny!$A$3:$B$258,2,0))&gt;4," - ",VLOOKUP(CONCATENATE($C$1,A4),Skupiny!$A$3:$B$258,2,0))</f>
        <v>72 PAK Albrechtice - Valík Václav</v>
      </c>
      <c r="C4" s="70"/>
      <c r="D4" s="70"/>
      <c r="E4" s="70"/>
    </row>
    <row r="5" spans="1:20" ht="19.5">
      <c r="A5" s="70">
        <v>3</v>
      </c>
      <c r="B5" s="43" t="str">
        <f ca="1">IF(TYPE(VLOOKUP(CONCATENATE($C$1,A5),Skupiny!$A$3:$B$258,2,0))&gt;4," - ",VLOOKUP(CONCATENATE($C$1,A5),Skupiny!$A$3:$B$258,2,0))</f>
        <v>101 PK Polouvsí - Valošek Radim</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15 PLUK Jablonec - Palicová Markéta</v>
      </c>
      <c r="C8" s="74" t="str">
        <f>IF(('Hra 2P'!E92=""),"",'Hra 2P'!E92)</f>
        <v/>
      </c>
      <c r="D8" s="74" t="str">
        <f>IF(('Hra 2P'!F92=""),"",'Hra 2P'!F92)</f>
        <v/>
      </c>
      <c r="E8" s="43" t="str">
        <f ca="1">B6</f>
        <v xml:space="preserve"> - </v>
      </c>
    </row>
    <row r="9" spans="1:20" ht="19.5">
      <c r="A9" s="70"/>
      <c r="B9" s="43" t="str">
        <f ca="1">B4</f>
        <v>72 PAK Albrechtice - Valík Václav</v>
      </c>
      <c r="C9" s="74">
        <f>IF(('Hra 2P'!E93=""),"",'Hra 2P'!E93)</f>
        <v>13</v>
      </c>
      <c r="D9" s="74">
        <f>IF(('Hra 2P'!F93=""),"",'Hra 2P'!F93)</f>
        <v>8</v>
      </c>
      <c r="E9" s="43" t="str">
        <f ca="1">B5</f>
        <v>101 PK Polouvsí - Valošek Radim</v>
      </c>
    </row>
    <row r="10" spans="1:20" ht="19.5">
      <c r="A10" s="75" t="s">
        <v>46</v>
      </c>
      <c r="B10" s="43" t="str">
        <f ca="1">IF(TRIM(E8)="-",B8,IF(AND(C8="",D8="")," ",IF(N(C8)&gt;N(D8),B8,E8)))</f>
        <v>15 PLUK Jablonec - Palicová Markéta</v>
      </c>
      <c r="C10" s="74">
        <f>IF(('Hra 2P'!E94=""),"",'Hra 2P'!E94)</f>
        <v>13</v>
      </c>
      <c r="D10" s="74">
        <f>IF(('Hra 2P'!F94=""),"",'Hra 2P'!F94)</f>
        <v>7</v>
      </c>
      <c r="E10" s="43" t="str">
        <f ca="1">IF(AND(C9="",D9="")," ",IF(N(C9)&gt;N(D9),B9,E9))</f>
        <v>72 PAK Albrechtice - Valík Václav</v>
      </c>
    </row>
    <row r="11" spans="1:20" ht="19.5">
      <c r="A11" s="75" t="s">
        <v>47</v>
      </c>
      <c r="B11" s="43" t="str">
        <f ca="1">IF(TRIM(E8)="-",E8,IF(AND(C8="",D8="")," ",IF(N(C8)&gt;N(D8),E8,B8)))</f>
        <v xml:space="preserve"> - </v>
      </c>
      <c r="C11" s="74" t="str">
        <f>IF(('Hra 2P'!E95=""),"",'Hra 2P'!E95)</f>
        <v/>
      </c>
      <c r="D11" s="74">
        <f>IF(('Hra 2P'!F95=""),"",'Hra 2P'!F95)</f>
        <v>13</v>
      </c>
      <c r="E11" s="43" t="str">
        <f ca="1">IF(TRIM(E9)="",E9,IF(AND(C9="",D9="")," ",IF(N(C9)&gt;N(D9),E9,B9)))</f>
        <v>101 PK Polouvsí - Valošek Radim</v>
      </c>
    </row>
    <row r="12" spans="1:20" ht="19.5">
      <c r="A12" s="75" t="s">
        <v>48</v>
      </c>
      <c r="B12" s="43" t="str">
        <f ca="1">IF(TRIM(E10)="",E10,IF(AND(C10="",D10="")," ",IF(N(C10)&gt;N(D10),E10,B10)))</f>
        <v>72 PAK Albrechtice - Valík Václav</v>
      </c>
      <c r="C12" s="74">
        <f>IF(('Hra 2P'!E96=""),"",'Hra 2P'!E96)</f>
        <v>13</v>
      </c>
      <c r="D12" s="74">
        <f>IF(('Hra 2P'!F96=""),"",'Hra 2P'!F96)</f>
        <v>6</v>
      </c>
      <c r="E12" s="43" t="str">
        <f ca="1">IF(AND(TRIM(B11)="",TRIM(E8)=""),E11,IF(AND(C11="",D11="")," ",IF(N(C11)&gt;N(D11),B11,E11)))</f>
        <v>101 PK Polouvsí - Valošek Radim</v>
      </c>
    </row>
    <row r="13" spans="1:20" ht="37.15" customHeight="1">
      <c r="A13" s="70"/>
      <c r="B13" s="76" t="s">
        <v>52</v>
      </c>
      <c r="C13" s="77" t="s">
        <v>116</v>
      </c>
      <c r="D13" s="70"/>
      <c r="E13" s="70"/>
    </row>
    <row r="14" spans="1:20" ht="19.5">
      <c r="A14" s="70" t="s">
        <v>31</v>
      </c>
      <c r="B14" s="43" t="str">
        <f ca="1">IF(N(C10)+N(D10)&gt;0,IF(N(C10)&gt;N(D10),B10,E10),"")</f>
        <v>15 PLUK Jablonec - Palicová Markéta</v>
      </c>
      <c r="C14" s="73" t="str">
        <f>CONCATENATE($C$1,A3)</f>
        <v>O1</v>
      </c>
      <c r="D14" s="70"/>
      <c r="E14" s="70"/>
    </row>
    <row r="15" spans="1:20" ht="19.5">
      <c r="A15" s="70" t="s">
        <v>32</v>
      </c>
      <c r="B15" s="43" t="str">
        <f ca="1">IF(N(C12)+N(D12)&gt;0,IF(N(C12)&gt;N(D12),B12,E12),"")</f>
        <v>72 PAK Albrechtice - Valík Václav</v>
      </c>
      <c r="C15" s="73" t="str">
        <f>CONCATENATE($C$1,A4)</f>
        <v>O2</v>
      </c>
      <c r="D15" s="70"/>
      <c r="E15" s="70"/>
    </row>
    <row r="16" spans="1:20" ht="19.5">
      <c r="A16" s="70" t="s">
        <v>33</v>
      </c>
      <c r="B16" s="43" t="str">
        <f ca="1">IF(N(C12)+N(D12)&gt;0,IF(N(C12)&gt;N(D12),E12,B12),"")</f>
        <v>101 PK Polouvsí - Valošek Radim</v>
      </c>
      <c r="C16" s="73" t="str">
        <f>CONCATENATE($C$1,A5)</f>
        <v>O3</v>
      </c>
      <c r="D16" s="70"/>
      <c r="E16" s="70"/>
    </row>
    <row r="17" spans="1:5" ht="19.5">
      <c r="A17" s="70" t="s">
        <v>34</v>
      </c>
      <c r="B17" s="78" t="str">
        <f ca="1">IF(N(C11)+N(D11)&gt;0,IF(N(C11)&gt;N(D11),E11,B11),"")</f>
        <v xml:space="preserve"> - </v>
      </c>
      <c r="C17" s="73" t="str">
        <f>CONCATENATE($C$1,A6)</f>
        <v>O4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16</v>
      </c>
      <c r="B1" s="71" t="s">
        <v>113</v>
      </c>
      <c r="C1" s="71" t="s">
        <v>97</v>
      </c>
      <c r="D1" s="72"/>
      <c r="E1" s="70"/>
      <c r="F1">
        <f>VLOOKUP(A1,'Hra 2P'!I8:J390,2,0)</f>
        <v>98</v>
      </c>
      <c r="L1">
        <f ca="1">IF(TRIM(B3)="-",0,1) + IF(TRIM(B4)="-",0,1) + IF(TRIM(B5)="-",0,1) + IF(TRIM(B6)="-",0,1)</f>
        <v>3</v>
      </c>
      <c r="R1">
        <f ca="1">INDIRECT(ADDRESS(4,A1,1,1,"Hřiště"))</f>
        <v>16</v>
      </c>
      <c r="S1">
        <f ca="1">INDIRECT(ADDRESS(5,A1,1,1,"Hřiště"))</f>
        <v>16</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16 POP Praha - Konšel Jakub</v>
      </c>
      <c r="C3" s="70"/>
      <c r="D3" s="70"/>
      <c r="E3" s="70"/>
    </row>
    <row r="4" spans="1:20" ht="19.5">
      <c r="A4" s="70">
        <v>2</v>
      </c>
      <c r="B4" s="43" t="str">
        <f ca="1">IF(TYPE(VLOOKUP(CONCATENATE($C$1,A4),Skupiny!$A$3:$B$258,2,0))&gt;4," - ",VLOOKUP(CONCATENATE($C$1,A4),Skupiny!$A$3:$B$258,2,0))</f>
        <v>71 Bowle 09 Klatovy - Hulec Zdeněk</v>
      </c>
      <c r="C4" s="70"/>
      <c r="D4" s="70"/>
      <c r="E4" s="70"/>
    </row>
    <row r="5" spans="1:20" ht="19.5">
      <c r="A5" s="70">
        <v>3</v>
      </c>
      <c r="B5" s="43" t="str">
        <f ca="1">IF(TYPE(VLOOKUP(CONCATENATE($C$1,A5),Skupiny!$A$3:$B$258,2,0))&gt;4," - ",VLOOKUP(CONCATENATE($C$1,A5),Skupiny!$A$3:$B$258,2,0))</f>
        <v>102 Sokol Kostomlaty - Vaníček Rudolf</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16 POP Praha - Konšel Jakub</v>
      </c>
      <c r="C8" s="74" t="str">
        <f>IF(('Hra 2P'!E98=""),"",'Hra 2P'!E98)</f>
        <v/>
      </c>
      <c r="D8" s="74" t="str">
        <f>IF(('Hra 2P'!F98=""),"",'Hra 2P'!F98)</f>
        <v/>
      </c>
      <c r="E8" s="43" t="str">
        <f ca="1">B6</f>
        <v xml:space="preserve"> - </v>
      </c>
    </row>
    <row r="9" spans="1:20" ht="19.5">
      <c r="A9" s="70"/>
      <c r="B9" s="43" t="str">
        <f ca="1">B4</f>
        <v>71 Bowle 09 Klatovy - Hulec Zdeněk</v>
      </c>
      <c r="C9" s="74">
        <f>IF(('Hra 2P'!E99=""),"",'Hra 2P'!E99)</f>
        <v>13</v>
      </c>
      <c r="D9" s="74">
        <f>IF(('Hra 2P'!F99=""),"",'Hra 2P'!F99)</f>
        <v>10</v>
      </c>
      <c r="E9" s="43" t="str">
        <f ca="1">B5</f>
        <v>102 Sokol Kostomlaty - Vaníček Rudolf</v>
      </c>
    </row>
    <row r="10" spans="1:20" ht="19.5">
      <c r="A10" s="75" t="s">
        <v>46</v>
      </c>
      <c r="B10" s="43" t="str">
        <f ca="1">IF(TRIM(E8)="-",B8,IF(AND(C8="",D8="")," ",IF(N(C8)&gt;N(D8),B8,E8)))</f>
        <v>16 POP Praha - Konšel Jakub</v>
      </c>
      <c r="C10" s="74">
        <f>IF(('Hra 2P'!E100=""),"",'Hra 2P'!E100)</f>
        <v>11</v>
      </c>
      <c r="D10" s="74">
        <f>IF(('Hra 2P'!F100=""),"",'Hra 2P'!F100)</f>
        <v>13</v>
      </c>
      <c r="E10" s="43" t="str">
        <f ca="1">IF(AND(C9="",D9="")," ",IF(N(C9)&gt;N(D9),B9,E9))</f>
        <v>71 Bowle 09 Klatovy - Hulec Zdeněk</v>
      </c>
    </row>
    <row r="11" spans="1:20" ht="19.5">
      <c r="A11" s="75" t="s">
        <v>47</v>
      </c>
      <c r="B11" s="43" t="str">
        <f ca="1">IF(TRIM(E8)="-",E8,IF(AND(C8="",D8="")," ",IF(N(C8)&gt;N(D8),E8,B8)))</f>
        <v xml:space="preserve"> - </v>
      </c>
      <c r="C11" s="74" t="str">
        <f>IF(('Hra 2P'!E101=""),"",'Hra 2P'!E101)</f>
        <v/>
      </c>
      <c r="D11" s="74">
        <f>IF(('Hra 2P'!F101=""),"",'Hra 2P'!F101)</f>
        <v>13</v>
      </c>
      <c r="E11" s="43" t="str">
        <f ca="1">IF(TRIM(E9)="",E9,IF(AND(C9="",D9="")," ",IF(N(C9)&gt;N(D9),E9,B9)))</f>
        <v>102 Sokol Kostomlaty - Vaníček Rudolf</v>
      </c>
    </row>
    <row r="12" spans="1:20" ht="19.5">
      <c r="A12" s="75" t="s">
        <v>48</v>
      </c>
      <c r="B12" s="43" t="str">
        <f ca="1">IF(TRIM(E10)="",E10,IF(AND(C10="",D10="")," ",IF(N(C10)&gt;N(D10),E10,B10)))</f>
        <v>16 POP Praha - Konšel Jakub</v>
      </c>
      <c r="C12" s="74">
        <f>IF(('Hra 2P'!E102=""),"",'Hra 2P'!E102)</f>
        <v>12</v>
      </c>
      <c r="D12" s="74">
        <f>IF(('Hra 2P'!F102=""),"",'Hra 2P'!F102)</f>
        <v>13</v>
      </c>
      <c r="E12" s="43" t="str">
        <f ca="1">IF(AND(TRIM(B11)="",TRIM(E8)=""),E11,IF(AND(C11="",D11="")," ",IF(N(C11)&gt;N(D11),B11,E11)))</f>
        <v>102 Sokol Kostomlaty - Vaníček Rudolf</v>
      </c>
    </row>
    <row r="13" spans="1:20" ht="37.15" customHeight="1">
      <c r="A13" s="70"/>
      <c r="B13" s="76" t="s">
        <v>52</v>
      </c>
      <c r="C13" s="77" t="s">
        <v>116</v>
      </c>
      <c r="D13" s="70"/>
      <c r="E13" s="70"/>
    </row>
    <row r="14" spans="1:20" ht="19.5">
      <c r="A14" s="70" t="s">
        <v>31</v>
      </c>
      <c r="B14" s="43" t="str">
        <f ca="1">IF(N(C10)+N(D10)&gt;0,IF(N(C10)&gt;N(D10),B10,E10),"")</f>
        <v>71 Bowle 09 Klatovy - Hulec Zdeněk</v>
      </c>
      <c r="C14" s="73" t="str">
        <f>CONCATENATE($C$1,A3)</f>
        <v>P1</v>
      </c>
      <c r="D14" s="70"/>
      <c r="E14" s="70"/>
    </row>
    <row r="15" spans="1:20" ht="19.5">
      <c r="A15" s="70" t="s">
        <v>32</v>
      </c>
      <c r="B15" s="43" t="str">
        <f ca="1">IF(N(C12)+N(D12)&gt;0,IF(N(C12)&gt;N(D12),B12,E12),"")</f>
        <v>102 Sokol Kostomlaty - Vaníček Rudolf</v>
      </c>
      <c r="C15" s="73" t="str">
        <f>CONCATENATE($C$1,A4)</f>
        <v>P2</v>
      </c>
      <c r="D15" s="70"/>
      <c r="E15" s="70"/>
    </row>
    <row r="16" spans="1:20" ht="19.5">
      <c r="A16" s="70" t="s">
        <v>33</v>
      </c>
      <c r="B16" s="43" t="str">
        <f ca="1">IF(N(C12)+N(D12)&gt;0,IF(N(C12)&gt;N(D12),E12,B12),"")</f>
        <v>16 POP Praha - Konšel Jakub</v>
      </c>
      <c r="C16" s="73" t="str">
        <f>CONCATENATE($C$1,A5)</f>
        <v>P3</v>
      </c>
      <c r="D16" s="70"/>
      <c r="E16" s="70"/>
    </row>
    <row r="17" spans="1:5" ht="19.5">
      <c r="A17" s="70" t="s">
        <v>34</v>
      </c>
      <c r="B17" s="78" t="str">
        <f ca="1">IF(N(C11)+N(D11)&gt;0,IF(N(C11)&gt;N(D11),E11,B11),"")</f>
        <v xml:space="preserve"> - </v>
      </c>
      <c r="C17" s="73" t="str">
        <f>CONCATENATE($C$1,A6)</f>
        <v>P4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17</v>
      </c>
      <c r="B1" s="71" t="s">
        <v>113</v>
      </c>
      <c r="C1" s="71" t="s">
        <v>98</v>
      </c>
      <c r="D1" s="72"/>
      <c r="E1" s="70"/>
      <c r="F1">
        <f>VLOOKUP(A1,'Hra 2P'!I8:J390,2,0)</f>
        <v>104</v>
      </c>
      <c r="L1">
        <f ca="1">IF(TRIM(B3)="-",0,1) + IF(TRIM(B4)="-",0,1) + IF(TRIM(B5)="-",0,1) + IF(TRIM(B6)="-",0,1)</f>
        <v>3</v>
      </c>
      <c r="R1">
        <f ca="1">INDIRECT(ADDRESS(4,A1,1,1,"Hřiště"))</f>
        <v>17</v>
      </c>
      <c r="S1">
        <f ca="1">INDIRECT(ADDRESS(5,A1,1,1,"Hřiště"))</f>
        <v>17</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17 SK Sahara Vědomice - Demčíková Jiřina</v>
      </c>
      <c r="C3" s="70"/>
      <c r="D3" s="70"/>
      <c r="E3" s="70"/>
    </row>
    <row r="4" spans="1:20" ht="19.5">
      <c r="A4" s="70">
        <v>2</v>
      </c>
      <c r="B4" s="43" t="str">
        <f ca="1">IF(TYPE(VLOOKUP(CONCATENATE($C$1,A4),Skupiny!$A$3:$B$258,2,0))&gt;4," - ",VLOOKUP(CONCATENATE($C$1,A4),Skupiny!$A$3:$B$258,2,0))</f>
        <v>70 Orel Řečkovice - Hanák Pavel</v>
      </c>
      <c r="C4" s="70"/>
      <c r="D4" s="70"/>
      <c r="E4" s="70"/>
    </row>
    <row r="5" spans="1:20" ht="19.5">
      <c r="A5" s="70">
        <v>3</v>
      </c>
      <c r="B5" s="43" t="str">
        <f ca="1">IF(TYPE(VLOOKUP(CONCATENATE($C$1,A5),Skupiny!$A$3:$B$258,2,0))&gt;4," - ",VLOOKUP(CONCATENATE($C$1,A5),Skupiny!$A$3:$B$258,2,0))</f>
        <v>103 PK Polouvsí - Rusek Luboš</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17 SK Sahara Vědomice - Demčíková Jiřina</v>
      </c>
      <c r="C8" s="74" t="str">
        <f>IF(('Hra 2P'!E104=""),"",'Hra 2P'!E104)</f>
        <v/>
      </c>
      <c r="D8" s="74" t="str">
        <f>IF(('Hra 2P'!F104=""),"",'Hra 2P'!F104)</f>
        <v/>
      </c>
      <c r="E8" s="43" t="str">
        <f ca="1">B6</f>
        <v xml:space="preserve"> - </v>
      </c>
    </row>
    <row r="9" spans="1:20" ht="19.5">
      <c r="A9" s="70"/>
      <c r="B9" s="43" t="str">
        <f ca="1">B4</f>
        <v>70 Orel Řečkovice - Hanák Pavel</v>
      </c>
      <c r="C9" s="74">
        <f>IF(('Hra 2P'!E105=""),"",'Hra 2P'!E105)</f>
        <v>13</v>
      </c>
      <c r="D9" s="74">
        <f>IF(('Hra 2P'!F105=""),"",'Hra 2P'!F105)</f>
        <v>9</v>
      </c>
      <c r="E9" s="43" t="str">
        <f ca="1">B5</f>
        <v>103 PK Polouvsí - Rusek Luboš</v>
      </c>
    </row>
    <row r="10" spans="1:20" ht="19.5">
      <c r="A10" s="75" t="s">
        <v>46</v>
      </c>
      <c r="B10" s="43" t="str">
        <f ca="1">IF(TRIM(E8)="-",B8,IF(AND(C8="",D8="")," ",IF(N(C8)&gt;N(D8),B8,E8)))</f>
        <v>17 SK Sahara Vědomice - Demčíková Jiřina</v>
      </c>
      <c r="C10" s="74">
        <f>IF(('Hra 2P'!E106=""),"",'Hra 2P'!E106)</f>
        <v>7</v>
      </c>
      <c r="D10" s="74">
        <f>IF(('Hra 2P'!F106=""),"",'Hra 2P'!F106)</f>
        <v>13</v>
      </c>
      <c r="E10" s="43" t="str">
        <f ca="1">IF(AND(C9="",D9="")," ",IF(N(C9)&gt;N(D9),B9,E9))</f>
        <v>70 Orel Řečkovice - Hanák Pavel</v>
      </c>
    </row>
    <row r="11" spans="1:20" ht="19.5">
      <c r="A11" s="75" t="s">
        <v>47</v>
      </c>
      <c r="B11" s="43" t="str">
        <f ca="1">IF(TRIM(E8)="-",E8,IF(AND(C8="",D8="")," ",IF(N(C8)&gt;N(D8),E8,B8)))</f>
        <v xml:space="preserve"> - </v>
      </c>
      <c r="C11" s="74" t="str">
        <f>IF(('Hra 2P'!E107=""),"",'Hra 2P'!E107)</f>
        <v/>
      </c>
      <c r="D11" s="74">
        <f>IF(('Hra 2P'!F107=""),"",'Hra 2P'!F107)</f>
        <v>13</v>
      </c>
      <c r="E11" s="43" t="str">
        <f ca="1">IF(TRIM(E9)="",E9,IF(AND(C9="",D9="")," ",IF(N(C9)&gt;N(D9),E9,B9)))</f>
        <v>103 PK Polouvsí - Rusek Luboš</v>
      </c>
    </row>
    <row r="12" spans="1:20" ht="19.5">
      <c r="A12" s="75" t="s">
        <v>48</v>
      </c>
      <c r="B12" s="43" t="str">
        <f ca="1">IF(TRIM(E10)="",E10,IF(AND(C10="",D10="")," ",IF(N(C10)&gt;N(D10),E10,B10)))</f>
        <v>17 SK Sahara Vědomice - Demčíková Jiřina</v>
      </c>
      <c r="C12" s="74">
        <f>IF(('Hra 2P'!E108=""),"",'Hra 2P'!E108)</f>
        <v>13</v>
      </c>
      <c r="D12" s="74">
        <f>IF(('Hra 2P'!F108=""),"",'Hra 2P'!F108)</f>
        <v>10</v>
      </c>
      <c r="E12" s="43" t="str">
        <f ca="1">IF(AND(TRIM(B11)="",TRIM(E8)=""),E11,IF(AND(C11="",D11="")," ",IF(N(C11)&gt;N(D11),B11,E11)))</f>
        <v>103 PK Polouvsí - Rusek Luboš</v>
      </c>
    </row>
    <row r="13" spans="1:20" ht="37.15" customHeight="1">
      <c r="A13" s="70"/>
      <c r="B13" s="76" t="s">
        <v>52</v>
      </c>
      <c r="C13" s="77" t="s">
        <v>116</v>
      </c>
      <c r="D13" s="70"/>
      <c r="E13" s="70"/>
    </row>
    <row r="14" spans="1:20" ht="19.5">
      <c r="A14" s="70" t="s">
        <v>31</v>
      </c>
      <c r="B14" s="43" t="str">
        <f ca="1">IF(N(C10)+N(D10)&gt;0,IF(N(C10)&gt;N(D10),B10,E10),"")</f>
        <v>70 Orel Řečkovice - Hanák Pavel</v>
      </c>
      <c r="C14" s="73" t="str">
        <f>CONCATENATE($C$1,A3)</f>
        <v>Q1</v>
      </c>
      <c r="D14" s="70"/>
      <c r="E14" s="70"/>
    </row>
    <row r="15" spans="1:20" ht="19.5">
      <c r="A15" s="70" t="s">
        <v>32</v>
      </c>
      <c r="B15" s="43" t="str">
        <f ca="1">IF(N(C12)+N(D12)&gt;0,IF(N(C12)&gt;N(D12),B12,E12),"")</f>
        <v>17 SK Sahara Vědomice - Demčíková Jiřina</v>
      </c>
      <c r="C15" s="73" t="str">
        <f>CONCATENATE($C$1,A4)</f>
        <v>Q2</v>
      </c>
      <c r="D15" s="70"/>
      <c r="E15" s="70"/>
    </row>
    <row r="16" spans="1:20" ht="19.5">
      <c r="A16" s="70" t="s">
        <v>33</v>
      </c>
      <c r="B16" s="43" t="str">
        <f ca="1">IF(N(C12)+N(D12)&gt;0,IF(N(C12)&gt;N(D12),E12,B12),"")</f>
        <v>103 PK Polouvsí - Rusek Luboš</v>
      </c>
      <c r="C16" s="73" t="str">
        <f>CONCATENATE($C$1,A5)</f>
        <v>Q3</v>
      </c>
      <c r="D16" s="70"/>
      <c r="E16" s="70"/>
    </row>
    <row r="17" spans="1:5" ht="19.5">
      <c r="A17" s="70" t="s">
        <v>34</v>
      </c>
      <c r="B17" s="78" t="str">
        <f ca="1">IF(N(C11)+N(D11)&gt;0,IF(N(C11)&gt;N(D11),E11,B11),"")</f>
        <v xml:space="preserve"> - </v>
      </c>
      <c r="C17" s="73" t="str">
        <f>CONCATENATE($C$1,A6)</f>
        <v>Q4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sheetPr codeName="List9"/>
  <dimension ref="A1:K1024"/>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1" t="s">
        <v>139</v>
      </c>
      <c r="B1" s="100"/>
      <c r="C1" s="100"/>
      <c r="D1" s="100"/>
      <c r="E1" s="101"/>
      <c r="F1" s="100"/>
      <c r="G1" s="100"/>
      <c r="H1" s="100"/>
      <c r="I1" s="484"/>
      <c r="J1" s="485"/>
      <c r="K1" s="487"/>
    </row>
    <row r="2" spans="1:11" ht="19.149999999999999" customHeight="1">
      <c r="A2" s="486" t="s">
        <v>140</v>
      </c>
      <c r="B2" s="486"/>
      <c r="C2" s="486"/>
      <c r="D2" s="486"/>
      <c r="E2" s="488">
        <v>44082</v>
      </c>
      <c r="F2" s="486"/>
      <c r="G2" s="486"/>
      <c r="H2" s="486"/>
      <c r="I2" s="486"/>
      <c r="J2" s="486"/>
      <c r="K2" s="486"/>
    </row>
    <row r="3" spans="1:11" ht="14.25">
      <c r="F3" s="489" t="s">
        <v>363</v>
      </c>
    </row>
    <row r="4" spans="1:11" ht="13.5">
      <c r="A4" s="483" t="s">
        <v>141</v>
      </c>
      <c r="B4" s="483" t="s">
        <v>142</v>
      </c>
      <c r="C4" s="483" t="s">
        <v>143</v>
      </c>
      <c r="D4" s="483" t="s">
        <v>144</v>
      </c>
      <c r="E4" s="483" t="s">
        <v>145</v>
      </c>
      <c r="F4" s="483" t="s">
        <v>146</v>
      </c>
      <c r="G4" s="483" t="s">
        <v>147</v>
      </c>
      <c r="H4" s="483" t="s">
        <v>148</v>
      </c>
      <c r="I4" s="483" t="s">
        <v>300</v>
      </c>
      <c r="J4" s="483" t="s">
        <v>149</v>
      </c>
      <c r="K4" s="483" t="s">
        <v>364</v>
      </c>
    </row>
    <row r="5" spans="1:11">
      <c r="A5">
        <v>20529</v>
      </c>
      <c r="B5" t="s">
        <v>1571</v>
      </c>
      <c r="C5" t="s">
        <v>747</v>
      </c>
      <c r="E5" t="s">
        <v>1393</v>
      </c>
      <c r="F5">
        <v>86</v>
      </c>
      <c r="G5">
        <v>1988</v>
      </c>
      <c r="H5">
        <v>656</v>
      </c>
      <c r="I5">
        <v>0</v>
      </c>
      <c r="J5">
        <v>0</v>
      </c>
      <c r="K5">
        <v>0</v>
      </c>
    </row>
    <row r="6" spans="1:11">
      <c r="A6">
        <v>19009</v>
      </c>
      <c r="B6" t="s">
        <v>1572</v>
      </c>
      <c r="C6" t="s">
        <v>657</v>
      </c>
      <c r="D6" t="s">
        <v>107</v>
      </c>
      <c r="E6" t="s">
        <v>1183</v>
      </c>
      <c r="F6">
        <v>81</v>
      </c>
      <c r="G6">
        <v>1976</v>
      </c>
      <c r="H6">
        <v>657</v>
      </c>
      <c r="I6">
        <v>0</v>
      </c>
      <c r="J6">
        <v>0</v>
      </c>
      <c r="K6">
        <v>0</v>
      </c>
    </row>
    <row r="7" spans="1:11">
      <c r="A7">
        <v>24317</v>
      </c>
      <c r="B7" t="s">
        <v>500</v>
      </c>
      <c r="C7" t="s">
        <v>502</v>
      </c>
      <c r="E7" t="s">
        <v>216</v>
      </c>
      <c r="F7">
        <v>33</v>
      </c>
      <c r="G7">
        <v>1954</v>
      </c>
      <c r="H7">
        <v>218</v>
      </c>
      <c r="I7">
        <v>16.562999999999999</v>
      </c>
      <c r="J7">
        <v>623.07100000000003</v>
      </c>
      <c r="K7">
        <v>67</v>
      </c>
    </row>
    <row r="8" spans="1:11">
      <c r="A8">
        <v>14091</v>
      </c>
      <c r="B8" t="s">
        <v>1178</v>
      </c>
      <c r="C8" t="s">
        <v>511</v>
      </c>
      <c r="E8" t="s">
        <v>1179</v>
      </c>
      <c r="F8">
        <v>79</v>
      </c>
      <c r="G8">
        <v>1987</v>
      </c>
      <c r="H8">
        <v>658</v>
      </c>
      <c r="I8">
        <v>0</v>
      </c>
      <c r="J8">
        <v>0</v>
      </c>
      <c r="K8">
        <v>0</v>
      </c>
    </row>
    <row r="9" spans="1:11">
      <c r="A9">
        <v>17046</v>
      </c>
      <c r="B9" t="s">
        <v>1385</v>
      </c>
      <c r="C9" t="s">
        <v>531</v>
      </c>
      <c r="E9" t="s">
        <v>1060</v>
      </c>
      <c r="F9">
        <v>70</v>
      </c>
      <c r="G9">
        <v>1952</v>
      </c>
      <c r="H9">
        <v>659</v>
      </c>
      <c r="I9">
        <v>0</v>
      </c>
      <c r="J9">
        <v>0</v>
      </c>
      <c r="K9">
        <v>0</v>
      </c>
    </row>
    <row r="10" spans="1:11">
      <c r="A10">
        <v>23036</v>
      </c>
      <c r="B10" t="s">
        <v>505</v>
      </c>
      <c r="C10" t="s">
        <v>506</v>
      </c>
      <c r="D10" t="s">
        <v>107</v>
      </c>
      <c r="E10" t="s">
        <v>1055</v>
      </c>
      <c r="F10">
        <v>44</v>
      </c>
      <c r="G10">
        <v>1969</v>
      </c>
      <c r="H10">
        <v>660</v>
      </c>
      <c r="I10">
        <v>0</v>
      </c>
      <c r="J10">
        <v>0</v>
      </c>
      <c r="K10">
        <v>0</v>
      </c>
    </row>
    <row r="11" spans="1:11">
      <c r="A11">
        <v>10136</v>
      </c>
      <c r="B11" t="s">
        <v>508</v>
      </c>
      <c r="C11" t="s">
        <v>509</v>
      </c>
      <c r="E11" t="s">
        <v>1056</v>
      </c>
      <c r="F11">
        <v>61</v>
      </c>
      <c r="G11">
        <v>1978</v>
      </c>
      <c r="H11">
        <v>661</v>
      </c>
      <c r="I11">
        <v>0</v>
      </c>
      <c r="J11">
        <v>0</v>
      </c>
      <c r="K11">
        <v>0</v>
      </c>
    </row>
    <row r="12" spans="1:11">
      <c r="A12">
        <v>18081</v>
      </c>
      <c r="B12" t="s">
        <v>510</v>
      </c>
      <c r="C12" t="s">
        <v>503</v>
      </c>
      <c r="E12" t="s">
        <v>1467</v>
      </c>
      <c r="F12">
        <v>89</v>
      </c>
      <c r="G12">
        <v>1950</v>
      </c>
      <c r="H12">
        <v>203</v>
      </c>
      <c r="I12">
        <v>16.359000000000002</v>
      </c>
      <c r="J12">
        <v>683.04300000000001</v>
      </c>
      <c r="K12">
        <v>86</v>
      </c>
    </row>
    <row r="13" spans="1:11">
      <c r="A13">
        <v>96209</v>
      </c>
      <c r="B13" t="s">
        <v>510</v>
      </c>
      <c r="C13" t="s">
        <v>511</v>
      </c>
      <c r="E13" t="s">
        <v>493</v>
      </c>
      <c r="F13">
        <v>1</v>
      </c>
      <c r="G13">
        <v>1962</v>
      </c>
      <c r="H13">
        <v>499</v>
      </c>
      <c r="I13">
        <v>2</v>
      </c>
      <c r="J13">
        <v>97.828000000000003</v>
      </c>
      <c r="K13">
        <v>0</v>
      </c>
    </row>
    <row r="14" spans="1:11">
      <c r="A14">
        <v>18080</v>
      </c>
      <c r="B14" t="s">
        <v>512</v>
      </c>
      <c r="C14" t="s">
        <v>717</v>
      </c>
      <c r="D14" t="s">
        <v>107</v>
      </c>
      <c r="E14" t="s">
        <v>1467</v>
      </c>
      <c r="F14">
        <v>89</v>
      </c>
      <c r="G14">
        <v>1949</v>
      </c>
      <c r="H14">
        <v>290</v>
      </c>
      <c r="I14">
        <v>10.25</v>
      </c>
      <c r="J14">
        <v>374.35599999999999</v>
      </c>
      <c r="K14">
        <v>0</v>
      </c>
    </row>
    <row r="15" spans="1:11">
      <c r="A15">
        <v>23051</v>
      </c>
      <c r="B15" t="s">
        <v>512</v>
      </c>
      <c r="C15" t="s">
        <v>513</v>
      </c>
      <c r="D15" t="s">
        <v>107</v>
      </c>
      <c r="E15" t="s">
        <v>493</v>
      </c>
      <c r="F15">
        <v>1</v>
      </c>
      <c r="G15">
        <v>1992</v>
      </c>
      <c r="H15">
        <v>328</v>
      </c>
      <c r="I15">
        <v>4.891</v>
      </c>
      <c r="J15">
        <v>296.02100000000002</v>
      </c>
      <c r="K15">
        <v>117</v>
      </c>
    </row>
    <row r="16" spans="1:11">
      <c r="A16">
        <v>96210</v>
      </c>
      <c r="B16" t="s">
        <v>512</v>
      </c>
      <c r="C16" t="s">
        <v>514</v>
      </c>
      <c r="D16" t="s">
        <v>107</v>
      </c>
      <c r="E16" t="s">
        <v>493</v>
      </c>
      <c r="F16">
        <v>1</v>
      </c>
      <c r="G16">
        <v>1962</v>
      </c>
      <c r="H16">
        <v>662</v>
      </c>
      <c r="I16">
        <v>0</v>
      </c>
      <c r="J16">
        <v>0</v>
      </c>
      <c r="K16">
        <v>0</v>
      </c>
    </row>
    <row r="17" spans="1:11">
      <c r="A17">
        <v>28003</v>
      </c>
      <c r="B17" t="s">
        <v>515</v>
      </c>
      <c r="C17" t="s">
        <v>503</v>
      </c>
      <c r="E17" t="s">
        <v>470</v>
      </c>
      <c r="F17">
        <v>20</v>
      </c>
      <c r="G17">
        <v>1951</v>
      </c>
      <c r="H17">
        <v>663</v>
      </c>
      <c r="I17">
        <v>0</v>
      </c>
      <c r="J17">
        <v>0</v>
      </c>
      <c r="K17">
        <v>0</v>
      </c>
    </row>
    <row r="18" spans="1:11">
      <c r="A18">
        <v>13079</v>
      </c>
      <c r="B18" t="s">
        <v>516</v>
      </c>
      <c r="C18" t="s">
        <v>519</v>
      </c>
      <c r="E18" t="s">
        <v>489</v>
      </c>
      <c r="F18">
        <v>51</v>
      </c>
      <c r="G18">
        <v>1956</v>
      </c>
      <c r="H18">
        <v>63</v>
      </c>
      <c r="I18">
        <v>23.812999999999999</v>
      </c>
      <c r="J18">
        <v>1718.4179999999999</v>
      </c>
      <c r="K18">
        <v>723</v>
      </c>
    </row>
    <row r="19" spans="1:11">
      <c r="A19">
        <v>99527</v>
      </c>
      <c r="B19" t="s">
        <v>516</v>
      </c>
      <c r="C19" t="s">
        <v>519</v>
      </c>
      <c r="E19" t="s">
        <v>518</v>
      </c>
      <c r="F19">
        <v>29</v>
      </c>
      <c r="G19">
        <v>1961</v>
      </c>
      <c r="H19">
        <v>388</v>
      </c>
      <c r="I19">
        <v>6</v>
      </c>
      <c r="J19">
        <v>215.93700000000001</v>
      </c>
      <c r="K19">
        <v>0</v>
      </c>
    </row>
    <row r="20" spans="1:11">
      <c r="A20">
        <v>99528</v>
      </c>
      <c r="B20" t="s">
        <v>516</v>
      </c>
      <c r="C20" t="s">
        <v>520</v>
      </c>
      <c r="E20" t="s">
        <v>518</v>
      </c>
      <c r="F20">
        <v>29</v>
      </c>
      <c r="G20">
        <v>1967</v>
      </c>
      <c r="H20">
        <v>216</v>
      </c>
      <c r="I20">
        <v>15.939</v>
      </c>
      <c r="J20">
        <v>631.971</v>
      </c>
      <c r="K20">
        <v>73</v>
      </c>
    </row>
    <row r="21" spans="1:11">
      <c r="A21">
        <v>21808</v>
      </c>
      <c r="B21" t="s">
        <v>516</v>
      </c>
      <c r="C21" t="s">
        <v>521</v>
      </c>
      <c r="E21" t="s">
        <v>518</v>
      </c>
      <c r="F21">
        <v>29</v>
      </c>
      <c r="G21">
        <v>1989</v>
      </c>
      <c r="H21">
        <v>614</v>
      </c>
      <c r="I21">
        <v>0.59399999999999997</v>
      </c>
      <c r="J21">
        <v>24.492000000000001</v>
      </c>
      <c r="K21">
        <v>0</v>
      </c>
    </row>
    <row r="22" spans="1:11">
      <c r="A22">
        <v>17082</v>
      </c>
      <c r="B22" t="s">
        <v>516</v>
      </c>
      <c r="C22" t="s">
        <v>925</v>
      </c>
      <c r="D22" t="s">
        <v>91</v>
      </c>
      <c r="E22" t="s">
        <v>475</v>
      </c>
      <c r="F22">
        <v>27</v>
      </c>
      <c r="G22">
        <v>2010</v>
      </c>
      <c r="H22">
        <v>621</v>
      </c>
      <c r="I22">
        <v>0.65600000000000003</v>
      </c>
      <c r="J22">
        <v>19.134</v>
      </c>
      <c r="K22">
        <v>0</v>
      </c>
    </row>
    <row r="23" spans="1:11">
      <c r="A23">
        <v>14010</v>
      </c>
      <c r="B23" t="s">
        <v>1180</v>
      </c>
      <c r="C23" t="s">
        <v>584</v>
      </c>
      <c r="D23" t="s">
        <v>107</v>
      </c>
      <c r="E23" t="s">
        <v>1573</v>
      </c>
      <c r="F23">
        <v>16</v>
      </c>
      <c r="G23">
        <v>1975</v>
      </c>
      <c r="H23">
        <v>520</v>
      </c>
      <c r="I23">
        <v>2.75</v>
      </c>
      <c r="J23">
        <v>82.977999999999994</v>
      </c>
      <c r="K23">
        <v>0</v>
      </c>
    </row>
    <row r="24" spans="1:11">
      <c r="A24">
        <v>15042</v>
      </c>
      <c r="B24" t="s">
        <v>522</v>
      </c>
      <c r="C24" t="s">
        <v>506</v>
      </c>
      <c r="D24" t="s">
        <v>107</v>
      </c>
      <c r="E24" t="s">
        <v>489</v>
      </c>
      <c r="F24">
        <v>51</v>
      </c>
      <c r="G24">
        <v>1955</v>
      </c>
      <c r="H24">
        <v>66</v>
      </c>
      <c r="I24">
        <v>22.562999999999999</v>
      </c>
      <c r="J24">
        <v>1706.6569999999999</v>
      </c>
      <c r="K24">
        <v>723</v>
      </c>
    </row>
    <row r="25" spans="1:11">
      <c r="A25">
        <v>14008</v>
      </c>
      <c r="B25" t="s">
        <v>1181</v>
      </c>
      <c r="C25" t="s">
        <v>586</v>
      </c>
      <c r="E25" t="s">
        <v>161</v>
      </c>
      <c r="F25">
        <v>30</v>
      </c>
      <c r="G25">
        <v>1978</v>
      </c>
      <c r="H25">
        <v>28</v>
      </c>
      <c r="I25">
        <v>40.375</v>
      </c>
      <c r="J25">
        <v>2195.596</v>
      </c>
      <c r="K25">
        <v>677</v>
      </c>
    </row>
    <row r="26" spans="1:11">
      <c r="A26">
        <v>27012</v>
      </c>
      <c r="B26" t="s">
        <v>524</v>
      </c>
      <c r="C26" t="s">
        <v>511</v>
      </c>
      <c r="E26" t="s">
        <v>525</v>
      </c>
      <c r="F26">
        <v>59</v>
      </c>
      <c r="G26">
        <v>1984</v>
      </c>
      <c r="H26">
        <v>666</v>
      </c>
      <c r="I26">
        <v>0</v>
      </c>
      <c r="J26">
        <v>0</v>
      </c>
      <c r="K26">
        <v>0</v>
      </c>
    </row>
    <row r="27" spans="1:11">
      <c r="A27">
        <v>27002</v>
      </c>
      <c r="B27" t="s">
        <v>524</v>
      </c>
      <c r="C27" t="s">
        <v>526</v>
      </c>
      <c r="E27" t="s">
        <v>525</v>
      </c>
      <c r="F27">
        <v>59</v>
      </c>
      <c r="G27">
        <v>1986</v>
      </c>
      <c r="H27">
        <v>665</v>
      </c>
      <c r="I27">
        <v>0</v>
      </c>
      <c r="J27">
        <v>0</v>
      </c>
      <c r="K27">
        <v>0</v>
      </c>
    </row>
    <row r="28" spans="1:11">
      <c r="A28">
        <v>27001</v>
      </c>
      <c r="B28" t="s">
        <v>524</v>
      </c>
      <c r="C28" t="s">
        <v>527</v>
      </c>
      <c r="E28" t="s">
        <v>525</v>
      </c>
      <c r="F28">
        <v>59</v>
      </c>
      <c r="G28">
        <v>1956</v>
      </c>
      <c r="H28">
        <v>664</v>
      </c>
      <c r="I28">
        <v>0</v>
      </c>
      <c r="J28">
        <v>0</v>
      </c>
      <c r="K28">
        <v>0</v>
      </c>
    </row>
    <row r="29" spans="1:11">
      <c r="A29">
        <v>19022</v>
      </c>
      <c r="B29" t="s">
        <v>528</v>
      </c>
      <c r="C29" t="s">
        <v>597</v>
      </c>
      <c r="D29" t="s">
        <v>107</v>
      </c>
      <c r="E29" t="s">
        <v>1060</v>
      </c>
      <c r="F29">
        <v>70</v>
      </c>
      <c r="G29">
        <v>1942</v>
      </c>
      <c r="H29">
        <v>652</v>
      </c>
      <c r="I29">
        <v>0.188</v>
      </c>
      <c r="J29">
        <v>5.8120000000000003</v>
      </c>
      <c r="K29">
        <v>0</v>
      </c>
    </row>
    <row r="30" spans="1:11">
      <c r="A30">
        <v>27009</v>
      </c>
      <c r="B30" t="s">
        <v>528</v>
      </c>
      <c r="C30" t="s">
        <v>529</v>
      </c>
      <c r="D30" t="s">
        <v>107</v>
      </c>
      <c r="E30" t="s">
        <v>525</v>
      </c>
      <c r="F30">
        <v>59</v>
      </c>
      <c r="G30">
        <v>1992</v>
      </c>
      <c r="H30">
        <v>667</v>
      </c>
      <c r="I30">
        <v>0</v>
      </c>
      <c r="J30">
        <v>0</v>
      </c>
      <c r="K30">
        <v>0</v>
      </c>
    </row>
    <row r="31" spans="1:11">
      <c r="A31">
        <v>18107</v>
      </c>
      <c r="B31" t="s">
        <v>1386</v>
      </c>
      <c r="C31" t="s">
        <v>526</v>
      </c>
      <c r="D31" t="s">
        <v>91</v>
      </c>
      <c r="E31" t="s">
        <v>1574</v>
      </c>
      <c r="F31">
        <v>94</v>
      </c>
      <c r="G31">
        <v>2009</v>
      </c>
      <c r="H31">
        <v>551</v>
      </c>
      <c r="I31">
        <v>1.5</v>
      </c>
      <c r="J31">
        <v>63.335000000000001</v>
      </c>
      <c r="K31">
        <v>0</v>
      </c>
    </row>
    <row r="32" spans="1:11">
      <c r="A32">
        <v>17060</v>
      </c>
      <c r="B32" t="s">
        <v>1386</v>
      </c>
      <c r="C32" t="s">
        <v>538</v>
      </c>
      <c r="D32" t="s">
        <v>91</v>
      </c>
      <c r="E32" t="s">
        <v>1574</v>
      </c>
      <c r="F32">
        <v>94</v>
      </c>
      <c r="G32">
        <v>2004</v>
      </c>
      <c r="H32">
        <v>88</v>
      </c>
      <c r="I32">
        <v>26.001000000000001</v>
      </c>
      <c r="J32">
        <v>1494.4449999999999</v>
      </c>
      <c r="K32">
        <v>563</v>
      </c>
    </row>
    <row r="33" spans="1:11">
      <c r="A33">
        <v>15012</v>
      </c>
      <c r="B33" t="s">
        <v>1182</v>
      </c>
      <c r="C33" t="s">
        <v>504</v>
      </c>
      <c r="E33" t="s">
        <v>481</v>
      </c>
      <c r="F33">
        <v>69</v>
      </c>
      <c r="G33">
        <v>1947</v>
      </c>
      <c r="H33">
        <v>619</v>
      </c>
      <c r="I33">
        <v>0.68799999999999994</v>
      </c>
      <c r="J33">
        <v>21.928999999999998</v>
      </c>
      <c r="K33">
        <v>0</v>
      </c>
    </row>
    <row r="34" spans="1:11">
      <c r="A34">
        <v>13001</v>
      </c>
      <c r="B34" t="s">
        <v>1058</v>
      </c>
      <c r="C34" t="s">
        <v>1059</v>
      </c>
      <c r="D34" t="s">
        <v>107</v>
      </c>
      <c r="E34" t="s">
        <v>470</v>
      </c>
      <c r="F34">
        <v>20</v>
      </c>
      <c r="G34">
        <v>1970</v>
      </c>
      <c r="H34">
        <v>92</v>
      </c>
      <c r="I34">
        <v>23.626999999999999</v>
      </c>
      <c r="J34">
        <v>1454.039</v>
      </c>
      <c r="K34">
        <v>416</v>
      </c>
    </row>
    <row r="35" spans="1:11">
      <c r="A35">
        <v>10100</v>
      </c>
      <c r="B35" t="s">
        <v>532</v>
      </c>
      <c r="C35" t="s">
        <v>520</v>
      </c>
      <c r="E35" t="s">
        <v>1060</v>
      </c>
      <c r="F35">
        <v>70</v>
      </c>
      <c r="G35">
        <v>1940</v>
      </c>
      <c r="H35">
        <v>668</v>
      </c>
      <c r="I35">
        <v>0</v>
      </c>
      <c r="J35">
        <v>0</v>
      </c>
      <c r="K35">
        <v>0</v>
      </c>
    </row>
    <row r="36" spans="1:11">
      <c r="A36">
        <v>10101</v>
      </c>
      <c r="B36" t="s">
        <v>533</v>
      </c>
      <c r="C36" t="s">
        <v>534</v>
      </c>
      <c r="D36" t="s">
        <v>107</v>
      </c>
      <c r="E36" t="s">
        <v>1060</v>
      </c>
      <c r="F36">
        <v>70</v>
      </c>
      <c r="G36">
        <v>1938</v>
      </c>
      <c r="H36">
        <v>669</v>
      </c>
      <c r="I36">
        <v>0</v>
      </c>
      <c r="J36">
        <v>0</v>
      </c>
      <c r="K36">
        <v>0</v>
      </c>
    </row>
    <row r="37" spans="1:11">
      <c r="A37">
        <v>28050</v>
      </c>
      <c r="B37" t="s">
        <v>535</v>
      </c>
      <c r="C37" t="s">
        <v>520</v>
      </c>
      <c r="E37" t="s">
        <v>200</v>
      </c>
      <c r="F37">
        <v>19</v>
      </c>
      <c r="G37">
        <v>1952</v>
      </c>
      <c r="H37">
        <v>334</v>
      </c>
      <c r="I37">
        <v>9.25</v>
      </c>
      <c r="J37">
        <v>288.84500000000003</v>
      </c>
      <c r="K37">
        <v>34</v>
      </c>
    </row>
    <row r="38" spans="1:11">
      <c r="A38">
        <v>18033</v>
      </c>
      <c r="B38" t="s">
        <v>1468</v>
      </c>
      <c r="C38" t="s">
        <v>503</v>
      </c>
      <c r="E38" t="s">
        <v>1183</v>
      </c>
      <c r="F38">
        <v>81</v>
      </c>
      <c r="G38">
        <v>1999</v>
      </c>
      <c r="H38">
        <v>670</v>
      </c>
      <c r="I38">
        <v>0</v>
      </c>
      <c r="J38">
        <v>0</v>
      </c>
      <c r="K38">
        <v>0</v>
      </c>
    </row>
    <row r="39" spans="1:11">
      <c r="A39">
        <v>16049</v>
      </c>
      <c r="B39" t="s">
        <v>1469</v>
      </c>
      <c r="C39" t="s">
        <v>503</v>
      </c>
      <c r="E39" t="s">
        <v>1183</v>
      </c>
      <c r="F39">
        <v>81</v>
      </c>
      <c r="G39">
        <v>1973</v>
      </c>
      <c r="H39">
        <v>400</v>
      </c>
      <c r="I39">
        <v>6.125</v>
      </c>
      <c r="J39">
        <v>198.91499999999999</v>
      </c>
      <c r="K39">
        <v>0</v>
      </c>
    </row>
    <row r="40" spans="1:11">
      <c r="A40">
        <v>13025</v>
      </c>
      <c r="B40" t="s">
        <v>1061</v>
      </c>
      <c r="C40" t="s">
        <v>570</v>
      </c>
      <c r="E40" t="s">
        <v>1062</v>
      </c>
      <c r="F40">
        <v>76</v>
      </c>
      <c r="G40">
        <v>1979</v>
      </c>
      <c r="H40">
        <v>671</v>
      </c>
      <c r="I40">
        <v>0</v>
      </c>
      <c r="J40">
        <v>0</v>
      </c>
      <c r="K40">
        <v>0</v>
      </c>
    </row>
    <row r="41" spans="1:11">
      <c r="A41">
        <v>13050</v>
      </c>
      <c r="B41" t="s">
        <v>1064</v>
      </c>
      <c r="C41" t="s">
        <v>608</v>
      </c>
      <c r="D41" t="s">
        <v>107</v>
      </c>
      <c r="E41" t="s">
        <v>1060</v>
      </c>
      <c r="F41">
        <v>70</v>
      </c>
      <c r="G41">
        <v>1935</v>
      </c>
      <c r="H41">
        <v>672</v>
      </c>
      <c r="I41">
        <v>0</v>
      </c>
      <c r="J41">
        <v>0</v>
      </c>
      <c r="K41">
        <v>0</v>
      </c>
    </row>
    <row r="42" spans="1:11">
      <c r="A42">
        <v>28005</v>
      </c>
      <c r="B42" t="s">
        <v>537</v>
      </c>
      <c r="C42" t="s">
        <v>538</v>
      </c>
      <c r="E42" t="s">
        <v>1057</v>
      </c>
      <c r="F42">
        <v>2</v>
      </c>
      <c r="G42">
        <v>1953</v>
      </c>
      <c r="H42">
        <v>149</v>
      </c>
      <c r="I42">
        <v>14.750999999999999</v>
      </c>
      <c r="J42">
        <v>1000.03</v>
      </c>
      <c r="K42">
        <v>360</v>
      </c>
    </row>
    <row r="43" spans="1:11">
      <c r="A43">
        <v>28056</v>
      </c>
      <c r="B43" t="s">
        <v>539</v>
      </c>
      <c r="C43" t="s">
        <v>523</v>
      </c>
      <c r="D43" t="s">
        <v>107</v>
      </c>
      <c r="E43" t="s">
        <v>1057</v>
      </c>
      <c r="F43">
        <v>2</v>
      </c>
      <c r="G43">
        <v>1952</v>
      </c>
      <c r="H43">
        <v>163</v>
      </c>
      <c r="I43">
        <v>14.032999999999999</v>
      </c>
      <c r="J43">
        <v>875.00199999999995</v>
      </c>
      <c r="K43">
        <v>286</v>
      </c>
    </row>
    <row r="44" spans="1:11">
      <c r="A44">
        <v>19061</v>
      </c>
      <c r="B44" t="s">
        <v>1575</v>
      </c>
      <c r="C44" t="s">
        <v>584</v>
      </c>
      <c r="D44" t="s">
        <v>107</v>
      </c>
      <c r="E44" t="s">
        <v>493</v>
      </c>
      <c r="F44">
        <v>1</v>
      </c>
      <c r="G44">
        <v>1945</v>
      </c>
      <c r="H44">
        <v>673</v>
      </c>
      <c r="I44">
        <v>0</v>
      </c>
      <c r="J44">
        <v>0</v>
      </c>
      <c r="K44">
        <v>0</v>
      </c>
    </row>
    <row r="45" spans="1:11">
      <c r="A45">
        <v>19023</v>
      </c>
      <c r="B45" t="s">
        <v>1576</v>
      </c>
      <c r="C45" t="s">
        <v>576</v>
      </c>
      <c r="D45" t="s">
        <v>107</v>
      </c>
      <c r="E45" t="s">
        <v>1060</v>
      </c>
      <c r="F45">
        <v>70</v>
      </c>
      <c r="G45">
        <v>1956</v>
      </c>
      <c r="H45">
        <v>189</v>
      </c>
      <c r="I45">
        <v>11.564</v>
      </c>
      <c r="J45">
        <v>747.84400000000005</v>
      </c>
      <c r="K45">
        <v>305</v>
      </c>
    </row>
    <row r="46" spans="1:11">
      <c r="A46">
        <v>20591</v>
      </c>
      <c r="B46" t="s">
        <v>1577</v>
      </c>
      <c r="C46" t="s">
        <v>608</v>
      </c>
      <c r="D46" t="s">
        <v>107</v>
      </c>
      <c r="E46" t="s">
        <v>1578</v>
      </c>
      <c r="F46">
        <v>95</v>
      </c>
      <c r="G46">
        <v>1974</v>
      </c>
      <c r="H46">
        <v>674</v>
      </c>
      <c r="I46">
        <v>0</v>
      </c>
      <c r="J46">
        <v>0</v>
      </c>
      <c r="K46">
        <v>0</v>
      </c>
    </row>
    <row r="47" spans="1:11">
      <c r="A47">
        <v>12033</v>
      </c>
      <c r="B47" t="s">
        <v>540</v>
      </c>
      <c r="C47" t="s">
        <v>541</v>
      </c>
      <c r="E47" t="s">
        <v>542</v>
      </c>
      <c r="F47">
        <v>73</v>
      </c>
      <c r="G47">
        <v>1948</v>
      </c>
      <c r="H47">
        <v>255</v>
      </c>
      <c r="I47">
        <v>6.0940000000000003</v>
      </c>
      <c r="J47">
        <v>463.02699999999999</v>
      </c>
      <c r="K47">
        <v>187</v>
      </c>
    </row>
    <row r="48" spans="1:11">
      <c r="A48">
        <v>12030</v>
      </c>
      <c r="B48" t="s">
        <v>543</v>
      </c>
      <c r="C48" t="s">
        <v>544</v>
      </c>
      <c r="D48" t="s">
        <v>107</v>
      </c>
      <c r="E48" t="s">
        <v>542</v>
      </c>
      <c r="F48">
        <v>73</v>
      </c>
      <c r="G48">
        <v>1948</v>
      </c>
      <c r="H48">
        <v>258</v>
      </c>
      <c r="I48">
        <v>6.032</v>
      </c>
      <c r="J48">
        <v>457.94200000000001</v>
      </c>
      <c r="K48">
        <v>187</v>
      </c>
    </row>
    <row r="49" spans="1:11">
      <c r="A49">
        <v>17061</v>
      </c>
      <c r="B49" t="s">
        <v>1387</v>
      </c>
      <c r="C49" t="s">
        <v>553</v>
      </c>
      <c r="D49" t="s">
        <v>91</v>
      </c>
      <c r="E49" t="s">
        <v>1574</v>
      </c>
      <c r="F49">
        <v>94</v>
      </c>
      <c r="G49">
        <v>2003</v>
      </c>
      <c r="H49">
        <v>318</v>
      </c>
      <c r="I49">
        <v>8.0310000000000006</v>
      </c>
      <c r="J49">
        <v>316.15899999999999</v>
      </c>
      <c r="K49">
        <v>38</v>
      </c>
    </row>
    <row r="50" spans="1:11">
      <c r="A50">
        <v>14081</v>
      </c>
      <c r="B50" t="s">
        <v>1184</v>
      </c>
      <c r="C50" t="s">
        <v>1087</v>
      </c>
      <c r="D50" t="s">
        <v>107</v>
      </c>
      <c r="E50" t="s">
        <v>1179</v>
      </c>
      <c r="F50">
        <v>79</v>
      </c>
      <c r="G50">
        <v>1982</v>
      </c>
      <c r="H50">
        <v>170</v>
      </c>
      <c r="I50">
        <v>13.282999999999999</v>
      </c>
      <c r="J50">
        <v>842.976</v>
      </c>
      <c r="K50">
        <v>229</v>
      </c>
    </row>
    <row r="51" spans="1:11">
      <c r="A51">
        <v>12055</v>
      </c>
      <c r="B51" t="s">
        <v>1470</v>
      </c>
      <c r="C51" t="s">
        <v>546</v>
      </c>
      <c r="D51" t="s">
        <v>107</v>
      </c>
      <c r="E51" t="s">
        <v>484</v>
      </c>
      <c r="F51">
        <v>21</v>
      </c>
      <c r="G51">
        <v>1946</v>
      </c>
      <c r="H51">
        <v>675</v>
      </c>
      <c r="I51">
        <v>0</v>
      </c>
      <c r="J51">
        <v>0</v>
      </c>
      <c r="K51">
        <v>0</v>
      </c>
    </row>
    <row r="52" spans="1:11">
      <c r="A52">
        <v>10076</v>
      </c>
      <c r="B52" t="s">
        <v>549</v>
      </c>
      <c r="C52" t="s">
        <v>550</v>
      </c>
      <c r="E52" t="s">
        <v>481</v>
      </c>
      <c r="F52">
        <v>69</v>
      </c>
      <c r="G52">
        <v>1947</v>
      </c>
      <c r="H52">
        <v>293</v>
      </c>
      <c r="I52">
        <v>8.0630000000000006</v>
      </c>
      <c r="J52">
        <v>358.709</v>
      </c>
      <c r="K52">
        <v>113</v>
      </c>
    </row>
    <row r="53" spans="1:11">
      <c r="A53">
        <v>14033</v>
      </c>
      <c r="B53" t="s">
        <v>1185</v>
      </c>
      <c r="C53" t="s">
        <v>686</v>
      </c>
      <c r="E53" t="s">
        <v>1177</v>
      </c>
      <c r="F53">
        <v>78</v>
      </c>
      <c r="G53">
        <v>1969</v>
      </c>
      <c r="H53">
        <v>490</v>
      </c>
      <c r="I53">
        <v>1.3129999999999999</v>
      </c>
      <c r="J53">
        <v>103.71899999999999</v>
      </c>
      <c r="K53">
        <v>44</v>
      </c>
    </row>
    <row r="54" spans="1:11">
      <c r="A54">
        <v>16002</v>
      </c>
      <c r="B54" t="s">
        <v>551</v>
      </c>
      <c r="C54" t="s">
        <v>531</v>
      </c>
      <c r="E54" t="s">
        <v>602</v>
      </c>
      <c r="F54">
        <v>62</v>
      </c>
      <c r="G54">
        <v>1978</v>
      </c>
      <c r="H54">
        <v>676</v>
      </c>
      <c r="I54">
        <v>0</v>
      </c>
      <c r="J54">
        <v>0</v>
      </c>
      <c r="K54">
        <v>0</v>
      </c>
    </row>
    <row r="55" spans="1:11">
      <c r="A55">
        <v>25092</v>
      </c>
      <c r="B55" t="s">
        <v>551</v>
      </c>
      <c r="C55" t="s">
        <v>538</v>
      </c>
      <c r="E55" t="s">
        <v>1066</v>
      </c>
      <c r="F55">
        <v>24</v>
      </c>
      <c r="G55">
        <v>1969</v>
      </c>
      <c r="H55">
        <v>677</v>
      </c>
      <c r="I55">
        <v>0</v>
      </c>
      <c r="J55">
        <v>0</v>
      </c>
      <c r="K55">
        <v>0</v>
      </c>
    </row>
    <row r="56" spans="1:11">
      <c r="A56">
        <v>16050</v>
      </c>
      <c r="B56" t="s">
        <v>1186</v>
      </c>
      <c r="C56" t="s">
        <v>557</v>
      </c>
      <c r="E56" t="s">
        <v>1183</v>
      </c>
      <c r="F56">
        <v>81</v>
      </c>
      <c r="G56">
        <v>1958</v>
      </c>
      <c r="H56">
        <v>612</v>
      </c>
      <c r="I56">
        <v>1.75</v>
      </c>
      <c r="J56">
        <v>25.331</v>
      </c>
      <c r="K56">
        <v>0</v>
      </c>
    </row>
    <row r="57" spans="1:11">
      <c r="A57">
        <v>16028</v>
      </c>
      <c r="B57" t="s">
        <v>1187</v>
      </c>
      <c r="C57" t="s">
        <v>578</v>
      </c>
      <c r="D57" t="s">
        <v>107</v>
      </c>
      <c r="E57" t="s">
        <v>518</v>
      </c>
      <c r="F57">
        <v>29</v>
      </c>
      <c r="G57">
        <v>1968</v>
      </c>
      <c r="H57">
        <v>505</v>
      </c>
      <c r="I57">
        <v>2.6259999999999999</v>
      </c>
      <c r="J57">
        <v>93.814999999999998</v>
      </c>
      <c r="K57">
        <v>0</v>
      </c>
    </row>
    <row r="58" spans="1:11">
      <c r="A58">
        <v>13055</v>
      </c>
      <c r="B58" t="s">
        <v>1068</v>
      </c>
      <c r="C58" t="s">
        <v>521</v>
      </c>
      <c r="E58" t="s">
        <v>161</v>
      </c>
      <c r="F58">
        <v>30</v>
      </c>
      <c r="G58">
        <v>1971</v>
      </c>
      <c r="H58">
        <v>273</v>
      </c>
      <c r="I58">
        <v>9.125</v>
      </c>
      <c r="J58">
        <v>427.01100000000002</v>
      </c>
      <c r="K58">
        <v>91</v>
      </c>
    </row>
    <row r="59" spans="1:11">
      <c r="A59">
        <v>14078</v>
      </c>
      <c r="B59" t="s">
        <v>1189</v>
      </c>
      <c r="C59" t="s">
        <v>521</v>
      </c>
      <c r="E59" t="s">
        <v>1179</v>
      </c>
      <c r="F59">
        <v>79</v>
      </c>
      <c r="G59">
        <v>1985</v>
      </c>
      <c r="H59">
        <v>678</v>
      </c>
      <c r="I59">
        <v>0</v>
      </c>
      <c r="J59">
        <v>0</v>
      </c>
      <c r="K59">
        <v>0</v>
      </c>
    </row>
    <row r="60" spans="1:11">
      <c r="A60">
        <v>96225</v>
      </c>
      <c r="B60" t="s">
        <v>552</v>
      </c>
      <c r="C60" t="s">
        <v>554</v>
      </c>
      <c r="E60" t="s">
        <v>1069</v>
      </c>
      <c r="F60">
        <v>28</v>
      </c>
      <c r="G60">
        <v>1950</v>
      </c>
      <c r="H60">
        <v>680</v>
      </c>
      <c r="I60">
        <v>0</v>
      </c>
      <c r="J60">
        <v>0</v>
      </c>
      <c r="K60">
        <v>0</v>
      </c>
    </row>
    <row r="61" spans="1:11">
      <c r="A61">
        <v>23049</v>
      </c>
      <c r="B61" t="s">
        <v>552</v>
      </c>
      <c r="C61" t="s">
        <v>1471</v>
      </c>
      <c r="E61" t="s">
        <v>1055</v>
      </c>
      <c r="F61">
        <v>44</v>
      </c>
      <c r="G61">
        <v>1985</v>
      </c>
      <c r="H61">
        <v>679</v>
      </c>
      <c r="I61">
        <v>0</v>
      </c>
      <c r="J61">
        <v>0</v>
      </c>
      <c r="K61">
        <v>0</v>
      </c>
    </row>
    <row r="62" spans="1:11">
      <c r="A62">
        <v>23048</v>
      </c>
      <c r="B62" t="s">
        <v>552</v>
      </c>
      <c r="C62" t="s">
        <v>1472</v>
      </c>
      <c r="E62" t="s">
        <v>1055</v>
      </c>
      <c r="F62">
        <v>44</v>
      </c>
      <c r="G62">
        <v>1961</v>
      </c>
      <c r="H62">
        <v>453</v>
      </c>
      <c r="I62">
        <v>6.25</v>
      </c>
      <c r="J62">
        <v>137.03200000000001</v>
      </c>
      <c r="K62">
        <v>0</v>
      </c>
    </row>
    <row r="63" spans="1:11">
      <c r="A63">
        <v>23033</v>
      </c>
      <c r="B63" t="s">
        <v>555</v>
      </c>
      <c r="C63" t="s">
        <v>529</v>
      </c>
      <c r="D63" t="s">
        <v>107</v>
      </c>
      <c r="E63" t="s">
        <v>1055</v>
      </c>
      <c r="F63">
        <v>44</v>
      </c>
      <c r="G63">
        <v>1963</v>
      </c>
      <c r="H63">
        <v>681</v>
      </c>
      <c r="I63">
        <v>0</v>
      </c>
      <c r="J63">
        <v>0</v>
      </c>
      <c r="K63">
        <v>0</v>
      </c>
    </row>
    <row r="64" spans="1:11">
      <c r="A64">
        <v>20510</v>
      </c>
      <c r="B64" t="s">
        <v>1579</v>
      </c>
      <c r="C64" t="s">
        <v>531</v>
      </c>
      <c r="E64" t="s">
        <v>1063</v>
      </c>
      <c r="F64">
        <v>55</v>
      </c>
      <c r="G64">
        <v>1980</v>
      </c>
      <c r="H64">
        <v>682</v>
      </c>
      <c r="I64">
        <v>0</v>
      </c>
      <c r="J64">
        <v>0</v>
      </c>
      <c r="K64">
        <v>0</v>
      </c>
    </row>
    <row r="65" spans="1:11">
      <c r="A65">
        <v>19060</v>
      </c>
      <c r="B65" t="s">
        <v>556</v>
      </c>
      <c r="C65" t="s">
        <v>557</v>
      </c>
      <c r="E65" t="s">
        <v>493</v>
      </c>
      <c r="F65">
        <v>1</v>
      </c>
      <c r="G65">
        <v>1954</v>
      </c>
      <c r="H65">
        <v>572</v>
      </c>
      <c r="I65">
        <v>1.625</v>
      </c>
      <c r="J65">
        <v>51.753</v>
      </c>
      <c r="K65">
        <v>0</v>
      </c>
    </row>
    <row r="66" spans="1:11">
      <c r="A66">
        <v>26011</v>
      </c>
      <c r="B66" t="s">
        <v>556</v>
      </c>
      <c r="C66" t="s">
        <v>557</v>
      </c>
      <c r="E66" t="s">
        <v>493</v>
      </c>
      <c r="F66">
        <v>1</v>
      </c>
      <c r="G66">
        <v>1987</v>
      </c>
      <c r="H66">
        <v>89</v>
      </c>
      <c r="I66">
        <v>28.47</v>
      </c>
      <c r="J66">
        <v>1486.71</v>
      </c>
      <c r="K66">
        <v>376</v>
      </c>
    </row>
    <row r="67" spans="1:11">
      <c r="A67">
        <v>16118</v>
      </c>
      <c r="B67" t="s">
        <v>1190</v>
      </c>
      <c r="C67" t="s">
        <v>572</v>
      </c>
      <c r="D67" t="s">
        <v>107</v>
      </c>
      <c r="E67" t="s">
        <v>1179</v>
      </c>
      <c r="F67">
        <v>79</v>
      </c>
      <c r="G67">
        <v>1986</v>
      </c>
      <c r="H67">
        <v>683</v>
      </c>
      <c r="I67">
        <v>0</v>
      </c>
      <c r="J67">
        <v>0</v>
      </c>
      <c r="K67">
        <v>0</v>
      </c>
    </row>
    <row r="68" spans="1:11">
      <c r="A68">
        <v>11049</v>
      </c>
      <c r="B68" t="s">
        <v>558</v>
      </c>
      <c r="C68" t="s">
        <v>559</v>
      </c>
      <c r="E68" t="s">
        <v>493</v>
      </c>
      <c r="F68">
        <v>1</v>
      </c>
      <c r="G68">
        <v>1953</v>
      </c>
      <c r="H68">
        <v>154</v>
      </c>
      <c r="I68">
        <v>16.282</v>
      </c>
      <c r="J68">
        <v>956.06899999999996</v>
      </c>
      <c r="K68">
        <v>288</v>
      </c>
    </row>
    <row r="69" spans="1:11">
      <c r="A69">
        <v>16033</v>
      </c>
      <c r="B69" t="s">
        <v>1191</v>
      </c>
      <c r="C69" t="s">
        <v>553</v>
      </c>
      <c r="E69" t="s">
        <v>155</v>
      </c>
      <c r="F69">
        <v>22</v>
      </c>
      <c r="G69">
        <v>1977</v>
      </c>
      <c r="H69">
        <v>397</v>
      </c>
      <c r="I69">
        <v>8.25</v>
      </c>
      <c r="J69">
        <v>204.304</v>
      </c>
      <c r="K69">
        <v>15</v>
      </c>
    </row>
    <row r="70" spans="1:11">
      <c r="A70">
        <v>20516</v>
      </c>
      <c r="B70" t="s">
        <v>1580</v>
      </c>
      <c r="C70" t="s">
        <v>785</v>
      </c>
      <c r="D70" t="s">
        <v>107</v>
      </c>
      <c r="E70" t="s">
        <v>1060</v>
      </c>
      <c r="F70">
        <v>70</v>
      </c>
      <c r="G70">
        <v>1953</v>
      </c>
      <c r="H70">
        <v>383</v>
      </c>
      <c r="I70">
        <v>3.9540000000000002</v>
      </c>
      <c r="J70">
        <v>220.4</v>
      </c>
      <c r="K70">
        <v>51</v>
      </c>
    </row>
    <row r="71" spans="1:11">
      <c r="A71">
        <v>96005</v>
      </c>
      <c r="B71" t="s">
        <v>560</v>
      </c>
      <c r="C71" t="s">
        <v>553</v>
      </c>
      <c r="E71" t="s">
        <v>474</v>
      </c>
      <c r="F71">
        <v>63</v>
      </c>
      <c r="G71">
        <v>1946</v>
      </c>
      <c r="H71">
        <v>263</v>
      </c>
      <c r="I71">
        <v>13.063000000000001</v>
      </c>
      <c r="J71">
        <v>448.23099999999999</v>
      </c>
      <c r="K71">
        <v>0</v>
      </c>
    </row>
    <row r="72" spans="1:11">
      <c r="A72">
        <v>13006</v>
      </c>
      <c r="B72" t="s">
        <v>562</v>
      </c>
      <c r="C72" t="s">
        <v>563</v>
      </c>
      <c r="E72" t="s">
        <v>1046</v>
      </c>
      <c r="F72">
        <v>75</v>
      </c>
      <c r="G72">
        <v>1987</v>
      </c>
      <c r="H72">
        <v>684</v>
      </c>
      <c r="I72">
        <v>0</v>
      </c>
      <c r="J72">
        <v>0</v>
      </c>
      <c r="K72">
        <v>0</v>
      </c>
    </row>
    <row r="73" spans="1:11">
      <c r="A73">
        <v>13005</v>
      </c>
      <c r="B73" t="s">
        <v>562</v>
      </c>
      <c r="C73" t="s">
        <v>564</v>
      </c>
      <c r="E73" t="s">
        <v>1046</v>
      </c>
      <c r="F73">
        <v>75</v>
      </c>
      <c r="G73">
        <v>1963</v>
      </c>
      <c r="H73">
        <v>80</v>
      </c>
      <c r="I73">
        <v>27.312999999999999</v>
      </c>
      <c r="J73">
        <v>1608.885</v>
      </c>
      <c r="K73">
        <v>586</v>
      </c>
    </row>
    <row r="74" spans="1:11">
      <c r="A74">
        <v>20523</v>
      </c>
      <c r="B74" t="s">
        <v>565</v>
      </c>
      <c r="C74" t="s">
        <v>884</v>
      </c>
      <c r="D74" t="s">
        <v>107</v>
      </c>
      <c r="E74" t="s">
        <v>1179</v>
      </c>
      <c r="F74">
        <v>79</v>
      </c>
      <c r="G74">
        <v>1988</v>
      </c>
      <c r="H74">
        <v>685</v>
      </c>
      <c r="I74">
        <v>0</v>
      </c>
      <c r="J74">
        <v>0</v>
      </c>
      <c r="K74">
        <v>0</v>
      </c>
    </row>
    <row r="75" spans="1:11">
      <c r="A75">
        <v>13007</v>
      </c>
      <c r="B75" t="s">
        <v>565</v>
      </c>
      <c r="C75" t="s">
        <v>507</v>
      </c>
      <c r="D75" t="s">
        <v>107</v>
      </c>
      <c r="E75" t="s">
        <v>1046</v>
      </c>
      <c r="F75">
        <v>75</v>
      </c>
      <c r="G75">
        <v>1966</v>
      </c>
      <c r="H75">
        <v>90</v>
      </c>
      <c r="I75">
        <v>22.189</v>
      </c>
      <c r="J75">
        <v>1480.9690000000001</v>
      </c>
      <c r="K75">
        <v>586</v>
      </c>
    </row>
    <row r="76" spans="1:11">
      <c r="A76">
        <v>26029</v>
      </c>
      <c r="B76" t="s">
        <v>1581</v>
      </c>
      <c r="C76" t="s">
        <v>566</v>
      </c>
      <c r="E76" t="s">
        <v>161</v>
      </c>
      <c r="F76">
        <v>30</v>
      </c>
      <c r="G76">
        <v>1996</v>
      </c>
      <c r="H76">
        <v>396</v>
      </c>
      <c r="I76">
        <v>5.8129999999999997</v>
      </c>
      <c r="J76">
        <v>207.65899999999999</v>
      </c>
      <c r="K76">
        <v>0</v>
      </c>
    </row>
    <row r="77" spans="1:11">
      <c r="A77">
        <v>20563</v>
      </c>
      <c r="B77" t="s">
        <v>1582</v>
      </c>
      <c r="C77" t="s">
        <v>503</v>
      </c>
      <c r="E77" t="s">
        <v>1583</v>
      </c>
      <c r="F77">
        <v>92</v>
      </c>
      <c r="G77">
        <v>1960</v>
      </c>
      <c r="H77">
        <v>406</v>
      </c>
      <c r="I77">
        <v>3.157</v>
      </c>
      <c r="J77">
        <v>193.35</v>
      </c>
      <c r="K77">
        <v>89</v>
      </c>
    </row>
    <row r="78" spans="1:11">
      <c r="A78">
        <v>20504</v>
      </c>
      <c r="B78" t="s">
        <v>1584</v>
      </c>
      <c r="C78" t="s">
        <v>733</v>
      </c>
      <c r="E78" t="s">
        <v>198</v>
      </c>
      <c r="F78">
        <v>17</v>
      </c>
      <c r="G78">
        <v>1967</v>
      </c>
      <c r="H78">
        <v>144</v>
      </c>
      <c r="I78">
        <v>16.875</v>
      </c>
      <c r="J78">
        <v>1017.811</v>
      </c>
      <c r="K78">
        <v>302</v>
      </c>
    </row>
    <row r="79" spans="1:11">
      <c r="A79">
        <v>20700</v>
      </c>
      <c r="B79" t="s">
        <v>567</v>
      </c>
      <c r="C79" t="s">
        <v>568</v>
      </c>
      <c r="D79" t="s">
        <v>107</v>
      </c>
      <c r="E79" t="s">
        <v>198</v>
      </c>
      <c r="F79">
        <v>17</v>
      </c>
      <c r="G79">
        <v>1970</v>
      </c>
      <c r="H79">
        <v>686</v>
      </c>
      <c r="I79">
        <v>0</v>
      </c>
      <c r="J79">
        <v>0</v>
      </c>
      <c r="K79">
        <v>0</v>
      </c>
    </row>
    <row r="80" spans="1:11">
      <c r="A80">
        <v>96034</v>
      </c>
      <c r="B80" t="s">
        <v>569</v>
      </c>
      <c r="C80" t="s">
        <v>570</v>
      </c>
      <c r="E80" t="s">
        <v>493</v>
      </c>
      <c r="F80">
        <v>1</v>
      </c>
      <c r="G80">
        <v>1966</v>
      </c>
      <c r="H80">
        <v>40</v>
      </c>
      <c r="I80">
        <v>28.876000000000001</v>
      </c>
      <c r="J80">
        <v>1978.1959999999999</v>
      </c>
      <c r="K80">
        <v>752</v>
      </c>
    </row>
    <row r="81" spans="1:11">
      <c r="A81">
        <v>98425</v>
      </c>
      <c r="B81" t="s">
        <v>569</v>
      </c>
      <c r="C81" t="s">
        <v>968</v>
      </c>
      <c r="E81" t="s">
        <v>1070</v>
      </c>
      <c r="F81">
        <v>42</v>
      </c>
      <c r="G81">
        <v>1946</v>
      </c>
      <c r="H81">
        <v>687</v>
      </c>
      <c r="I81">
        <v>0</v>
      </c>
      <c r="J81">
        <v>0</v>
      </c>
      <c r="K81">
        <v>0</v>
      </c>
    </row>
    <row r="82" spans="1:11">
      <c r="A82">
        <v>13040</v>
      </c>
      <c r="B82" t="s">
        <v>569</v>
      </c>
      <c r="C82" t="s">
        <v>700</v>
      </c>
      <c r="D82" t="s">
        <v>91</v>
      </c>
      <c r="E82" t="s">
        <v>493</v>
      </c>
      <c r="F82">
        <v>1</v>
      </c>
      <c r="G82">
        <v>2003</v>
      </c>
      <c r="H82">
        <v>11</v>
      </c>
      <c r="I82">
        <v>40.875</v>
      </c>
      <c r="J82">
        <v>2687.1840000000002</v>
      </c>
      <c r="K82">
        <v>951</v>
      </c>
    </row>
    <row r="83" spans="1:11">
      <c r="A83">
        <v>96043</v>
      </c>
      <c r="B83" t="s">
        <v>571</v>
      </c>
      <c r="C83" t="s">
        <v>572</v>
      </c>
      <c r="D83" t="s">
        <v>107</v>
      </c>
      <c r="E83" t="s">
        <v>493</v>
      </c>
      <c r="F83">
        <v>1</v>
      </c>
      <c r="G83">
        <v>1973</v>
      </c>
      <c r="H83">
        <v>270</v>
      </c>
      <c r="I83">
        <v>5.875</v>
      </c>
      <c r="J83">
        <v>434.60700000000003</v>
      </c>
      <c r="K83">
        <v>209</v>
      </c>
    </row>
    <row r="84" spans="1:11">
      <c r="A84">
        <v>26009</v>
      </c>
      <c r="B84" t="s">
        <v>573</v>
      </c>
      <c r="C84" t="s">
        <v>574</v>
      </c>
      <c r="E84" t="s">
        <v>493</v>
      </c>
      <c r="F84">
        <v>1</v>
      </c>
      <c r="G84">
        <v>1956</v>
      </c>
      <c r="H84">
        <v>434</v>
      </c>
      <c r="I84">
        <v>4</v>
      </c>
      <c r="J84">
        <v>161.524</v>
      </c>
      <c r="K84">
        <v>0</v>
      </c>
    </row>
    <row r="85" spans="1:11">
      <c r="A85">
        <v>28008</v>
      </c>
      <c r="B85" t="s">
        <v>575</v>
      </c>
      <c r="C85" t="s">
        <v>576</v>
      </c>
      <c r="D85" t="s">
        <v>107</v>
      </c>
      <c r="E85" t="s">
        <v>493</v>
      </c>
      <c r="F85">
        <v>1</v>
      </c>
      <c r="G85">
        <v>1956</v>
      </c>
      <c r="H85">
        <v>550</v>
      </c>
      <c r="I85">
        <v>2</v>
      </c>
      <c r="J85">
        <v>63.695999999999998</v>
      </c>
      <c r="K85">
        <v>0</v>
      </c>
    </row>
    <row r="86" spans="1:11">
      <c r="A86">
        <v>96141</v>
      </c>
      <c r="B86" t="s">
        <v>1585</v>
      </c>
      <c r="C86" t="s">
        <v>531</v>
      </c>
      <c r="E86" t="s">
        <v>1081</v>
      </c>
      <c r="F86">
        <v>15</v>
      </c>
      <c r="G86">
        <v>1958</v>
      </c>
      <c r="H86">
        <v>688</v>
      </c>
      <c r="I86">
        <v>0</v>
      </c>
      <c r="J86">
        <v>0</v>
      </c>
      <c r="K86">
        <v>0</v>
      </c>
    </row>
    <row r="87" spans="1:11">
      <c r="A87">
        <v>96181</v>
      </c>
      <c r="B87" t="s">
        <v>577</v>
      </c>
      <c r="C87" t="s">
        <v>578</v>
      </c>
      <c r="D87" t="s">
        <v>107</v>
      </c>
      <c r="E87" t="s">
        <v>483</v>
      </c>
      <c r="F87">
        <v>13</v>
      </c>
      <c r="G87">
        <v>1961</v>
      </c>
      <c r="H87">
        <v>615</v>
      </c>
      <c r="I87">
        <v>0.90600000000000003</v>
      </c>
      <c r="J87">
        <v>24.186</v>
      </c>
      <c r="K87">
        <v>0</v>
      </c>
    </row>
    <row r="88" spans="1:11">
      <c r="A88">
        <v>20610</v>
      </c>
      <c r="B88" t="s">
        <v>1586</v>
      </c>
      <c r="C88" t="s">
        <v>700</v>
      </c>
      <c r="E88" t="s">
        <v>1578</v>
      </c>
      <c r="F88">
        <v>95</v>
      </c>
      <c r="G88">
        <v>1988</v>
      </c>
      <c r="H88">
        <v>689</v>
      </c>
      <c r="I88">
        <v>0</v>
      </c>
      <c r="J88">
        <v>0</v>
      </c>
      <c r="K88">
        <v>0</v>
      </c>
    </row>
    <row r="89" spans="1:11">
      <c r="A89">
        <v>13045</v>
      </c>
      <c r="B89" t="s">
        <v>1071</v>
      </c>
      <c r="C89" t="s">
        <v>520</v>
      </c>
      <c r="E89" t="s">
        <v>470</v>
      </c>
      <c r="F89">
        <v>20</v>
      </c>
      <c r="G89">
        <v>1950</v>
      </c>
      <c r="H89">
        <v>509</v>
      </c>
      <c r="I89">
        <v>1.9379999999999999</v>
      </c>
      <c r="J89">
        <v>90.899000000000001</v>
      </c>
      <c r="K89">
        <v>0</v>
      </c>
    </row>
    <row r="90" spans="1:11">
      <c r="A90">
        <v>99505</v>
      </c>
      <c r="B90" t="s">
        <v>579</v>
      </c>
      <c r="C90" t="s">
        <v>531</v>
      </c>
      <c r="E90" t="s">
        <v>470</v>
      </c>
      <c r="F90">
        <v>20</v>
      </c>
      <c r="G90">
        <v>1966</v>
      </c>
      <c r="H90">
        <v>491</v>
      </c>
      <c r="I90">
        <v>2.1880000000000002</v>
      </c>
      <c r="J90">
        <v>102.526</v>
      </c>
      <c r="K90">
        <v>0</v>
      </c>
    </row>
    <row r="91" spans="1:11">
      <c r="A91">
        <v>10051</v>
      </c>
      <c r="B91" t="s">
        <v>581</v>
      </c>
      <c r="C91" t="s">
        <v>553</v>
      </c>
      <c r="E91" t="s">
        <v>1573</v>
      </c>
      <c r="F91">
        <v>16</v>
      </c>
      <c r="G91">
        <v>1998</v>
      </c>
      <c r="H91">
        <v>313</v>
      </c>
      <c r="I91">
        <v>5.125</v>
      </c>
      <c r="J91">
        <v>326.54599999999999</v>
      </c>
      <c r="K91">
        <v>118</v>
      </c>
    </row>
    <row r="92" spans="1:11">
      <c r="A92">
        <v>12002</v>
      </c>
      <c r="B92" t="s">
        <v>581</v>
      </c>
      <c r="C92" t="s">
        <v>606</v>
      </c>
      <c r="E92" t="s">
        <v>170</v>
      </c>
      <c r="F92">
        <v>14</v>
      </c>
      <c r="G92">
        <v>1994</v>
      </c>
      <c r="H92">
        <v>211</v>
      </c>
      <c r="I92">
        <v>9.375</v>
      </c>
      <c r="J92">
        <v>640.83600000000001</v>
      </c>
      <c r="K92">
        <v>237</v>
      </c>
    </row>
    <row r="93" spans="1:11">
      <c r="A93">
        <v>17040</v>
      </c>
      <c r="B93" t="s">
        <v>1388</v>
      </c>
      <c r="C93" t="s">
        <v>638</v>
      </c>
      <c r="D93" t="s">
        <v>610</v>
      </c>
      <c r="E93" t="s">
        <v>1057</v>
      </c>
      <c r="F93">
        <v>2</v>
      </c>
      <c r="G93">
        <v>2004</v>
      </c>
      <c r="H93">
        <v>487</v>
      </c>
      <c r="I93">
        <v>3</v>
      </c>
      <c r="J93">
        <v>104.81399999999999</v>
      </c>
      <c r="K93">
        <v>0</v>
      </c>
    </row>
    <row r="94" spans="1:11">
      <c r="A94">
        <v>20714</v>
      </c>
      <c r="B94" t="s">
        <v>583</v>
      </c>
      <c r="C94" t="s">
        <v>584</v>
      </c>
      <c r="D94" t="s">
        <v>107</v>
      </c>
      <c r="E94" t="s">
        <v>470</v>
      </c>
      <c r="F94">
        <v>20</v>
      </c>
      <c r="G94">
        <v>1950</v>
      </c>
      <c r="H94">
        <v>317</v>
      </c>
      <c r="I94">
        <v>6.7030000000000003</v>
      </c>
      <c r="J94">
        <v>317.142</v>
      </c>
      <c r="K94">
        <v>0</v>
      </c>
    </row>
    <row r="95" spans="1:11">
      <c r="A95">
        <v>15011</v>
      </c>
      <c r="B95" t="s">
        <v>585</v>
      </c>
      <c r="C95" t="s">
        <v>643</v>
      </c>
      <c r="E95" t="s">
        <v>542</v>
      </c>
      <c r="F95">
        <v>73</v>
      </c>
      <c r="G95">
        <v>1965</v>
      </c>
      <c r="H95">
        <v>64</v>
      </c>
      <c r="I95">
        <v>24.033000000000001</v>
      </c>
      <c r="J95">
        <v>1714.8440000000001</v>
      </c>
      <c r="K95">
        <v>772</v>
      </c>
    </row>
    <row r="96" spans="1:11">
      <c r="A96">
        <v>15010</v>
      </c>
      <c r="B96" t="s">
        <v>587</v>
      </c>
      <c r="C96" t="s">
        <v>1193</v>
      </c>
      <c r="D96" t="s">
        <v>107</v>
      </c>
      <c r="E96" t="s">
        <v>542</v>
      </c>
      <c r="F96">
        <v>73</v>
      </c>
      <c r="G96">
        <v>1952</v>
      </c>
      <c r="H96">
        <v>59</v>
      </c>
      <c r="I96">
        <v>24.876999999999999</v>
      </c>
      <c r="J96">
        <v>1750.021</v>
      </c>
      <c r="K96">
        <v>717</v>
      </c>
    </row>
    <row r="97" spans="1:11">
      <c r="A97">
        <v>16047</v>
      </c>
      <c r="B97" t="s">
        <v>1194</v>
      </c>
      <c r="C97" t="s">
        <v>747</v>
      </c>
      <c r="E97" t="s">
        <v>1183</v>
      </c>
      <c r="F97">
        <v>81</v>
      </c>
      <c r="G97">
        <v>1967</v>
      </c>
      <c r="H97">
        <v>207</v>
      </c>
      <c r="I97">
        <v>13.625999999999999</v>
      </c>
      <c r="J97">
        <v>658.83199999999999</v>
      </c>
      <c r="K97">
        <v>145</v>
      </c>
    </row>
    <row r="98" spans="1:11">
      <c r="A98">
        <v>16048</v>
      </c>
      <c r="B98" t="s">
        <v>1194</v>
      </c>
      <c r="C98" t="s">
        <v>659</v>
      </c>
      <c r="E98" t="s">
        <v>1183</v>
      </c>
      <c r="F98">
        <v>81</v>
      </c>
      <c r="G98">
        <v>1991</v>
      </c>
      <c r="H98">
        <v>690</v>
      </c>
      <c r="I98">
        <v>0</v>
      </c>
      <c r="J98">
        <v>0</v>
      </c>
      <c r="K98">
        <v>0</v>
      </c>
    </row>
    <row r="99" spans="1:11">
      <c r="A99">
        <v>19021</v>
      </c>
      <c r="B99" t="s">
        <v>1587</v>
      </c>
      <c r="C99" t="s">
        <v>912</v>
      </c>
      <c r="E99" t="s">
        <v>170</v>
      </c>
      <c r="F99">
        <v>14</v>
      </c>
      <c r="G99">
        <v>1966</v>
      </c>
      <c r="H99">
        <v>691</v>
      </c>
      <c r="I99">
        <v>0</v>
      </c>
      <c r="J99">
        <v>0</v>
      </c>
      <c r="K99">
        <v>0</v>
      </c>
    </row>
    <row r="100" spans="1:11">
      <c r="A100">
        <v>24207</v>
      </c>
      <c r="B100" t="s">
        <v>589</v>
      </c>
      <c r="C100" t="s">
        <v>504</v>
      </c>
      <c r="E100" t="s">
        <v>1573</v>
      </c>
      <c r="F100">
        <v>16</v>
      </c>
      <c r="G100">
        <v>1994</v>
      </c>
      <c r="H100">
        <v>583</v>
      </c>
      <c r="I100">
        <v>1.25</v>
      </c>
      <c r="J100">
        <v>43.625999999999998</v>
      </c>
      <c r="K100">
        <v>0</v>
      </c>
    </row>
    <row r="101" spans="1:11">
      <c r="A101">
        <v>18012</v>
      </c>
      <c r="B101" t="s">
        <v>1389</v>
      </c>
      <c r="C101" t="s">
        <v>1390</v>
      </c>
      <c r="E101" t="s">
        <v>1473</v>
      </c>
      <c r="F101">
        <v>87</v>
      </c>
      <c r="G101">
        <v>1952</v>
      </c>
      <c r="H101">
        <v>166</v>
      </c>
      <c r="I101">
        <v>13.579000000000001</v>
      </c>
      <c r="J101">
        <v>853.74199999999996</v>
      </c>
      <c r="K101">
        <v>347</v>
      </c>
    </row>
    <row r="102" spans="1:11">
      <c r="A102">
        <v>18013</v>
      </c>
      <c r="B102" t="s">
        <v>1195</v>
      </c>
      <c r="C102" t="s">
        <v>666</v>
      </c>
      <c r="E102" t="s">
        <v>1473</v>
      </c>
      <c r="F102">
        <v>87</v>
      </c>
      <c r="G102">
        <v>1953</v>
      </c>
      <c r="H102">
        <v>167</v>
      </c>
      <c r="I102">
        <v>13.579000000000001</v>
      </c>
      <c r="J102">
        <v>853.74199999999996</v>
      </c>
      <c r="K102">
        <v>347</v>
      </c>
    </row>
    <row r="103" spans="1:11">
      <c r="A103">
        <v>10022</v>
      </c>
      <c r="B103" t="s">
        <v>590</v>
      </c>
      <c r="C103" t="s">
        <v>531</v>
      </c>
      <c r="E103" t="s">
        <v>548</v>
      </c>
      <c r="F103">
        <v>67</v>
      </c>
      <c r="G103">
        <v>1961</v>
      </c>
      <c r="H103">
        <v>445</v>
      </c>
      <c r="I103">
        <v>2.8130000000000002</v>
      </c>
      <c r="J103">
        <v>145.29599999999999</v>
      </c>
      <c r="K103">
        <v>49</v>
      </c>
    </row>
    <row r="104" spans="1:11">
      <c r="A104">
        <v>14088</v>
      </c>
      <c r="B104" t="s">
        <v>1196</v>
      </c>
      <c r="C104" t="s">
        <v>514</v>
      </c>
      <c r="D104" t="s">
        <v>107</v>
      </c>
      <c r="E104" t="s">
        <v>1179</v>
      </c>
      <c r="F104">
        <v>79</v>
      </c>
      <c r="G104">
        <v>1984</v>
      </c>
      <c r="H104">
        <v>692</v>
      </c>
      <c r="I104">
        <v>0</v>
      </c>
      <c r="J104">
        <v>0</v>
      </c>
      <c r="K104">
        <v>0</v>
      </c>
    </row>
    <row r="105" spans="1:11">
      <c r="A105">
        <v>19059</v>
      </c>
      <c r="B105" t="s">
        <v>1588</v>
      </c>
      <c r="C105" t="s">
        <v>553</v>
      </c>
      <c r="E105" t="s">
        <v>493</v>
      </c>
      <c r="F105">
        <v>1</v>
      </c>
      <c r="G105">
        <v>1959</v>
      </c>
      <c r="H105">
        <v>476</v>
      </c>
      <c r="I105">
        <v>1.4690000000000001</v>
      </c>
      <c r="J105">
        <v>115.788</v>
      </c>
      <c r="K105">
        <v>52</v>
      </c>
    </row>
    <row r="106" spans="1:11">
      <c r="A106">
        <v>20531</v>
      </c>
      <c r="B106" t="s">
        <v>1474</v>
      </c>
      <c r="C106" t="s">
        <v>507</v>
      </c>
      <c r="D106" t="s">
        <v>107</v>
      </c>
      <c r="E106" t="s">
        <v>1473</v>
      </c>
      <c r="F106">
        <v>87</v>
      </c>
      <c r="G106">
        <v>1947</v>
      </c>
      <c r="H106">
        <v>584</v>
      </c>
      <c r="I106">
        <v>1.6259999999999999</v>
      </c>
      <c r="J106">
        <v>43.615000000000002</v>
      </c>
      <c r="K106">
        <v>0</v>
      </c>
    </row>
    <row r="107" spans="1:11">
      <c r="A107">
        <v>20549</v>
      </c>
      <c r="B107" t="s">
        <v>1197</v>
      </c>
      <c r="C107" t="s">
        <v>501</v>
      </c>
      <c r="E107" t="s">
        <v>1574</v>
      </c>
      <c r="F107">
        <v>94</v>
      </c>
      <c r="G107">
        <v>1979</v>
      </c>
      <c r="H107">
        <v>402</v>
      </c>
      <c r="I107">
        <v>3.4220000000000002</v>
      </c>
      <c r="J107">
        <v>196.279</v>
      </c>
      <c r="K107">
        <v>72</v>
      </c>
    </row>
    <row r="108" spans="1:11">
      <c r="A108">
        <v>17066</v>
      </c>
      <c r="B108" t="s">
        <v>1197</v>
      </c>
      <c r="C108" t="s">
        <v>807</v>
      </c>
      <c r="D108" t="s">
        <v>91</v>
      </c>
      <c r="E108" t="s">
        <v>1574</v>
      </c>
      <c r="F108">
        <v>94</v>
      </c>
      <c r="G108">
        <v>2009</v>
      </c>
      <c r="H108">
        <v>693</v>
      </c>
      <c r="I108">
        <v>0</v>
      </c>
      <c r="J108">
        <v>0</v>
      </c>
      <c r="K108">
        <v>0</v>
      </c>
    </row>
    <row r="109" spans="1:11">
      <c r="A109">
        <v>12061</v>
      </c>
      <c r="B109" t="s">
        <v>1475</v>
      </c>
      <c r="C109" t="s">
        <v>506</v>
      </c>
      <c r="D109" t="s">
        <v>107</v>
      </c>
      <c r="E109" t="s">
        <v>481</v>
      </c>
      <c r="F109">
        <v>69</v>
      </c>
      <c r="G109">
        <v>1951</v>
      </c>
      <c r="H109">
        <v>694</v>
      </c>
      <c r="I109">
        <v>0</v>
      </c>
      <c r="J109">
        <v>0</v>
      </c>
      <c r="K109">
        <v>0</v>
      </c>
    </row>
    <row r="110" spans="1:11">
      <c r="A110">
        <v>19066</v>
      </c>
      <c r="B110" t="s">
        <v>1589</v>
      </c>
      <c r="C110" t="s">
        <v>1590</v>
      </c>
      <c r="E110" t="s">
        <v>163</v>
      </c>
      <c r="F110">
        <v>43</v>
      </c>
      <c r="G110">
        <v>1977</v>
      </c>
      <c r="H110">
        <v>515</v>
      </c>
      <c r="I110">
        <v>1.8129999999999999</v>
      </c>
      <c r="J110">
        <v>85.385000000000005</v>
      </c>
      <c r="K110">
        <v>0</v>
      </c>
    </row>
    <row r="111" spans="1:11">
      <c r="A111">
        <v>16018</v>
      </c>
      <c r="B111" t="s">
        <v>1198</v>
      </c>
      <c r="C111" t="s">
        <v>553</v>
      </c>
      <c r="E111" t="s">
        <v>1069</v>
      </c>
      <c r="F111">
        <v>28</v>
      </c>
      <c r="G111">
        <v>1966</v>
      </c>
      <c r="H111">
        <v>450</v>
      </c>
      <c r="I111">
        <v>4.8760000000000003</v>
      </c>
      <c r="J111">
        <v>142.374</v>
      </c>
      <c r="K111">
        <v>0</v>
      </c>
    </row>
    <row r="112" spans="1:11">
      <c r="A112">
        <v>11008</v>
      </c>
      <c r="B112" t="s">
        <v>591</v>
      </c>
      <c r="C112" t="s">
        <v>506</v>
      </c>
      <c r="D112" t="s">
        <v>107</v>
      </c>
      <c r="E112" t="s">
        <v>1060</v>
      </c>
      <c r="F112">
        <v>70</v>
      </c>
      <c r="G112">
        <v>1933</v>
      </c>
      <c r="H112">
        <v>695</v>
      </c>
      <c r="I112">
        <v>0</v>
      </c>
      <c r="J112">
        <v>0</v>
      </c>
      <c r="K112">
        <v>0</v>
      </c>
    </row>
    <row r="113" spans="1:11">
      <c r="A113">
        <v>16035</v>
      </c>
      <c r="B113" t="s">
        <v>1199</v>
      </c>
      <c r="C113" t="s">
        <v>1200</v>
      </c>
      <c r="E113" t="s">
        <v>155</v>
      </c>
      <c r="F113">
        <v>22</v>
      </c>
      <c r="G113">
        <v>1970</v>
      </c>
      <c r="H113">
        <v>696</v>
      </c>
      <c r="I113">
        <v>0</v>
      </c>
      <c r="J113">
        <v>0</v>
      </c>
      <c r="K113">
        <v>0</v>
      </c>
    </row>
    <row r="114" spans="1:11">
      <c r="A114">
        <v>99510</v>
      </c>
      <c r="B114" t="s">
        <v>592</v>
      </c>
      <c r="C114" t="s">
        <v>593</v>
      </c>
      <c r="E114" t="s">
        <v>472</v>
      </c>
      <c r="F114">
        <v>54</v>
      </c>
      <c r="G114">
        <v>1951</v>
      </c>
      <c r="H114">
        <v>74</v>
      </c>
      <c r="I114">
        <v>28.437999999999999</v>
      </c>
      <c r="J114">
        <v>1645.0820000000001</v>
      </c>
      <c r="K114">
        <v>593</v>
      </c>
    </row>
    <row r="115" spans="1:11">
      <c r="A115">
        <v>99574</v>
      </c>
      <c r="B115" t="s">
        <v>594</v>
      </c>
      <c r="C115" t="s">
        <v>595</v>
      </c>
      <c r="D115" t="s">
        <v>107</v>
      </c>
      <c r="E115" t="s">
        <v>472</v>
      </c>
      <c r="F115">
        <v>54</v>
      </c>
      <c r="G115">
        <v>1949</v>
      </c>
      <c r="H115">
        <v>24</v>
      </c>
      <c r="I115">
        <v>36.25</v>
      </c>
      <c r="J115">
        <v>2229.2869999999998</v>
      </c>
      <c r="K115">
        <v>811</v>
      </c>
    </row>
    <row r="116" spans="1:11">
      <c r="A116">
        <v>11007</v>
      </c>
      <c r="B116" t="s">
        <v>596</v>
      </c>
      <c r="C116" t="s">
        <v>597</v>
      </c>
      <c r="D116" t="s">
        <v>107</v>
      </c>
      <c r="E116" t="s">
        <v>1060</v>
      </c>
      <c r="F116">
        <v>70</v>
      </c>
      <c r="G116">
        <v>1942</v>
      </c>
      <c r="H116">
        <v>697</v>
      </c>
      <c r="I116">
        <v>0</v>
      </c>
      <c r="J116">
        <v>0</v>
      </c>
      <c r="K116">
        <v>0</v>
      </c>
    </row>
    <row r="117" spans="1:11">
      <c r="A117">
        <v>13027</v>
      </c>
      <c r="B117" t="s">
        <v>1072</v>
      </c>
      <c r="C117" t="s">
        <v>578</v>
      </c>
      <c r="D117" t="s">
        <v>107</v>
      </c>
      <c r="E117" t="s">
        <v>1062</v>
      </c>
      <c r="F117">
        <v>76</v>
      </c>
      <c r="G117">
        <v>1977</v>
      </c>
      <c r="H117">
        <v>50</v>
      </c>
      <c r="I117">
        <v>31.501000000000001</v>
      </c>
      <c r="J117">
        <v>1844.307</v>
      </c>
      <c r="K117">
        <v>627</v>
      </c>
    </row>
    <row r="118" spans="1:11">
      <c r="A118">
        <v>18119</v>
      </c>
      <c r="B118" t="s">
        <v>1476</v>
      </c>
      <c r="C118" t="s">
        <v>538</v>
      </c>
      <c r="E118" t="s">
        <v>1477</v>
      </c>
      <c r="F118">
        <v>91</v>
      </c>
      <c r="G118">
        <v>1966</v>
      </c>
      <c r="H118">
        <v>698</v>
      </c>
      <c r="I118">
        <v>0</v>
      </c>
      <c r="J118">
        <v>0</v>
      </c>
      <c r="K118">
        <v>0</v>
      </c>
    </row>
    <row r="119" spans="1:11">
      <c r="A119">
        <v>96100</v>
      </c>
      <c r="B119" t="s">
        <v>598</v>
      </c>
      <c r="C119" t="s">
        <v>554</v>
      </c>
      <c r="E119" t="s">
        <v>1066</v>
      </c>
      <c r="F119">
        <v>24</v>
      </c>
      <c r="G119">
        <v>1968</v>
      </c>
      <c r="H119">
        <v>592</v>
      </c>
      <c r="I119">
        <v>1.875</v>
      </c>
      <c r="J119">
        <v>37.89</v>
      </c>
      <c r="K119">
        <v>0</v>
      </c>
    </row>
    <row r="120" spans="1:11">
      <c r="A120">
        <v>18004</v>
      </c>
      <c r="B120" t="s">
        <v>1478</v>
      </c>
      <c r="C120" t="s">
        <v>538</v>
      </c>
      <c r="E120" t="s">
        <v>1467</v>
      </c>
      <c r="F120">
        <v>89</v>
      </c>
      <c r="G120">
        <v>1980</v>
      </c>
      <c r="H120">
        <v>699</v>
      </c>
      <c r="I120">
        <v>0</v>
      </c>
      <c r="J120">
        <v>0</v>
      </c>
      <c r="K120">
        <v>0</v>
      </c>
    </row>
    <row r="121" spans="1:11">
      <c r="A121">
        <v>27082</v>
      </c>
      <c r="B121" t="s">
        <v>599</v>
      </c>
      <c r="C121" t="s">
        <v>600</v>
      </c>
      <c r="E121" t="s">
        <v>1057</v>
      </c>
      <c r="F121">
        <v>2</v>
      </c>
      <c r="G121">
        <v>1951</v>
      </c>
      <c r="H121">
        <v>700</v>
      </c>
      <c r="I121">
        <v>0</v>
      </c>
      <c r="J121">
        <v>0</v>
      </c>
      <c r="K121">
        <v>0</v>
      </c>
    </row>
    <row r="122" spans="1:11">
      <c r="A122">
        <v>18055</v>
      </c>
      <c r="B122" t="s">
        <v>599</v>
      </c>
      <c r="C122" t="s">
        <v>504</v>
      </c>
      <c r="E122" t="s">
        <v>1179</v>
      </c>
      <c r="F122">
        <v>79</v>
      </c>
      <c r="G122">
        <v>1975</v>
      </c>
      <c r="H122">
        <v>279</v>
      </c>
      <c r="I122">
        <v>7.75</v>
      </c>
      <c r="J122">
        <v>412.08100000000002</v>
      </c>
      <c r="K122">
        <v>69</v>
      </c>
    </row>
    <row r="123" spans="1:11">
      <c r="A123">
        <v>15087</v>
      </c>
      <c r="B123" t="s">
        <v>1201</v>
      </c>
      <c r="C123" t="s">
        <v>880</v>
      </c>
      <c r="E123" t="s">
        <v>1070</v>
      </c>
      <c r="F123">
        <v>42</v>
      </c>
      <c r="G123">
        <v>1942</v>
      </c>
      <c r="H123">
        <v>364</v>
      </c>
      <c r="I123">
        <v>4.157</v>
      </c>
      <c r="J123">
        <v>240.864</v>
      </c>
      <c r="K123">
        <v>54</v>
      </c>
    </row>
    <row r="124" spans="1:11">
      <c r="A124">
        <v>16037</v>
      </c>
      <c r="B124" t="s">
        <v>1202</v>
      </c>
      <c r="C124" t="s">
        <v>1203</v>
      </c>
      <c r="D124" t="s">
        <v>107</v>
      </c>
      <c r="E124" t="s">
        <v>1060</v>
      </c>
      <c r="F124">
        <v>70</v>
      </c>
      <c r="G124">
        <v>1936</v>
      </c>
      <c r="H124">
        <v>701</v>
      </c>
      <c r="I124">
        <v>0</v>
      </c>
      <c r="J124">
        <v>0</v>
      </c>
      <c r="K124">
        <v>0</v>
      </c>
    </row>
    <row r="125" spans="1:11">
      <c r="A125">
        <v>28032</v>
      </c>
      <c r="B125" t="s">
        <v>601</v>
      </c>
      <c r="C125" t="s">
        <v>511</v>
      </c>
      <c r="E125" t="s">
        <v>602</v>
      </c>
      <c r="F125">
        <v>62</v>
      </c>
      <c r="G125">
        <v>1967</v>
      </c>
      <c r="H125">
        <v>702</v>
      </c>
      <c r="I125">
        <v>0</v>
      </c>
      <c r="J125">
        <v>0</v>
      </c>
      <c r="K125">
        <v>0</v>
      </c>
    </row>
    <row r="126" spans="1:11">
      <c r="A126">
        <v>28031</v>
      </c>
      <c r="B126" t="s">
        <v>603</v>
      </c>
      <c r="C126" t="s">
        <v>604</v>
      </c>
      <c r="D126" t="s">
        <v>107</v>
      </c>
      <c r="E126" t="s">
        <v>602</v>
      </c>
      <c r="F126">
        <v>62</v>
      </c>
      <c r="G126">
        <v>1970</v>
      </c>
      <c r="H126">
        <v>703</v>
      </c>
      <c r="I126">
        <v>0</v>
      </c>
      <c r="J126">
        <v>0</v>
      </c>
      <c r="K126">
        <v>0</v>
      </c>
    </row>
    <row r="127" spans="1:11">
      <c r="A127">
        <v>19070</v>
      </c>
      <c r="B127" t="s">
        <v>1591</v>
      </c>
      <c r="C127" t="s">
        <v>1592</v>
      </c>
      <c r="D127" t="s">
        <v>610</v>
      </c>
      <c r="E127" t="s">
        <v>1467</v>
      </c>
      <c r="F127">
        <v>89</v>
      </c>
      <c r="G127">
        <v>2013</v>
      </c>
      <c r="H127">
        <v>430</v>
      </c>
      <c r="I127">
        <v>3.9540000000000002</v>
      </c>
      <c r="J127">
        <v>166.80600000000001</v>
      </c>
      <c r="K127">
        <v>30</v>
      </c>
    </row>
    <row r="128" spans="1:11">
      <c r="A128">
        <v>19071</v>
      </c>
      <c r="B128" t="s">
        <v>1593</v>
      </c>
      <c r="C128" t="s">
        <v>1351</v>
      </c>
      <c r="D128" t="s">
        <v>91</v>
      </c>
      <c r="E128" t="s">
        <v>1467</v>
      </c>
      <c r="F128">
        <v>89</v>
      </c>
      <c r="G128">
        <v>2014</v>
      </c>
      <c r="H128">
        <v>538</v>
      </c>
      <c r="I128">
        <v>1.7809999999999999</v>
      </c>
      <c r="J128">
        <v>71.102999999999994</v>
      </c>
      <c r="K128">
        <v>0</v>
      </c>
    </row>
    <row r="129" spans="1:11">
      <c r="A129">
        <v>22953</v>
      </c>
      <c r="B129" t="s">
        <v>605</v>
      </c>
      <c r="C129" t="s">
        <v>586</v>
      </c>
      <c r="E129" t="s">
        <v>170</v>
      </c>
      <c r="F129">
        <v>14</v>
      </c>
      <c r="G129">
        <v>1979</v>
      </c>
      <c r="H129">
        <v>327</v>
      </c>
      <c r="I129">
        <v>2.3130000000000002</v>
      </c>
      <c r="J129">
        <v>300.45699999999999</v>
      </c>
      <c r="K129">
        <v>197</v>
      </c>
    </row>
    <row r="130" spans="1:11">
      <c r="A130">
        <v>99496</v>
      </c>
      <c r="B130" t="s">
        <v>605</v>
      </c>
      <c r="C130" t="s">
        <v>526</v>
      </c>
      <c r="E130" t="s">
        <v>170</v>
      </c>
      <c r="F130">
        <v>14</v>
      </c>
      <c r="G130">
        <v>1975</v>
      </c>
      <c r="H130">
        <v>140</v>
      </c>
      <c r="I130">
        <v>15.500999999999999</v>
      </c>
      <c r="J130">
        <v>1047.2280000000001</v>
      </c>
      <c r="K130">
        <v>408</v>
      </c>
    </row>
    <row r="131" spans="1:11">
      <c r="A131">
        <v>24272</v>
      </c>
      <c r="B131" t="s">
        <v>605</v>
      </c>
      <c r="C131" t="s">
        <v>520</v>
      </c>
      <c r="E131" t="s">
        <v>170</v>
      </c>
      <c r="F131">
        <v>14</v>
      </c>
      <c r="G131">
        <v>1953</v>
      </c>
      <c r="H131">
        <v>113</v>
      </c>
      <c r="I131">
        <v>21.407</v>
      </c>
      <c r="J131">
        <v>1297.5309999999999</v>
      </c>
      <c r="K131">
        <v>455</v>
      </c>
    </row>
    <row r="132" spans="1:11">
      <c r="A132">
        <v>17039</v>
      </c>
      <c r="B132" t="s">
        <v>1391</v>
      </c>
      <c r="C132" t="s">
        <v>658</v>
      </c>
      <c r="D132" t="s">
        <v>107</v>
      </c>
      <c r="E132" t="s">
        <v>170</v>
      </c>
      <c r="F132">
        <v>14</v>
      </c>
      <c r="G132">
        <v>1976</v>
      </c>
      <c r="H132">
        <v>262</v>
      </c>
      <c r="I132">
        <v>7.2190000000000003</v>
      </c>
      <c r="J132">
        <v>449.40100000000001</v>
      </c>
      <c r="K132">
        <v>140</v>
      </c>
    </row>
    <row r="133" spans="1:11">
      <c r="A133">
        <v>20551</v>
      </c>
      <c r="B133" t="s">
        <v>1392</v>
      </c>
      <c r="C133" t="s">
        <v>572</v>
      </c>
      <c r="D133" t="s">
        <v>107</v>
      </c>
      <c r="E133" t="s">
        <v>1574</v>
      </c>
      <c r="F133">
        <v>94</v>
      </c>
      <c r="G133">
        <v>1976</v>
      </c>
      <c r="H133">
        <v>516</v>
      </c>
      <c r="I133">
        <v>1.516</v>
      </c>
      <c r="J133">
        <v>84.47</v>
      </c>
      <c r="K133">
        <v>34</v>
      </c>
    </row>
    <row r="134" spans="1:11">
      <c r="A134">
        <v>17067</v>
      </c>
      <c r="B134" t="s">
        <v>1392</v>
      </c>
      <c r="C134" t="s">
        <v>792</v>
      </c>
      <c r="D134" t="s">
        <v>610</v>
      </c>
      <c r="E134" t="s">
        <v>1574</v>
      </c>
      <c r="F134">
        <v>94</v>
      </c>
      <c r="G134">
        <v>2006</v>
      </c>
      <c r="H134">
        <v>259</v>
      </c>
      <c r="I134">
        <v>10.250999999999999</v>
      </c>
      <c r="J134">
        <v>456.96899999999999</v>
      </c>
      <c r="K134">
        <v>159</v>
      </c>
    </row>
    <row r="135" spans="1:11">
      <c r="A135">
        <v>20519</v>
      </c>
      <c r="B135" t="s">
        <v>1594</v>
      </c>
      <c r="C135" t="s">
        <v>503</v>
      </c>
      <c r="E135" t="s">
        <v>542</v>
      </c>
      <c r="F135">
        <v>73</v>
      </c>
      <c r="G135">
        <v>1945</v>
      </c>
      <c r="H135">
        <v>704</v>
      </c>
      <c r="I135">
        <v>0</v>
      </c>
      <c r="J135">
        <v>0</v>
      </c>
      <c r="K135">
        <v>0</v>
      </c>
    </row>
    <row r="136" spans="1:11">
      <c r="A136">
        <v>20528</v>
      </c>
      <c r="B136" t="s">
        <v>1595</v>
      </c>
      <c r="C136" t="s">
        <v>867</v>
      </c>
      <c r="D136" t="s">
        <v>91</v>
      </c>
      <c r="E136" t="s">
        <v>1393</v>
      </c>
      <c r="F136">
        <v>86</v>
      </c>
      <c r="G136">
        <v>2005</v>
      </c>
      <c r="H136">
        <v>341</v>
      </c>
      <c r="I136">
        <v>5.61</v>
      </c>
      <c r="J136">
        <v>274.11900000000003</v>
      </c>
      <c r="K136">
        <v>46</v>
      </c>
    </row>
    <row r="137" spans="1:11">
      <c r="A137">
        <v>18125</v>
      </c>
      <c r="B137" t="s">
        <v>611</v>
      </c>
      <c r="C137" t="s">
        <v>1596</v>
      </c>
      <c r="D137" t="s">
        <v>107</v>
      </c>
      <c r="E137" t="s">
        <v>1393</v>
      </c>
      <c r="F137">
        <v>86</v>
      </c>
      <c r="G137">
        <v>1995</v>
      </c>
      <c r="H137">
        <v>617</v>
      </c>
      <c r="I137">
        <v>0.5</v>
      </c>
      <c r="J137">
        <v>23.890999999999998</v>
      </c>
      <c r="K137">
        <v>0</v>
      </c>
    </row>
    <row r="138" spans="1:11">
      <c r="A138">
        <v>96099</v>
      </c>
      <c r="B138" t="s">
        <v>611</v>
      </c>
      <c r="C138" t="s">
        <v>584</v>
      </c>
      <c r="D138" t="s">
        <v>107</v>
      </c>
      <c r="E138" t="s">
        <v>1066</v>
      </c>
      <c r="F138">
        <v>24</v>
      </c>
      <c r="G138">
        <v>1953</v>
      </c>
      <c r="H138">
        <v>705</v>
      </c>
      <c r="I138">
        <v>0</v>
      </c>
      <c r="J138">
        <v>0</v>
      </c>
      <c r="K138">
        <v>0</v>
      </c>
    </row>
    <row r="139" spans="1:11">
      <c r="A139">
        <v>15034</v>
      </c>
      <c r="B139" t="s">
        <v>1204</v>
      </c>
      <c r="C139" t="s">
        <v>1205</v>
      </c>
      <c r="D139" t="s">
        <v>107</v>
      </c>
      <c r="E139" t="s">
        <v>542</v>
      </c>
      <c r="F139">
        <v>73</v>
      </c>
      <c r="G139">
        <v>1950</v>
      </c>
      <c r="H139">
        <v>192</v>
      </c>
      <c r="I139">
        <v>13.5</v>
      </c>
      <c r="J139">
        <v>736.95299999999997</v>
      </c>
      <c r="K139">
        <v>220</v>
      </c>
    </row>
    <row r="140" spans="1:11">
      <c r="A140">
        <v>25042</v>
      </c>
      <c r="B140" t="s">
        <v>612</v>
      </c>
      <c r="C140" t="s">
        <v>550</v>
      </c>
      <c r="E140" t="s">
        <v>483</v>
      </c>
      <c r="F140">
        <v>13</v>
      </c>
      <c r="G140">
        <v>1983</v>
      </c>
      <c r="H140">
        <v>622</v>
      </c>
      <c r="I140">
        <v>0.65600000000000003</v>
      </c>
      <c r="J140">
        <v>19.134</v>
      </c>
      <c r="K140">
        <v>0</v>
      </c>
    </row>
    <row r="141" spans="1:11">
      <c r="A141">
        <v>99529</v>
      </c>
      <c r="B141" t="s">
        <v>612</v>
      </c>
      <c r="C141" t="s">
        <v>503</v>
      </c>
      <c r="E141" t="s">
        <v>518</v>
      </c>
      <c r="F141">
        <v>29</v>
      </c>
      <c r="G141">
        <v>1967</v>
      </c>
      <c r="H141">
        <v>641</v>
      </c>
      <c r="I141">
        <v>0.68799999999999994</v>
      </c>
      <c r="J141">
        <v>13.893000000000001</v>
      </c>
      <c r="K141">
        <v>0</v>
      </c>
    </row>
    <row r="142" spans="1:11">
      <c r="A142">
        <v>20571</v>
      </c>
      <c r="B142" t="s">
        <v>612</v>
      </c>
      <c r="C142" t="s">
        <v>580</v>
      </c>
      <c r="E142" t="s">
        <v>1067</v>
      </c>
      <c r="F142">
        <v>66</v>
      </c>
      <c r="G142">
        <v>1944</v>
      </c>
      <c r="H142">
        <v>497</v>
      </c>
      <c r="I142">
        <v>3.4689999999999999</v>
      </c>
      <c r="J142">
        <v>99.603999999999999</v>
      </c>
      <c r="K142">
        <v>17</v>
      </c>
    </row>
    <row r="143" spans="1:11">
      <c r="A143">
        <v>19018</v>
      </c>
      <c r="B143" t="s">
        <v>613</v>
      </c>
      <c r="C143" t="s">
        <v>804</v>
      </c>
      <c r="D143" t="s">
        <v>107</v>
      </c>
      <c r="E143" t="s">
        <v>1393</v>
      </c>
      <c r="F143">
        <v>86</v>
      </c>
      <c r="G143">
        <v>1992</v>
      </c>
      <c r="H143">
        <v>706</v>
      </c>
      <c r="I143">
        <v>0</v>
      </c>
      <c r="J143">
        <v>0</v>
      </c>
      <c r="K143">
        <v>0</v>
      </c>
    </row>
    <row r="144" spans="1:11">
      <c r="A144">
        <v>21760</v>
      </c>
      <c r="B144" t="s">
        <v>613</v>
      </c>
      <c r="C144" t="s">
        <v>614</v>
      </c>
      <c r="D144" t="s">
        <v>107</v>
      </c>
      <c r="E144" t="s">
        <v>518</v>
      </c>
      <c r="F144">
        <v>29</v>
      </c>
      <c r="G144">
        <v>1967</v>
      </c>
      <c r="H144">
        <v>231</v>
      </c>
      <c r="I144">
        <v>15.032</v>
      </c>
      <c r="J144">
        <v>547.24699999999996</v>
      </c>
      <c r="K144">
        <v>29</v>
      </c>
    </row>
    <row r="145" spans="1:11">
      <c r="A145">
        <v>28037</v>
      </c>
      <c r="B145" t="s">
        <v>613</v>
      </c>
      <c r="C145" t="s">
        <v>615</v>
      </c>
      <c r="D145" t="s">
        <v>107</v>
      </c>
      <c r="E145" t="s">
        <v>156</v>
      </c>
      <c r="F145">
        <v>6</v>
      </c>
      <c r="G145">
        <v>1953</v>
      </c>
      <c r="H145">
        <v>274</v>
      </c>
      <c r="I145">
        <v>9.9090000000000007</v>
      </c>
      <c r="J145">
        <v>426.99400000000003</v>
      </c>
      <c r="K145">
        <v>83</v>
      </c>
    </row>
    <row r="146" spans="1:11">
      <c r="A146">
        <v>20600</v>
      </c>
      <c r="B146" t="s">
        <v>1597</v>
      </c>
      <c r="C146" t="s">
        <v>570</v>
      </c>
      <c r="E146" t="s">
        <v>1578</v>
      </c>
      <c r="F146">
        <v>95</v>
      </c>
      <c r="G146">
        <v>1973</v>
      </c>
      <c r="H146">
        <v>707</v>
      </c>
      <c r="I146">
        <v>0</v>
      </c>
      <c r="J146">
        <v>0</v>
      </c>
      <c r="K146">
        <v>0</v>
      </c>
    </row>
    <row r="147" spans="1:11">
      <c r="A147">
        <v>17091</v>
      </c>
      <c r="B147" t="s">
        <v>1464</v>
      </c>
      <c r="C147" t="s">
        <v>637</v>
      </c>
      <c r="D147" t="s">
        <v>107</v>
      </c>
      <c r="E147" t="s">
        <v>474</v>
      </c>
      <c r="F147">
        <v>63</v>
      </c>
      <c r="G147">
        <v>2000</v>
      </c>
      <c r="H147">
        <v>427</v>
      </c>
      <c r="I147">
        <v>5.375</v>
      </c>
      <c r="J147">
        <v>171.67</v>
      </c>
      <c r="K147">
        <v>0</v>
      </c>
    </row>
    <row r="148" spans="1:11">
      <c r="A148">
        <v>17096</v>
      </c>
      <c r="B148" t="s">
        <v>1479</v>
      </c>
      <c r="C148" t="s">
        <v>520</v>
      </c>
      <c r="E148" t="s">
        <v>474</v>
      </c>
      <c r="F148">
        <v>63</v>
      </c>
      <c r="G148">
        <v>1967</v>
      </c>
      <c r="H148">
        <v>247</v>
      </c>
      <c r="I148">
        <v>11.250999999999999</v>
      </c>
      <c r="J148">
        <v>483.69799999999998</v>
      </c>
      <c r="K148">
        <v>98</v>
      </c>
    </row>
    <row r="149" spans="1:11">
      <c r="A149">
        <v>27085</v>
      </c>
      <c r="B149" t="s">
        <v>616</v>
      </c>
      <c r="C149" t="s">
        <v>511</v>
      </c>
      <c r="E149" t="s">
        <v>1066</v>
      </c>
      <c r="F149">
        <v>24</v>
      </c>
      <c r="G149">
        <v>1985</v>
      </c>
      <c r="H149">
        <v>306</v>
      </c>
      <c r="I149">
        <v>3.9380000000000002</v>
      </c>
      <c r="J149">
        <v>337.79300000000001</v>
      </c>
      <c r="K149">
        <v>185</v>
      </c>
    </row>
    <row r="150" spans="1:11">
      <c r="A150">
        <v>20560</v>
      </c>
      <c r="B150" t="s">
        <v>1598</v>
      </c>
      <c r="C150" t="s">
        <v>511</v>
      </c>
      <c r="D150" t="s">
        <v>91</v>
      </c>
      <c r="E150" t="s">
        <v>1574</v>
      </c>
      <c r="F150">
        <v>94</v>
      </c>
      <c r="G150">
        <v>2007</v>
      </c>
      <c r="H150">
        <v>708</v>
      </c>
      <c r="I150">
        <v>0</v>
      </c>
      <c r="J150">
        <v>0</v>
      </c>
      <c r="K150">
        <v>0</v>
      </c>
    </row>
    <row r="151" spans="1:11">
      <c r="A151">
        <v>15083</v>
      </c>
      <c r="B151" t="s">
        <v>1206</v>
      </c>
      <c r="C151" t="s">
        <v>519</v>
      </c>
      <c r="E151" t="s">
        <v>1057</v>
      </c>
      <c r="F151">
        <v>2</v>
      </c>
      <c r="G151">
        <v>1993</v>
      </c>
      <c r="H151">
        <v>236</v>
      </c>
      <c r="I151">
        <v>12.781000000000001</v>
      </c>
      <c r="J151">
        <v>514.98599999999999</v>
      </c>
      <c r="K151">
        <v>143</v>
      </c>
    </row>
    <row r="152" spans="1:11">
      <c r="A152">
        <v>20613</v>
      </c>
      <c r="B152" t="s">
        <v>1599</v>
      </c>
      <c r="C152" t="s">
        <v>538</v>
      </c>
      <c r="E152" t="s">
        <v>1578</v>
      </c>
      <c r="F152">
        <v>95</v>
      </c>
      <c r="G152">
        <v>1967</v>
      </c>
      <c r="H152">
        <v>709</v>
      </c>
      <c r="I152">
        <v>0</v>
      </c>
      <c r="J152">
        <v>0</v>
      </c>
      <c r="K152">
        <v>0</v>
      </c>
    </row>
    <row r="153" spans="1:11">
      <c r="A153">
        <v>28033</v>
      </c>
      <c r="B153" t="s">
        <v>619</v>
      </c>
      <c r="C153" t="s">
        <v>526</v>
      </c>
      <c r="E153" t="s">
        <v>602</v>
      </c>
      <c r="F153">
        <v>62</v>
      </c>
      <c r="G153">
        <v>1994</v>
      </c>
      <c r="H153">
        <v>710</v>
      </c>
      <c r="I153">
        <v>0</v>
      </c>
      <c r="J153">
        <v>0</v>
      </c>
      <c r="K153">
        <v>0</v>
      </c>
    </row>
    <row r="154" spans="1:11">
      <c r="A154">
        <v>96196</v>
      </c>
      <c r="B154" t="s">
        <v>620</v>
      </c>
      <c r="C154" t="s">
        <v>621</v>
      </c>
      <c r="E154" t="s">
        <v>483</v>
      </c>
      <c r="F154">
        <v>13</v>
      </c>
      <c r="G154">
        <v>1962</v>
      </c>
      <c r="H154">
        <v>623</v>
      </c>
      <c r="I154">
        <v>0.65600000000000003</v>
      </c>
      <c r="J154">
        <v>19.134</v>
      </c>
      <c r="K154">
        <v>0</v>
      </c>
    </row>
    <row r="155" spans="1:11">
      <c r="A155">
        <v>21746</v>
      </c>
      <c r="B155" t="s">
        <v>622</v>
      </c>
      <c r="C155" t="s">
        <v>623</v>
      </c>
      <c r="D155" t="s">
        <v>107</v>
      </c>
      <c r="E155" t="s">
        <v>483</v>
      </c>
      <c r="F155">
        <v>13</v>
      </c>
      <c r="G155">
        <v>1990</v>
      </c>
      <c r="H155">
        <v>711</v>
      </c>
      <c r="I155">
        <v>0</v>
      </c>
      <c r="J155">
        <v>0</v>
      </c>
      <c r="K155">
        <v>0</v>
      </c>
    </row>
    <row r="156" spans="1:11">
      <c r="A156">
        <v>96190</v>
      </c>
      <c r="B156" t="s">
        <v>622</v>
      </c>
      <c r="C156" t="s">
        <v>624</v>
      </c>
      <c r="D156" t="s">
        <v>107</v>
      </c>
      <c r="E156" t="s">
        <v>483</v>
      </c>
      <c r="F156">
        <v>13</v>
      </c>
      <c r="G156">
        <v>1965</v>
      </c>
      <c r="H156">
        <v>712</v>
      </c>
      <c r="I156">
        <v>0</v>
      </c>
      <c r="J156">
        <v>0</v>
      </c>
      <c r="K156">
        <v>0</v>
      </c>
    </row>
    <row r="157" spans="1:11">
      <c r="A157">
        <v>12020</v>
      </c>
      <c r="B157" t="s">
        <v>625</v>
      </c>
      <c r="C157" t="s">
        <v>538</v>
      </c>
      <c r="E157" t="s">
        <v>470</v>
      </c>
      <c r="F157">
        <v>20</v>
      </c>
      <c r="G157">
        <v>1962</v>
      </c>
      <c r="H157">
        <v>73</v>
      </c>
      <c r="I157">
        <v>24.064</v>
      </c>
      <c r="J157">
        <v>1645.2139999999999</v>
      </c>
      <c r="K157">
        <v>621</v>
      </c>
    </row>
    <row r="158" spans="1:11">
      <c r="A158">
        <v>13044</v>
      </c>
      <c r="B158" t="s">
        <v>1073</v>
      </c>
      <c r="C158" t="s">
        <v>507</v>
      </c>
      <c r="D158" t="s">
        <v>107</v>
      </c>
      <c r="E158" t="s">
        <v>470</v>
      </c>
      <c r="F158">
        <v>20</v>
      </c>
      <c r="G158">
        <v>1962</v>
      </c>
      <c r="H158">
        <v>116</v>
      </c>
      <c r="I158">
        <v>17.814</v>
      </c>
      <c r="J158">
        <v>1282.674</v>
      </c>
      <c r="K158">
        <v>556</v>
      </c>
    </row>
    <row r="159" spans="1:11">
      <c r="A159">
        <v>16142</v>
      </c>
      <c r="B159" t="s">
        <v>1394</v>
      </c>
      <c r="C159" t="s">
        <v>633</v>
      </c>
      <c r="E159" t="s">
        <v>474</v>
      </c>
      <c r="F159">
        <v>63</v>
      </c>
      <c r="G159">
        <v>1975</v>
      </c>
      <c r="H159">
        <v>356</v>
      </c>
      <c r="I159">
        <v>7.4379999999999997</v>
      </c>
      <c r="J159">
        <v>251.45</v>
      </c>
      <c r="K159">
        <v>0</v>
      </c>
    </row>
    <row r="160" spans="1:11">
      <c r="A160">
        <v>11046</v>
      </c>
      <c r="B160" t="s">
        <v>626</v>
      </c>
      <c r="C160" t="s">
        <v>586</v>
      </c>
      <c r="E160" t="s">
        <v>170</v>
      </c>
      <c r="F160">
        <v>14</v>
      </c>
      <c r="G160">
        <v>1985</v>
      </c>
      <c r="H160">
        <v>68</v>
      </c>
      <c r="I160">
        <v>26.314</v>
      </c>
      <c r="J160">
        <v>1697.7560000000001</v>
      </c>
      <c r="K160">
        <v>596</v>
      </c>
    </row>
    <row r="161" spans="1:11">
      <c r="A161">
        <v>13062</v>
      </c>
      <c r="B161" t="s">
        <v>1074</v>
      </c>
      <c r="C161" t="s">
        <v>880</v>
      </c>
      <c r="E161" t="s">
        <v>1065</v>
      </c>
      <c r="F161">
        <v>74</v>
      </c>
      <c r="G161">
        <v>1951</v>
      </c>
      <c r="H161">
        <v>191</v>
      </c>
      <c r="I161">
        <v>10.688000000000001</v>
      </c>
      <c r="J161">
        <v>739.69500000000005</v>
      </c>
      <c r="K161">
        <v>299</v>
      </c>
    </row>
    <row r="162" spans="1:11">
      <c r="A162">
        <v>12068</v>
      </c>
      <c r="B162" t="s">
        <v>1074</v>
      </c>
      <c r="C162" t="s">
        <v>538</v>
      </c>
      <c r="E162" t="s">
        <v>1065</v>
      </c>
      <c r="F162">
        <v>74</v>
      </c>
      <c r="G162">
        <v>1974</v>
      </c>
      <c r="H162">
        <v>177</v>
      </c>
      <c r="I162">
        <v>11.938000000000001</v>
      </c>
      <c r="J162">
        <v>799.42100000000005</v>
      </c>
      <c r="K162">
        <v>299</v>
      </c>
    </row>
    <row r="163" spans="1:11">
      <c r="A163">
        <v>16034</v>
      </c>
      <c r="B163" t="s">
        <v>1207</v>
      </c>
      <c r="C163" t="s">
        <v>538</v>
      </c>
      <c r="E163" t="s">
        <v>155</v>
      </c>
      <c r="F163">
        <v>22</v>
      </c>
      <c r="G163">
        <v>1970</v>
      </c>
      <c r="H163">
        <v>713</v>
      </c>
      <c r="I163">
        <v>0</v>
      </c>
      <c r="J163">
        <v>0</v>
      </c>
      <c r="K163">
        <v>0</v>
      </c>
    </row>
    <row r="164" spans="1:11">
      <c r="A164">
        <v>20512</v>
      </c>
      <c r="B164" t="s">
        <v>1600</v>
      </c>
      <c r="C164" t="s">
        <v>553</v>
      </c>
      <c r="E164" t="s">
        <v>1067</v>
      </c>
      <c r="F164">
        <v>66</v>
      </c>
      <c r="G164">
        <v>1991</v>
      </c>
      <c r="H164">
        <v>422</v>
      </c>
      <c r="I164">
        <v>3.7189999999999999</v>
      </c>
      <c r="J164">
        <v>178.047</v>
      </c>
      <c r="K164">
        <v>44</v>
      </c>
    </row>
    <row r="165" spans="1:11">
      <c r="A165">
        <v>23131</v>
      </c>
      <c r="B165" t="s">
        <v>628</v>
      </c>
      <c r="C165" t="s">
        <v>550</v>
      </c>
      <c r="E165" t="s">
        <v>163</v>
      </c>
      <c r="F165">
        <v>43</v>
      </c>
      <c r="G165">
        <v>1954</v>
      </c>
      <c r="H165">
        <v>60</v>
      </c>
      <c r="I165">
        <v>27.5</v>
      </c>
      <c r="J165">
        <v>1740.46</v>
      </c>
      <c r="K165">
        <v>583</v>
      </c>
    </row>
    <row r="166" spans="1:11">
      <c r="A166">
        <v>11010</v>
      </c>
      <c r="B166" t="s">
        <v>629</v>
      </c>
      <c r="C166" t="s">
        <v>531</v>
      </c>
      <c r="E166" t="s">
        <v>1055</v>
      </c>
      <c r="F166">
        <v>44</v>
      </c>
      <c r="G166">
        <v>1992</v>
      </c>
      <c r="H166">
        <v>714</v>
      </c>
      <c r="I166">
        <v>0</v>
      </c>
      <c r="J166">
        <v>0</v>
      </c>
      <c r="K166">
        <v>0</v>
      </c>
    </row>
    <row r="167" spans="1:11">
      <c r="A167">
        <v>11009</v>
      </c>
      <c r="B167" t="s">
        <v>629</v>
      </c>
      <c r="C167" t="s">
        <v>504</v>
      </c>
      <c r="E167" t="s">
        <v>1055</v>
      </c>
      <c r="F167">
        <v>44</v>
      </c>
      <c r="G167">
        <v>1959</v>
      </c>
      <c r="H167">
        <v>53</v>
      </c>
      <c r="I167">
        <v>22.954000000000001</v>
      </c>
      <c r="J167">
        <v>1789.548</v>
      </c>
      <c r="K167">
        <v>787</v>
      </c>
    </row>
    <row r="168" spans="1:11">
      <c r="A168">
        <v>22017</v>
      </c>
      <c r="B168" t="s">
        <v>630</v>
      </c>
      <c r="C168" t="s">
        <v>631</v>
      </c>
      <c r="E168" t="s">
        <v>198</v>
      </c>
      <c r="F168">
        <v>17</v>
      </c>
      <c r="G168">
        <v>1970</v>
      </c>
      <c r="H168">
        <v>716</v>
      </c>
      <c r="I168">
        <v>0</v>
      </c>
      <c r="J168">
        <v>0</v>
      </c>
      <c r="K168">
        <v>0</v>
      </c>
    </row>
    <row r="169" spans="1:11">
      <c r="A169">
        <v>12001</v>
      </c>
      <c r="B169" t="s">
        <v>630</v>
      </c>
      <c r="C169" t="s">
        <v>632</v>
      </c>
      <c r="D169" t="s">
        <v>91</v>
      </c>
      <c r="E169" t="s">
        <v>198</v>
      </c>
      <c r="F169">
        <v>17</v>
      </c>
      <c r="G169">
        <v>2003</v>
      </c>
      <c r="H169">
        <v>715</v>
      </c>
      <c r="I169">
        <v>0</v>
      </c>
      <c r="J169">
        <v>0</v>
      </c>
      <c r="K169">
        <v>0</v>
      </c>
    </row>
    <row r="170" spans="1:11">
      <c r="A170">
        <v>18084</v>
      </c>
      <c r="B170" t="s">
        <v>1075</v>
      </c>
      <c r="C170" t="s">
        <v>504</v>
      </c>
      <c r="E170" t="s">
        <v>1467</v>
      </c>
      <c r="F170">
        <v>89</v>
      </c>
      <c r="G170">
        <v>1964</v>
      </c>
      <c r="H170">
        <v>404</v>
      </c>
      <c r="I170">
        <v>6.5629999999999997</v>
      </c>
      <c r="J170">
        <v>195.15700000000001</v>
      </c>
      <c r="K170">
        <v>33</v>
      </c>
    </row>
    <row r="171" spans="1:11">
      <c r="A171">
        <v>19037</v>
      </c>
      <c r="B171" t="s">
        <v>1601</v>
      </c>
      <c r="C171" t="s">
        <v>651</v>
      </c>
      <c r="E171" t="s">
        <v>1067</v>
      </c>
      <c r="F171">
        <v>66</v>
      </c>
      <c r="G171">
        <v>1971</v>
      </c>
      <c r="H171">
        <v>219</v>
      </c>
      <c r="I171">
        <v>12.750999999999999</v>
      </c>
      <c r="J171">
        <v>604.93399999999997</v>
      </c>
      <c r="K171">
        <v>158</v>
      </c>
    </row>
    <row r="172" spans="1:11">
      <c r="A172">
        <v>18046</v>
      </c>
      <c r="B172" t="s">
        <v>1602</v>
      </c>
      <c r="C172" t="s">
        <v>1480</v>
      </c>
      <c r="E172" t="s">
        <v>481</v>
      </c>
      <c r="F172">
        <v>69</v>
      </c>
      <c r="G172">
        <v>1974</v>
      </c>
      <c r="H172">
        <v>282</v>
      </c>
      <c r="I172">
        <v>9.4689999999999994</v>
      </c>
      <c r="J172">
        <v>405.85399999999998</v>
      </c>
      <c r="K172">
        <v>111</v>
      </c>
    </row>
    <row r="173" spans="1:11">
      <c r="A173">
        <v>18047</v>
      </c>
      <c r="B173" t="s">
        <v>1602</v>
      </c>
      <c r="C173" t="s">
        <v>1481</v>
      </c>
      <c r="D173" t="s">
        <v>107</v>
      </c>
      <c r="E173" t="s">
        <v>481</v>
      </c>
      <c r="F173">
        <v>69</v>
      </c>
      <c r="G173">
        <v>1977</v>
      </c>
      <c r="H173">
        <v>230</v>
      </c>
      <c r="I173">
        <v>8.125</v>
      </c>
      <c r="J173">
        <v>553.64200000000005</v>
      </c>
      <c r="K173">
        <v>282</v>
      </c>
    </row>
    <row r="174" spans="1:11">
      <c r="A174">
        <v>20583</v>
      </c>
      <c r="B174" t="s">
        <v>1603</v>
      </c>
      <c r="C174" t="s">
        <v>538</v>
      </c>
      <c r="E174" t="s">
        <v>1578</v>
      </c>
      <c r="F174">
        <v>95</v>
      </c>
      <c r="G174">
        <v>1971</v>
      </c>
      <c r="H174">
        <v>717</v>
      </c>
      <c r="I174">
        <v>0</v>
      </c>
      <c r="J174">
        <v>0</v>
      </c>
      <c r="K174">
        <v>0</v>
      </c>
    </row>
    <row r="175" spans="1:11">
      <c r="A175">
        <v>20602</v>
      </c>
      <c r="B175" t="s">
        <v>1603</v>
      </c>
      <c r="C175" t="s">
        <v>802</v>
      </c>
      <c r="E175" t="s">
        <v>1578</v>
      </c>
      <c r="F175">
        <v>95</v>
      </c>
      <c r="G175">
        <v>1970</v>
      </c>
      <c r="H175">
        <v>718</v>
      </c>
      <c r="I175">
        <v>0</v>
      </c>
      <c r="J175">
        <v>0</v>
      </c>
      <c r="K175">
        <v>0</v>
      </c>
    </row>
    <row r="176" spans="1:11">
      <c r="A176">
        <v>20590</v>
      </c>
      <c r="B176" t="s">
        <v>1604</v>
      </c>
      <c r="C176" t="s">
        <v>588</v>
      </c>
      <c r="D176" t="s">
        <v>107</v>
      </c>
      <c r="E176" t="s">
        <v>1578</v>
      </c>
      <c r="F176">
        <v>95</v>
      </c>
      <c r="G176">
        <v>1975</v>
      </c>
      <c r="H176">
        <v>719</v>
      </c>
      <c r="I176">
        <v>0</v>
      </c>
      <c r="J176">
        <v>0</v>
      </c>
      <c r="K176">
        <v>0</v>
      </c>
    </row>
    <row r="177" spans="1:11">
      <c r="A177">
        <v>20597</v>
      </c>
      <c r="B177" t="s">
        <v>1605</v>
      </c>
      <c r="C177" t="s">
        <v>747</v>
      </c>
      <c r="E177" t="s">
        <v>1578</v>
      </c>
      <c r="F177">
        <v>95</v>
      </c>
      <c r="G177">
        <v>1964</v>
      </c>
      <c r="H177">
        <v>720</v>
      </c>
      <c r="I177">
        <v>0</v>
      </c>
      <c r="J177">
        <v>0</v>
      </c>
      <c r="K177">
        <v>0</v>
      </c>
    </row>
    <row r="178" spans="1:11">
      <c r="A178">
        <v>17099</v>
      </c>
      <c r="B178" t="s">
        <v>1482</v>
      </c>
      <c r="C178" t="s">
        <v>521</v>
      </c>
      <c r="E178" t="s">
        <v>1393</v>
      </c>
      <c r="F178">
        <v>86</v>
      </c>
      <c r="G178">
        <v>1988</v>
      </c>
      <c r="H178">
        <v>721</v>
      </c>
      <c r="I178">
        <v>0</v>
      </c>
      <c r="J178">
        <v>0</v>
      </c>
      <c r="K178">
        <v>0</v>
      </c>
    </row>
    <row r="179" spans="1:11">
      <c r="A179">
        <v>12086</v>
      </c>
      <c r="B179" t="s">
        <v>1076</v>
      </c>
      <c r="C179" t="s">
        <v>531</v>
      </c>
      <c r="E179" t="s">
        <v>487</v>
      </c>
      <c r="F179">
        <v>64</v>
      </c>
      <c r="G179">
        <v>1976</v>
      </c>
      <c r="H179">
        <v>20</v>
      </c>
      <c r="I179">
        <v>33.875</v>
      </c>
      <c r="J179">
        <v>2409.5329999999999</v>
      </c>
      <c r="K179">
        <v>954</v>
      </c>
    </row>
    <row r="180" spans="1:11">
      <c r="A180">
        <v>16120</v>
      </c>
      <c r="B180" t="s">
        <v>1076</v>
      </c>
      <c r="C180" t="s">
        <v>606</v>
      </c>
      <c r="D180" t="s">
        <v>91</v>
      </c>
      <c r="E180" t="s">
        <v>1179</v>
      </c>
      <c r="F180">
        <v>79</v>
      </c>
      <c r="G180">
        <v>2009</v>
      </c>
      <c r="H180">
        <v>142</v>
      </c>
      <c r="I180">
        <v>17.721</v>
      </c>
      <c r="J180">
        <v>1028.2670000000001</v>
      </c>
      <c r="K180">
        <v>259</v>
      </c>
    </row>
    <row r="181" spans="1:11">
      <c r="A181">
        <v>14074</v>
      </c>
      <c r="B181" t="s">
        <v>1208</v>
      </c>
      <c r="C181" t="s">
        <v>572</v>
      </c>
      <c r="D181" t="s">
        <v>107</v>
      </c>
      <c r="E181" t="s">
        <v>470</v>
      </c>
      <c r="F181">
        <v>20</v>
      </c>
      <c r="G181">
        <v>1974</v>
      </c>
      <c r="H181">
        <v>18</v>
      </c>
      <c r="I181">
        <v>29.375</v>
      </c>
      <c r="J181">
        <v>2487.203</v>
      </c>
      <c r="K181">
        <v>1201</v>
      </c>
    </row>
    <row r="182" spans="1:11">
      <c r="A182">
        <v>14075</v>
      </c>
      <c r="B182" t="s">
        <v>1208</v>
      </c>
      <c r="C182" t="s">
        <v>588</v>
      </c>
      <c r="D182" t="s">
        <v>107</v>
      </c>
      <c r="E182" t="s">
        <v>470</v>
      </c>
      <c r="F182">
        <v>20</v>
      </c>
      <c r="G182">
        <v>1999</v>
      </c>
      <c r="H182">
        <v>13</v>
      </c>
      <c r="I182">
        <v>46.75</v>
      </c>
      <c r="J182">
        <v>2590.7330000000002</v>
      </c>
      <c r="K182">
        <v>776</v>
      </c>
    </row>
    <row r="183" spans="1:11">
      <c r="A183">
        <v>16013</v>
      </c>
      <c r="B183" t="s">
        <v>1209</v>
      </c>
      <c r="C183" t="s">
        <v>538</v>
      </c>
      <c r="E183" t="s">
        <v>1179</v>
      </c>
      <c r="F183">
        <v>79</v>
      </c>
      <c r="G183">
        <v>1988</v>
      </c>
      <c r="H183">
        <v>722</v>
      </c>
      <c r="I183">
        <v>0</v>
      </c>
      <c r="J183">
        <v>0</v>
      </c>
      <c r="K183">
        <v>0</v>
      </c>
    </row>
    <row r="184" spans="1:11">
      <c r="A184">
        <v>20581</v>
      </c>
      <c r="B184" t="s">
        <v>1606</v>
      </c>
      <c r="C184" t="s">
        <v>725</v>
      </c>
      <c r="E184" t="s">
        <v>1574</v>
      </c>
      <c r="F184">
        <v>94</v>
      </c>
      <c r="G184">
        <v>1977</v>
      </c>
      <c r="H184">
        <v>724</v>
      </c>
      <c r="I184">
        <v>0</v>
      </c>
      <c r="J184">
        <v>0</v>
      </c>
      <c r="K184">
        <v>0</v>
      </c>
    </row>
    <row r="185" spans="1:11">
      <c r="A185">
        <v>20580</v>
      </c>
      <c r="B185" t="s">
        <v>1606</v>
      </c>
      <c r="C185" t="s">
        <v>1555</v>
      </c>
      <c r="D185" t="s">
        <v>91</v>
      </c>
      <c r="E185" t="s">
        <v>1574</v>
      </c>
      <c r="F185">
        <v>94</v>
      </c>
      <c r="G185">
        <v>2009</v>
      </c>
      <c r="H185">
        <v>723</v>
      </c>
      <c r="I185">
        <v>0</v>
      </c>
      <c r="J185">
        <v>0</v>
      </c>
      <c r="K185">
        <v>0</v>
      </c>
    </row>
    <row r="186" spans="1:11">
      <c r="A186">
        <v>10034</v>
      </c>
      <c r="B186" t="s">
        <v>634</v>
      </c>
      <c r="C186" t="s">
        <v>519</v>
      </c>
      <c r="E186" t="s">
        <v>635</v>
      </c>
      <c r="F186">
        <v>68</v>
      </c>
      <c r="G186">
        <v>1959</v>
      </c>
      <c r="H186">
        <v>254</v>
      </c>
      <c r="I186">
        <v>5.875</v>
      </c>
      <c r="J186">
        <v>463.43400000000003</v>
      </c>
      <c r="K186">
        <v>233</v>
      </c>
    </row>
    <row r="187" spans="1:11">
      <c r="A187">
        <v>10035</v>
      </c>
      <c r="B187" t="s">
        <v>636</v>
      </c>
      <c r="C187" t="s">
        <v>638</v>
      </c>
      <c r="D187" t="s">
        <v>107</v>
      </c>
      <c r="E187" t="s">
        <v>635</v>
      </c>
      <c r="F187">
        <v>68</v>
      </c>
      <c r="G187">
        <v>1959</v>
      </c>
      <c r="H187">
        <v>292</v>
      </c>
      <c r="I187">
        <v>2.875</v>
      </c>
      <c r="J187">
        <v>361.62200000000001</v>
      </c>
      <c r="K187">
        <v>233</v>
      </c>
    </row>
    <row r="188" spans="1:11">
      <c r="A188">
        <v>24218</v>
      </c>
      <c r="B188" t="s">
        <v>639</v>
      </c>
      <c r="C188" t="s">
        <v>538</v>
      </c>
      <c r="E188" t="s">
        <v>489</v>
      </c>
      <c r="F188">
        <v>51</v>
      </c>
      <c r="G188">
        <v>1969</v>
      </c>
      <c r="H188">
        <v>16</v>
      </c>
      <c r="I188">
        <v>31.937999999999999</v>
      </c>
      <c r="J188">
        <v>2497.3270000000002</v>
      </c>
      <c r="K188">
        <v>1101</v>
      </c>
    </row>
    <row r="189" spans="1:11">
      <c r="A189">
        <v>10069</v>
      </c>
      <c r="B189" t="s">
        <v>640</v>
      </c>
      <c r="C189" t="s">
        <v>511</v>
      </c>
      <c r="E189" t="s">
        <v>1056</v>
      </c>
      <c r="F189">
        <v>61</v>
      </c>
      <c r="G189">
        <v>1983</v>
      </c>
      <c r="H189">
        <v>601</v>
      </c>
      <c r="I189">
        <v>1.3440000000000001</v>
      </c>
      <c r="J189">
        <v>33.027000000000001</v>
      </c>
      <c r="K189">
        <v>0</v>
      </c>
    </row>
    <row r="190" spans="1:11">
      <c r="A190">
        <v>15032</v>
      </c>
      <c r="B190" t="s">
        <v>1607</v>
      </c>
      <c r="C190" t="s">
        <v>681</v>
      </c>
      <c r="E190" t="s">
        <v>542</v>
      </c>
      <c r="F190">
        <v>73</v>
      </c>
      <c r="G190">
        <v>1942</v>
      </c>
      <c r="H190">
        <v>440</v>
      </c>
      <c r="I190">
        <v>2.5619999999999998</v>
      </c>
      <c r="J190">
        <v>151.798</v>
      </c>
      <c r="K190">
        <v>43</v>
      </c>
    </row>
    <row r="191" spans="1:11">
      <c r="A191">
        <v>15031</v>
      </c>
      <c r="B191" t="s">
        <v>1608</v>
      </c>
      <c r="C191" t="s">
        <v>717</v>
      </c>
      <c r="D191" t="s">
        <v>107</v>
      </c>
      <c r="E191" t="s">
        <v>542</v>
      </c>
      <c r="F191">
        <v>73</v>
      </c>
      <c r="G191">
        <v>1947</v>
      </c>
      <c r="H191">
        <v>381</v>
      </c>
      <c r="I191">
        <v>3.6560000000000001</v>
      </c>
      <c r="J191">
        <v>224.22200000000001</v>
      </c>
      <c r="K191">
        <v>65</v>
      </c>
    </row>
    <row r="192" spans="1:11">
      <c r="A192">
        <v>97290</v>
      </c>
      <c r="B192" t="s">
        <v>641</v>
      </c>
      <c r="C192" t="s">
        <v>531</v>
      </c>
      <c r="E192" t="s">
        <v>156</v>
      </c>
      <c r="F192">
        <v>6</v>
      </c>
      <c r="G192">
        <v>1970</v>
      </c>
      <c r="H192">
        <v>725</v>
      </c>
      <c r="I192">
        <v>0</v>
      </c>
      <c r="J192">
        <v>0</v>
      </c>
      <c r="K192">
        <v>0</v>
      </c>
    </row>
    <row r="193" spans="1:11">
      <c r="A193">
        <v>16056</v>
      </c>
      <c r="B193" t="s">
        <v>1210</v>
      </c>
      <c r="C193" t="s">
        <v>541</v>
      </c>
      <c r="E193" t="s">
        <v>1188</v>
      </c>
      <c r="F193">
        <v>82</v>
      </c>
      <c r="G193">
        <v>1966</v>
      </c>
      <c r="H193">
        <v>610</v>
      </c>
      <c r="I193">
        <v>1.375</v>
      </c>
      <c r="J193">
        <v>27.786000000000001</v>
      </c>
      <c r="K193">
        <v>0</v>
      </c>
    </row>
    <row r="194" spans="1:11">
      <c r="A194">
        <v>10008</v>
      </c>
      <c r="B194" t="s">
        <v>642</v>
      </c>
      <c r="C194" t="s">
        <v>643</v>
      </c>
      <c r="E194" t="s">
        <v>1067</v>
      </c>
      <c r="F194">
        <v>66</v>
      </c>
      <c r="G194">
        <v>1968</v>
      </c>
      <c r="H194">
        <v>225</v>
      </c>
      <c r="I194">
        <v>12.422000000000001</v>
      </c>
      <c r="J194">
        <v>584.54300000000001</v>
      </c>
      <c r="K194">
        <v>140</v>
      </c>
    </row>
    <row r="195" spans="1:11">
      <c r="A195">
        <v>13048</v>
      </c>
      <c r="B195" t="s">
        <v>1077</v>
      </c>
      <c r="C195" t="s">
        <v>638</v>
      </c>
      <c r="D195" t="s">
        <v>107</v>
      </c>
      <c r="E195" t="s">
        <v>1067</v>
      </c>
      <c r="F195">
        <v>66</v>
      </c>
      <c r="G195">
        <v>1970</v>
      </c>
      <c r="H195">
        <v>726</v>
      </c>
      <c r="I195">
        <v>0</v>
      </c>
      <c r="J195">
        <v>0</v>
      </c>
      <c r="K195">
        <v>0</v>
      </c>
    </row>
    <row r="196" spans="1:11">
      <c r="A196">
        <v>13070</v>
      </c>
      <c r="B196" t="s">
        <v>1211</v>
      </c>
      <c r="C196" t="s">
        <v>1101</v>
      </c>
      <c r="D196" t="s">
        <v>107</v>
      </c>
      <c r="E196" t="s">
        <v>1573</v>
      </c>
      <c r="F196">
        <v>16</v>
      </c>
      <c r="G196">
        <v>1981</v>
      </c>
      <c r="H196">
        <v>727</v>
      </c>
      <c r="I196">
        <v>0</v>
      </c>
      <c r="J196">
        <v>0</v>
      </c>
      <c r="K196">
        <v>0</v>
      </c>
    </row>
    <row r="197" spans="1:11">
      <c r="A197">
        <v>16072</v>
      </c>
      <c r="B197" t="s">
        <v>1212</v>
      </c>
      <c r="C197" t="s">
        <v>595</v>
      </c>
      <c r="D197" t="s">
        <v>107</v>
      </c>
      <c r="E197" t="s">
        <v>1473</v>
      </c>
      <c r="F197">
        <v>87</v>
      </c>
      <c r="G197">
        <v>1947</v>
      </c>
      <c r="H197">
        <v>311</v>
      </c>
      <c r="I197">
        <v>5.2039999999999997</v>
      </c>
      <c r="J197">
        <v>332.76</v>
      </c>
      <c r="K197">
        <v>127</v>
      </c>
    </row>
    <row r="198" spans="1:11">
      <c r="A198">
        <v>18106</v>
      </c>
      <c r="B198" t="s">
        <v>1483</v>
      </c>
      <c r="C198" t="s">
        <v>1484</v>
      </c>
      <c r="D198" t="s">
        <v>91</v>
      </c>
      <c r="E198" t="s">
        <v>484</v>
      </c>
      <c r="F198">
        <v>21</v>
      </c>
      <c r="G198">
        <v>2007</v>
      </c>
      <c r="H198">
        <v>530</v>
      </c>
      <c r="I198">
        <v>0.93799999999999994</v>
      </c>
      <c r="J198">
        <v>75.941999999999993</v>
      </c>
      <c r="K198">
        <v>34</v>
      </c>
    </row>
    <row r="199" spans="1:11">
      <c r="A199">
        <v>96162</v>
      </c>
      <c r="B199" t="s">
        <v>644</v>
      </c>
      <c r="C199" t="s">
        <v>557</v>
      </c>
      <c r="E199" t="s">
        <v>1078</v>
      </c>
      <c r="F199">
        <v>5</v>
      </c>
      <c r="G199">
        <v>1963</v>
      </c>
      <c r="H199">
        <v>224</v>
      </c>
      <c r="I199">
        <v>17.312999999999999</v>
      </c>
      <c r="J199">
        <v>590.31200000000001</v>
      </c>
      <c r="K199">
        <v>0</v>
      </c>
    </row>
    <row r="200" spans="1:11">
      <c r="A200">
        <v>96163</v>
      </c>
      <c r="B200" t="s">
        <v>645</v>
      </c>
      <c r="C200" t="s">
        <v>646</v>
      </c>
      <c r="D200" t="s">
        <v>107</v>
      </c>
      <c r="E200" t="s">
        <v>1078</v>
      </c>
      <c r="F200">
        <v>5</v>
      </c>
      <c r="G200">
        <v>1963</v>
      </c>
      <c r="H200">
        <v>237</v>
      </c>
      <c r="I200">
        <v>14.532</v>
      </c>
      <c r="J200">
        <v>511.14100000000002</v>
      </c>
      <c r="K200">
        <v>0</v>
      </c>
    </row>
    <row r="201" spans="1:11">
      <c r="A201">
        <v>20568</v>
      </c>
      <c r="B201" t="s">
        <v>1609</v>
      </c>
      <c r="C201" t="s">
        <v>1610</v>
      </c>
      <c r="D201" t="s">
        <v>107</v>
      </c>
      <c r="E201" t="s">
        <v>481</v>
      </c>
      <c r="F201">
        <v>69</v>
      </c>
      <c r="G201">
        <v>1951</v>
      </c>
      <c r="H201">
        <v>570</v>
      </c>
      <c r="I201">
        <v>0.875</v>
      </c>
      <c r="J201">
        <v>52.923999999999999</v>
      </c>
      <c r="K201">
        <v>19</v>
      </c>
    </row>
    <row r="202" spans="1:11">
      <c r="A202">
        <v>11050</v>
      </c>
      <c r="B202" t="s">
        <v>647</v>
      </c>
      <c r="C202" t="s">
        <v>572</v>
      </c>
      <c r="D202" t="s">
        <v>107</v>
      </c>
      <c r="E202" t="s">
        <v>487</v>
      </c>
      <c r="F202">
        <v>64</v>
      </c>
      <c r="G202">
        <v>1976</v>
      </c>
      <c r="H202">
        <v>131</v>
      </c>
      <c r="I202">
        <v>14.468999999999999</v>
      </c>
      <c r="J202">
        <v>1136.9849999999999</v>
      </c>
      <c r="K202">
        <v>526</v>
      </c>
    </row>
    <row r="203" spans="1:11">
      <c r="A203">
        <v>96217</v>
      </c>
      <c r="B203" t="s">
        <v>647</v>
      </c>
      <c r="C203" t="s">
        <v>648</v>
      </c>
      <c r="E203" t="s">
        <v>487</v>
      </c>
      <c r="F203">
        <v>64</v>
      </c>
      <c r="G203">
        <v>1949</v>
      </c>
      <c r="H203">
        <v>106</v>
      </c>
      <c r="I203">
        <v>19.72</v>
      </c>
      <c r="J203">
        <v>1341.0250000000001</v>
      </c>
      <c r="K203">
        <v>526</v>
      </c>
    </row>
    <row r="204" spans="1:11">
      <c r="A204">
        <v>25054</v>
      </c>
      <c r="B204" t="s">
        <v>649</v>
      </c>
      <c r="C204" t="s">
        <v>531</v>
      </c>
      <c r="E204" t="s">
        <v>1045</v>
      </c>
      <c r="F204">
        <v>56</v>
      </c>
      <c r="G204">
        <v>1953</v>
      </c>
      <c r="H204">
        <v>157</v>
      </c>
      <c r="I204">
        <v>21.876000000000001</v>
      </c>
      <c r="J204">
        <v>924.12599999999998</v>
      </c>
      <c r="K204">
        <v>182</v>
      </c>
    </row>
    <row r="205" spans="1:11">
      <c r="A205">
        <v>26022</v>
      </c>
      <c r="B205" t="s">
        <v>649</v>
      </c>
      <c r="C205" t="s">
        <v>511</v>
      </c>
      <c r="E205" t="s">
        <v>1045</v>
      </c>
      <c r="F205">
        <v>56</v>
      </c>
      <c r="G205">
        <v>1976</v>
      </c>
      <c r="H205">
        <v>728</v>
      </c>
      <c r="I205">
        <v>0</v>
      </c>
      <c r="J205">
        <v>0</v>
      </c>
      <c r="K205">
        <v>0</v>
      </c>
    </row>
    <row r="206" spans="1:11">
      <c r="A206">
        <v>28006</v>
      </c>
      <c r="B206" t="s">
        <v>650</v>
      </c>
      <c r="C206" t="s">
        <v>531</v>
      </c>
      <c r="E206" t="s">
        <v>198</v>
      </c>
      <c r="F206">
        <v>17</v>
      </c>
      <c r="G206">
        <v>1992</v>
      </c>
      <c r="H206">
        <v>36</v>
      </c>
      <c r="I206">
        <v>23.469000000000001</v>
      </c>
      <c r="J206">
        <v>2028.65</v>
      </c>
      <c r="K206">
        <v>977</v>
      </c>
    </row>
    <row r="207" spans="1:11">
      <c r="A207">
        <v>14021</v>
      </c>
      <c r="B207" t="s">
        <v>650</v>
      </c>
      <c r="C207" t="s">
        <v>651</v>
      </c>
      <c r="E207" t="s">
        <v>216</v>
      </c>
      <c r="F207">
        <v>33</v>
      </c>
      <c r="G207">
        <v>1969</v>
      </c>
      <c r="H207">
        <v>303</v>
      </c>
      <c r="I207">
        <v>7.907</v>
      </c>
      <c r="J207">
        <v>338.86</v>
      </c>
      <c r="K207">
        <v>57</v>
      </c>
    </row>
    <row r="208" spans="1:11">
      <c r="A208">
        <v>17097</v>
      </c>
      <c r="B208" t="s">
        <v>1485</v>
      </c>
      <c r="C208" t="s">
        <v>1486</v>
      </c>
      <c r="E208" t="s">
        <v>1179</v>
      </c>
      <c r="F208">
        <v>79</v>
      </c>
      <c r="G208">
        <v>1989</v>
      </c>
      <c r="H208">
        <v>125</v>
      </c>
      <c r="I208">
        <v>17.766999999999999</v>
      </c>
      <c r="J208">
        <v>1199.3510000000001</v>
      </c>
      <c r="K208">
        <v>499</v>
      </c>
    </row>
    <row r="209" spans="1:11">
      <c r="A209">
        <v>11019</v>
      </c>
      <c r="B209" t="s">
        <v>652</v>
      </c>
      <c r="C209" t="s">
        <v>503</v>
      </c>
      <c r="E209" t="s">
        <v>582</v>
      </c>
      <c r="F209">
        <v>45</v>
      </c>
      <c r="G209">
        <v>1950</v>
      </c>
      <c r="H209">
        <v>620</v>
      </c>
      <c r="I209">
        <v>0.46899999999999997</v>
      </c>
      <c r="J209">
        <v>19.335999999999999</v>
      </c>
      <c r="K209">
        <v>0</v>
      </c>
    </row>
    <row r="210" spans="1:11">
      <c r="A210">
        <v>18010</v>
      </c>
      <c r="B210" t="s">
        <v>652</v>
      </c>
      <c r="C210" t="s">
        <v>538</v>
      </c>
      <c r="E210" t="s">
        <v>1473</v>
      </c>
      <c r="F210">
        <v>87</v>
      </c>
      <c r="G210">
        <v>1948</v>
      </c>
      <c r="H210">
        <v>368</v>
      </c>
      <c r="I210">
        <v>4.7190000000000003</v>
      </c>
      <c r="J210">
        <v>239.03</v>
      </c>
      <c r="K210">
        <v>72</v>
      </c>
    </row>
    <row r="211" spans="1:11">
      <c r="A211">
        <v>18011</v>
      </c>
      <c r="B211" t="s">
        <v>1213</v>
      </c>
      <c r="C211" t="s">
        <v>595</v>
      </c>
      <c r="D211" t="s">
        <v>107</v>
      </c>
      <c r="E211" t="s">
        <v>1473</v>
      </c>
      <c r="F211">
        <v>87</v>
      </c>
      <c r="G211">
        <v>1950</v>
      </c>
      <c r="H211">
        <v>395</v>
      </c>
      <c r="I211">
        <v>4.0629999999999997</v>
      </c>
      <c r="J211">
        <v>208.50899999999999</v>
      </c>
      <c r="K211">
        <v>72</v>
      </c>
    </row>
    <row r="212" spans="1:11">
      <c r="A212">
        <v>18069</v>
      </c>
      <c r="B212" t="s">
        <v>1487</v>
      </c>
      <c r="C212" t="s">
        <v>531</v>
      </c>
      <c r="E212" t="s">
        <v>1488</v>
      </c>
      <c r="F212">
        <v>88</v>
      </c>
      <c r="G212">
        <v>1978</v>
      </c>
      <c r="H212">
        <v>548</v>
      </c>
      <c r="I212">
        <v>2.5</v>
      </c>
      <c r="J212">
        <v>64.474999999999994</v>
      </c>
      <c r="K212">
        <v>0</v>
      </c>
    </row>
    <row r="213" spans="1:11">
      <c r="A213">
        <v>18068</v>
      </c>
      <c r="B213" t="s">
        <v>1489</v>
      </c>
      <c r="C213" t="s">
        <v>1490</v>
      </c>
      <c r="D213" t="s">
        <v>107</v>
      </c>
      <c r="E213" t="s">
        <v>1488</v>
      </c>
      <c r="F213">
        <v>88</v>
      </c>
      <c r="G213">
        <v>1982</v>
      </c>
      <c r="H213">
        <v>398</v>
      </c>
      <c r="I213">
        <v>4.8129999999999997</v>
      </c>
      <c r="J213">
        <v>204.07300000000001</v>
      </c>
      <c r="K213">
        <v>34</v>
      </c>
    </row>
    <row r="214" spans="1:11">
      <c r="A214">
        <v>15059</v>
      </c>
      <c r="B214" t="s">
        <v>1214</v>
      </c>
      <c r="C214" t="s">
        <v>559</v>
      </c>
      <c r="E214" t="s">
        <v>472</v>
      </c>
      <c r="F214">
        <v>54</v>
      </c>
      <c r="G214">
        <v>1959</v>
      </c>
      <c r="H214">
        <v>187</v>
      </c>
      <c r="I214">
        <v>9.875</v>
      </c>
      <c r="J214">
        <v>751.351</v>
      </c>
      <c r="K214">
        <v>320</v>
      </c>
    </row>
    <row r="215" spans="1:11">
      <c r="A215">
        <v>99594</v>
      </c>
      <c r="B215" t="s">
        <v>653</v>
      </c>
      <c r="C215" t="s">
        <v>503</v>
      </c>
      <c r="E215" t="s">
        <v>200</v>
      </c>
      <c r="F215">
        <v>19</v>
      </c>
      <c r="G215">
        <v>1960</v>
      </c>
      <c r="H215">
        <v>185</v>
      </c>
      <c r="I215">
        <v>13.563000000000001</v>
      </c>
      <c r="J215">
        <v>772.70699999999999</v>
      </c>
      <c r="K215">
        <v>326</v>
      </c>
    </row>
    <row r="216" spans="1:11">
      <c r="A216">
        <v>15024</v>
      </c>
      <c r="B216" t="s">
        <v>1215</v>
      </c>
      <c r="C216" t="s">
        <v>1216</v>
      </c>
      <c r="E216" t="s">
        <v>548</v>
      </c>
      <c r="F216">
        <v>67</v>
      </c>
      <c r="G216">
        <v>1959</v>
      </c>
      <c r="H216">
        <v>553</v>
      </c>
      <c r="I216">
        <v>0.93799999999999994</v>
      </c>
      <c r="J216">
        <v>62.347000000000001</v>
      </c>
      <c r="K216">
        <v>26</v>
      </c>
    </row>
    <row r="217" spans="1:11">
      <c r="A217">
        <v>24309</v>
      </c>
      <c r="B217" t="s">
        <v>654</v>
      </c>
      <c r="C217" t="s">
        <v>526</v>
      </c>
      <c r="E217" t="s">
        <v>1401</v>
      </c>
      <c r="F217">
        <v>85</v>
      </c>
      <c r="G217">
        <v>1985</v>
      </c>
      <c r="H217">
        <v>71</v>
      </c>
      <c r="I217">
        <v>27.5</v>
      </c>
      <c r="J217">
        <v>1662.6510000000001</v>
      </c>
      <c r="K217">
        <v>565</v>
      </c>
    </row>
    <row r="218" spans="1:11">
      <c r="A218">
        <v>24311</v>
      </c>
      <c r="B218" t="s">
        <v>654</v>
      </c>
      <c r="C218" t="s">
        <v>538</v>
      </c>
      <c r="E218" t="s">
        <v>1401</v>
      </c>
      <c r="F218">
        <v>85</v>
      </c>
      <c r="G218">
        <v>1989</v>
      </c>
      <c r="H218">
        <v>285</v>
      </c>
      <c r="I218">
        <v>8</v>
      </c>
      <c r="J218">
        <v>395.07499999999999</v>
      </c>
      <c r="K218">
        <v>119</v>
      </c>
    </row>
    <row r="219" spans="1:11">
      <c r="A219">
        <v>20588</v>
      </c>
      <c r="B219" t="s">
        <v>1611</v>
      </c>
      <c r="C219" t="s">
        <v>580</v>
      </c>
      <c r="D219" t="s">
        <v>91</v>
      </c>
      <c r="E219" t="s">
        <v>1578</v>
      </c>
      <c r="F219">
        <v>95</v>
      </c>
      <c r="G219">
        <v>2010</v>
      </c>
      <c r="H219">
        <v>729</v>
      </c>
      <c r="I219">
        <v>0</v>
      </c>
      <c r="J219">
        <v>0</v>
      </c>
      <c r="K219">
        <v>0</v>
      </c>
    </row>
    <row r="220" spans="1:11">
      <c r="A220">
        <v>16020</v>
      </c>
      <c r="B220" t="s">
        <v>1217</v>
      </c>
      <c r="C220" t="s">
        <v>559</v>
      </c>
      <c r="E220" t="s">
        <v>582</v>
      </c>
      <c r="F220">
        <v>45</v>
      </c>
      <c r="G220">
        <v>1968</v>
      </c>
      <c r="H220">
        <v>284</v>
      </c>
      <c r="I220">
        <v>8.8130000000000006</v>
      </c>
      <c r="J220">
        <v>403.48700000000002</v>
      </c>
      <c r="K220">
        <v>54</v>
      </c>
    </row>
    <row r="221" spans="1:11">
      <c r="A221">
        <v>15027</v>
      </c>
      <c r="B221" t="s">
        <v>1218</v>
      </c>
      <c r="C221" t="s">
        <v>550</v>
      </c>
      <c r="E221" t="s">
        <v>542</v>
      </c>
      <c r="F221">
        <v>73</v>
      </c>
      <c r="G221">
        <v>1951</v>
      </c>
      <c r="H221">
        <v>581</v>
      </c>
      <c r="I221">
        <v>0.96899999999999997</v>
      </c>
      <c r="J221">
        <v>46.984000000000002</v>
      </c>
      <c r="K221">
        <v>0</v>
      </c>
    </row>
    <row r="222" spans="1:11">
      <c r="A222">
        <v>18095</v>
      </c>
      <c r="B222" t="s">
        <v>1218</v>
      </c>
      <c r="C222" t="s">
        <v>559</v>
      </c>
      <c r="E222" t="s">
        <v>1612</v>
      </c>
      <c r="F222">
        <v>90</v>
      </c>
      <c r="G222">
        <v>1957</v>
      </c>
      <c r="H222">
        <v>563</v>
      </c>
      <c r="I222">
        <v>2.1869999999999998</v>
      </c>
      <c r="J222">
        <v>58.274000000000001</v>
      </c>
      <c r="K222">
        <v>0</v>
      </c>
    </row>
    <row r="223" spans="1:11">
      <c r="A223">
        <v>10021</v>
      </c>
      <c r="B223" t="s">
        <v>655</v>
      </c>
      <c r="C223" t="s">
        <v>559</v>
      </c>
      <c r="E223" t="s">
        <v>548</v>
      </c>
      <c r="F223">
        <v>67</v>
      </c>
      <c r="G223">
        <v>1964</v>
      </c>
      <c r="H223">
        <v>376</v>
      </c>
      <c r="I223">
        <v>3.7189999999999999</v>
      </c>
      <c r="J223">
        <v>230.976</v>
      </c>
      <c r="K223">
        <v>99</v>
      </c>
    </row>
    <row r="224" spans="1:11">
      <c r="A224">
        <v>17062</v>
      </c>
      <c r="B224" t="s">
        <v>1395</v>
      </c>
      <c r="C224" t="s">
        <v>586</v>
      </c>
      <c r="D224" t="s">
        <v>91</v>
      </c>
      <c r="E224" t="s">
        <v>1188</v>
      </c>
      <c r="F224">
        <v>82</v>
      </c>
      <c r="G224">
        <v>2004</v>
      </c>
      <c r="H224">
        <v>82</v>
      </c>
      <c r="I224">
        <v>24.937999999999999</v>
      </c>
      <c r="J224">
        <v>1584.0889999999999</v>
      </c>
      <c r="K224">
        <v>626</v>
      </c>
    </row>
    <row r="225" spans="1:11">
      <c r="A225">
        <v>18136</v>
      </c>
      <c r="B225" t="s">
        <v>1395</v>
      </c>
      <c r="C225" t="s">
        <v>504</v>
      </c>
      <c r="E225" t="s">
        <v>1188</v>
      </c>
      <c r="F225">
        <v>82</v>
      </c>
      <c r="G225">
        <v>1970</v>
      </c>
      <c r="H225">
        <v>121</v>
      </c>
      <c r="I225">
        <v>22.032</v>
      </c>
      <c r="J225">
        <v>1240.758</v>
      </c>
      <c r="K225">
        <v>402</v>
      </c>
    </row>
    <row r="226" spans="1:11">
      <c r="A226">
        <v>96108</v>
      </c>
      <c r="B226" t="s">
        <v>1219</v>
      </c>
      <c r="C226" t="s">
        <v>550</v>
      </c>
      <c r="E226" t="s">
        <v>493</v>
      </c>
      <c r="F226">
        <v>1</v>
      </c>
      <c r="G226">
        <v>1967</v>
      </c>
      <c r="H226">
        <v>730</v>
      </c>
      <c r="I226">
        <v>0</v>
      </c>
      <c r="J226">
        <v>0</v>
      </c>
      <c r="K226">
        <v>0</v>
      </c>
    </row>
    <row r="227" spans="1:11">
      <c r="A227">
        <v>96059</v>
      </c>
      <c r="B227" t="s">
        <v>656</v>
      </c>
      <c r="C227" t="s">
        <v>657</v>
      </c>
      <c r="D227" t="s">
        <v>107</v>
      </c>
      <c r="E227" t="s">
        <v>493</v>
      </c>
      <c r="F227">
        <v>1</v>
      </c>
      <c r="G227">
        <v>1970</v>
      </c>
      <c r="H227">
        <v>31</v>
      </c>
      <c r="I227">
        <v>25.437999999999999</v>
      </c>
      <c r="J227">
        <v>2071.8890000000001</v>
      </c>
      <c r="K227">
        <v>955</v>
      </c>
    </row>
    <row r="228" spans="1:11">
      <c r="A228">
        <v>98419</v>
      </c>
      <c r="B228" t="s">
        <v>660</v>
      </c>
      <c r="C228" t="s">
        <v>633</v>
      </c>
      <c r="E228" t="s">
        <v>475</v>
      </c>
      <c r="F228">
        <v>27</v>
      </c>
      <c r="G228">
        <v>1952</v>
      </c>
      <c r="H228">
        <v>351</v>
      </c>
      <c r="I228">
        <v>7.9690000000000003</v>
      </c>
      <c r="J228">
        <v>257.43</v>
      </c>
      <c r="K228">
        <v>0</v>
      </c>
    </row>
    <row r="229" spans="1:11">
      <c r="A229">
        <v>17075</v>
      </c>
      <c r="B229" t="s">
        <v>1396</v>
      </c>
      <c r="C229" t="s">
        <v>1397</v>
      </c>
      <c r="D229" t="s">
        <v>610</v>
      </c>
      <c r="E229" t="s">
        <v>475</v>
      </c>
      <c r="F229">
        <v>27</v>
      </c>
      <c r="G229">
        <v>2011</v>
      </c>
      <c r="H229">
        <v>731</v>
      </c>
      <c r="I229">
        <v>0</v>
      </c>
      <c r="J229">
        <v>0</v>
      </c>
      <c r="K229">
        <v>0</v>
      </c>
    </row>
    <row r="230" spans="1:11">
      <c r="A230">
        <v>98473</v>
      </c>
      <c r="B230" t="s">
        <v>1396</v>
      </c>
      <c r="C230" t="s">
        <v>1491</v>
      </c>
      <c r="D230" t="s">
        <v>107</v>
      </c>
      <c r="E230" t="s">
        <v>475</v>
      </c>
      <c r="F230">
        <v>27</v>
      </c>
      <c r="G230">
        <v>1990</v>
      </c>
      <c r="H230">
        <v>732</v>
      </c>
      <c r="I230">
        <v>0</v>
      </c>
      <c r="J230">
        <v>0</v>
      </c>
      <c r="K230">
        <v>0</v>
      </c>
    </row>
    <row r="231" spans="1:11">
      <c r="A231">
        <v>14006</v>
      </c>
      <c r="B231" t="s">
        <v>1220</v>
      </c>
      <c r="C231" t="s">
        <v>526</v>
      </c>
      <c r="E231" t="s">
        <v>493</v>
      </c>
      <c r="F231">
        <v>1</v>
      </c>
      <c r="G231">
        <v>1970</v>
      </c>
      <c r="H231">
        <v>84</v>
      </c>
      <c r="I231">
        <v>19.594999999999999</v>
      </c>
      <c r="J231">
        <v>1548.3430000000001</v>
      </c>
      <c r="K231">
        <v>700</v>
      </c>
    </row>
    <row r="232" spans="1:11">
      <c r="A232">
        <v>17032</v>
      </c>
      <c r="B232" t="s">
        <v>1398</v>
      </c>
      <c r="C232" t="s">
        <v>1101</v>
      </c>
      <c r="D232" t="s">
        <v>107</v>
      </c>
      <c r="E232" t="s">
        <v>493</v>
      </c>
      <c r="F232">
        <v>1</v>
      </c>
      <c r="G232">
        <v>2000</v>
      </c>
      <c r="H232">
        <v>635</v>
      </c>
      <c r="I232">
        <v>0.5</v>
      </c>
      <c r="J232">
        <v>15.923999999999999</v>
      </c>
      <c r="K232">
        <v>0</v>
      </c>
    </row>
    <row r="233" spans="1:11">
      <c r="A233">
        <v>18113</v>
      </c>
      <c r="B233" t="s">
        <v>1613</v>
      </c>
      <c r="C233" t="s">
        <v>891</v>
      </c>
      <c r="E233" t="s">
        <v>1393</v>
      </c>
      <c r="F233">
        <v>86</v>
      </c>
      <c r="G233">
        <v>1974</v>
      </c>
      <c r="H233">
        <v>330</v>
      </c>
      <c r="I233">
        <v>3.782</v>
      </c>
      <c r="J233">
        <v>295.22199999999998</v>
      </c>
      <c r="K233">
        <v>120</v>
      </c>
    </row>
    <row r="234" spans="1:11">
      <c r="A234">
        <v>18114</v>
      </c>
      <c r="B234" t="s">
        <v>1614</v>
      </c>
      <c r="C234" t="s">
        <v>894</v>
      </c>
      <c r="D234" t="s">
        <v>107</v>
      </c>
      <c r="E234" t="s">
        <v>1393</v>
      </c>
      <c r="F234">
        <v>86</v>
      </c>
      <c r="G234">
        <v>1977</v>
      </c>
      <c r="H234">
        <v>733</v>
      </c>
      <c r="I234">
        <v>0</v>
      </c>
      <c r="J234">
        <v>0</v>
      </c>
      <c r="K234">
        <v>0</v>
      </c>
    </row>
    <row r="235" spans="1:11">
      <c r="A235">
        <v>98423</v>
      </c>
      <c r="B235" t="s">
        <v>661</v>
      </c>
      <c r="C235" t="s">
        <v>519</v>
      </c>
      <c r="E235" t="s">
        <v>475</v>
      </c>
      <c r="F235">
        <v>27</v>
      </c>
      <c r="G235">
        <v>1982</v>
      </c>
      <c r="H235">
        <v>252</v>
      </c>
      <c r="I235">
        <v>9.6560000000000006</v>
      </c>
      <c r="J235">
        <v>465.94799999999998</v>
      </c>
      <c r="K235">
        <v>113</v>
      </c>
    </row>
    <row r="236" spans="1:11">
      <c r="A236">
        <v>17098</v>
      </c>
      <c r="B236" t="s">
        <v>662</v>
      </c>
      <c r="C236" t="s">
        <v>1517</v>
      </c>
      <c r="D236" t="s">
        <v>107</v>
      </c>
      <c r="E236" t="s">
        <v>1573</v>
      </c>
      <c r="F236">
        <v>16</v>
      </c>
      <c r="G236">
        <v>1979</v>
      </c>
      <c r="H236">
        <v>429</v>
      </c>
      <c r="I236">
        <v>4.625</v>
      </c>
      <c r="J236">
        <v>169.964</v>
      </c>
      <c r="K236">
        <v>44</v>
      </c>
    </row>
    <row r="237" spans="1:11">
      <c r="A237">
        <v>21796</v>
      </c>
      <c r="B237" t="s">
        <v>662</v>
      </c>
      <c r="C237" t="s">
        <v>658</v>
      </c>
      <c r="D237" t="s">
        <v>107</v>
      </c>
      <c r="E237" t="s">
        <v>475</v>
      </c>
      <c r="F237">
        <v>27</v>
      </c>
      <c r="G237">
        <v>1992</v>
      </c>
      <c r="H237">
        <v>734</v>
      </c>
      <c r="I237">
        <v>0</v>
      </c>
      <c r="J237">
        <v>0</v>
      </c>
      <c r="K237">
        <v>0</v>
      </c>
    </row>
    <row r="238" spans="1:11">
      <c r="A238">
        <v>99500</v>
      </c>
      <c r="B238" t="s">
        <v>662</v>
      </c>
      <c r="C238" t="s">
        <v>663</v>
      </c>
      <c r="D238" t="s">
        <v>107</v>
      </c>
      <c r="E238" t="s">
        <v>475</v>
      </c>
      <c r="F238">
        <v>27</v>
      </c>
      <c r="G238">
        <v>1962</v>
      </c>
      <c r="H238">
        <v>587</v>
      </c>
      <c r="I238">
        <v>1</v>
      </c>
      <c r="J238">
        <v>41.25</v>
      </c>
      <c r="K238">
        <v>0</v>
      </c>
    </row>
    <row r="239" spans="1:11">
      <c r="A239">
        <v>20547</v>
      </c>
      <c r="B239" t="s">
        <v>1615</v>
      </c>
      <c r="C239" t="s">
        <v>1616</v>
      </c>
      <c r="E239" t="s">
        <v>1617</v>
      </c>
      <c r="F239">
        <v>93</v>
      </c>
      <c r="G239">
        <v>1998</v>
      </c>
      <c r="H239">
        <v>735</v>
      </c>
      <c r="I239">
        <v>0</v>
      </c>
      <c r="J239">
        <v>0</v>
      </c>
      <c r="K239">
        <v>0</v>
      </c>
    </row>
    <row r="240" spans="1:11">
      <c r="A240">
        <v>98477</v>
      </c>
      <c r="B240" t="s">
        <v>664</v>
      </c>
      <c r="C240" t="s">
        <v>563</v>
      </c>
      <c r="E240" t="s">
        <v>1573</v>
      </c>
      <c r="F240">
        <v>16</v>
      </c>
      <c r="G240">
        <v>1987</v>
      </c>
      <c r="H240">
        <v>210</v>
      </c>
      <c r="I240">
        <v>14.25</v>
      </c>
      <c r="J240">
        <v>640.91</v>
      </c>
      <c r="K240">
        <v>113</v>
      </c>
    </row>
    <row r="241" spans="1:11">
      <c r="A241">
        <v>98422</v>
      </c>
      <c r="B241" t="s">
        <v>664</v>
      </c>
      <c r="C241" t="s">
        <v>564</v>
      </c>
      <c r="E241" t="s">
        <v>1573</v>
      </c>
      <c r="F241">
        <v>16</v>
      </c>
      <c r="G241">
        <v>1953</v>
      </c>
      <c r="H241">
        <v>558</v>
      </c>
      <c r="I241">
        <v>2.6560000000000001</v>
      </c>
      <c r="J241">
        <v>59.55</v>
      </c>
      <c r="K241">
        <v>0</v>
      </c>
    </row>
    <row r="242" spans="1:11">
      <c r="A242">
        <v>98476</v>
      </c>
      <c r="B242" t="s">
        <v>665</v>
      </c>
      <c r="C242" t="s">
        <v>666</v>
      </c>
      <c r="D242" t="s">
        <v>107</v>
      </c>
      <c r="E242" t="s">
        <v>1573</v>
      </c>
      <c r="F242">
        <v>16</v>
      </c>
      <c r="G242">
        <v>1957</v>
      </c>
      <c r="H242">
        <v>593</v>
      </c>
      <c r="I242">
        <v>1.875</v>
      </c>
      <c r="J242">
        <v>37.89</v>
      </c>
      <c r="K242">
        <v>0</v>
      </c>
    </row>
    <row r="243" spans="1:11">
      <c r="A243">
        <v>27011</v>
      </c>
      <c r="B243" t="s">
        <v>667</v>
      </c>
      <c r="C243" t="s">
        <v>668</v>
      </c>
      <c r="D243" t="s">
        <v>107</v>
      </c>
      <c r="E243" t="s">
        <v>525</v>
      </c>
      <c r="F243">
        <v>59</v>
      </c>
      <c r="G243">
        <v>1991</v>
      </c>
      <c r="H243">
        <v>736</v>
      </c>
      <c r="I243">
        <v>0</v>
      </c>
      <c r="J243">
        <v>0</v>
      </c>
      <c r="K243">
        <v>0</v>
      </c>
    </row>
    <row r="244" spans="1:11">
      <c r="A244">
        <v>11058</v>
      </c>
      <c r="B244" t="s">
        <v>669</v>
      </c>
      <c r="C244" t="s">
        <v>553</v>
      </c>
      <c r="E244" t="s">
        <v>484</v>
      </c>
      <c r="F244">
        <v>21</v>
      </c>
      <c r="G244">
        <v>1960</v>
      </c>
      <c r="H244">
        <v>432</v>
      </c>
      <c r="I244">
        <v>1.625</v>
      </c>
      <c r="J244">
        <v>162.65100000000001</v>
      </c>
      <c r="K244">
        <v>83</v>
      </c>
    </row>
    <row r="245" spans="1:11">
      <c r="A245">
        <v>14028</v>
      </c>
      <c r="B245" t="s">
        <v>1221</v>
      </c>
      <c r="C245" t="s">
        <v>1222</v>
      </c>
      <c r="D245" t="s">
        <v>107</v>
      </c>
      <c r="E245" t="s">
        <v>1223</v>
      </c>
      <c r="F245">
        <v>77</v>
      </c>
      <c r="G245">
        <v>1958</v>
      </c>
      <c r="H245">
        <v>451</v>
      </c>
      <c r="I245">
        <v>2.7509999999999999</v>
      </c>
      <c r="J245">
        <v>141.15199999999999</v>
      </c>
      <c r="K245">
        <v>31</v>
      </c>
    </row>
    <row r="246" spans="1:11">
      <c r="A246">
        <v>20515</v>
      </c>
      <c r="B246" t="s">
        <v>1618</v>
      </c>
      <c r="C246" t="s">
        <v>1619</v>
      </c>
      <c r="D246" t="s">
        <v>610</v>
      </c>
      <c r="E246" t="s">
        <v>481</v>
      </c>
      <c r="F246">
        <v>69</v>
      </c>
      <c r="G246">
        <v>2009</v>
      </c>
      <c r="H246">
        <v>638</v>
      </c>
      <c r="I246">
        <v>0.46899999999999997</v>
      </c>
      <c r="J246">
        <v>15.302</v>
      </c>
      <c r="K246">
        <v>0</v>
      </c>
    </row>
    <row r="247" spans="1:11">
      <c r="A247">
        <v>20514</v>
      </c>
      <c r="B247" t="s">
        <v>1618</v>
      </c>
      <c r="C247" t="s">
        <v>1620</v>
      </c>
      <c r="E247" t="s">
        <v>481</v>
      </c>
      <c r="F247">
        <v>69</v>
      </c>
      <c r="G247">
        <v>1975</v>
      </c>
      <c r="H247">
        <v>455</v>
      </c>
      <c r="I247">
        <v>3.7189999999999999</v>
      </c>
      <c r="J247">
        <v>134.96700000000001</v>
      </c>
      <c r="K247">
        <v>0</v>
      </c>
    </row>
    <row r="248" spans="1:11">
      <c r="A248">
        <v>13054</v>
      </c>
      <c r="B248" t="s">
        <v>1079</v>
      </c>
      <c r="C248" t="s">
        <v>1080</v>
      </c>
      <c r="E248" t="s">
        <v>1081</v>
      </c>
      <c r="F248">
        <v>15</v>
      </c>
      <c r="G248">
        <v>1981</v>
      </c>
      <c r="H248">
        <v>540</v>
      </c>
      <c r="I248">
        <v>2.125</v>
      </c>
      <c r="J248">
        <v>70.480999999999995</v>
      </c>
      <c r="K248">
        <v>0</v>
      </c>
    </row>
    <row r="249" spans="1:11">
      <c r="A249">
        <v>20558</v>
      </c>
      <c r="B249" t="s">
        <v>670</v>
      </c>
      <c r="C249" t="s">
        <v>550</v>
      </c>
      <c r="E249" t="s">
        <v>1179</v>
      </c>
      <c r="F249">
        <v>79</v>
      </c>
      <c r="G249">
        <v>1975</v>
      </c>
      <c r="H249">
        <v>737</v>
      </c>
      <c r="I249">
        <v>0</v>
      </c>
      <c r="J249">
        <v>0</v>
      </c>
      <c r="K249">
        <v>0</v>
      </c>
    </row>
    <row r="250" spans="1:11">
      <c r="A250">
        <v>16075</v>
      </c>
      <c r="B250" t="s">
        <v>1224</v>
      </c>
      <c r="C250" t="s">
        <v>550</v>
      </c>
      <c r="E250" t="s">
        <v>1473</v>
      </c>
      <c r="F250">
        <v>87</v>
      </c>
      <c r="G250">
        <v>1954</v>
      </c>
      <c r="H250">
        <v>67</v>
      </c>
      <c r="I250">
        <v>24.314</v>
      </c>
      <c r="J250">
        <v>1699.56</v>
      </c>
      <c r="K250">
        <v>795</v>
      </c>
    </row>
    <row r="251" spans="1:11">
      <c r="A251">
        <v>21851</v>
      </c>
      <c r="B251" t="s">
        <v>671</v>
      </c>
      <c r="C251" t="s">
        <v>517</v>
      </c>
      <c r="E251" t="s">
        <v>1066</v>
      </c>
      <c r="F251">
        <v>24</v>
      </c>
      <c r="G251">
        <v>1988</v>
      </c>
      <c r="H251">
        <v>738</v>
      </c>
      <c r="I251">
        <v>0</v>
      </c>
      <c r="J251">
        <v>0</v>
      </c>
      <c r="K251">
        <v>0</v>
      </c>
    </row>
    <row r="252" spans="1:11">
      <c r="A252">
        <v>20543</v>
      </c>
      <c r="B252" t="s">
        <v>1225</v>
      </c>
      <c r="C252" t="s">
        <v>559</v>
      </c>
      <c r="E252" t="s">
        <v>1617</v>
      </c>
      <c r="F252">
        <v>93</v>
      </c>
      <c r="G252">
        <v>1957</v>
      </c>
      <c r="H252">
        <v>739</v>
      </c>
      <c r="I252">
        <v>0</v>
      </c>
      <c r="J252">
        <v>0</v>
      </c>
      <c r="K252">
        <v>0</v>
      </c>
    </row>
    <row r="253" spans="1:11">
      <c r="A253">
        <v>20548</v>
      </c>
      <c r="B253" t="s">
        <v>1621</v>
      </c>
      <c r="C253" t="s">
        <v>668</v>
      </c>
      <c r="D253" t="s">
        <v>107</v>
      </c>
      <c r="E253" t="s">
        <v>1617</v>
      </c>
      <c r="F253">
        <v>93</v>
      </c>
      <c r="G253">
        <v>1999</v>
      </c>
      <c r="H253">
        <v>740</v>
      </c>
      <c r="I253">
        <v>0</v>
      </c>
      <c r="J253">
        <v>0</v>
      </c>
      <c r="K253">
        <v>0</v>
      </c>
    </row>
    <row r="254" spans="1:11">
      <c r="A254">
        <v>96089</v>
      </c>
      <c r="B254" t="s">
        <v>672</v>
      </c>
      <c r="C254" t="s">
        <v>504</v>
      </c>
      <c r="E254" t="s">
        <v>1573</v>
      </c>
      <c r="F254">
        <v>16</v>
      </c>
      <c r="G254">
        <v>1968</v>
      </c>
      <c r="H254">
        <v>493</v>
      </c>
      <c r="I254">
        <v>3.5</v>
      </c>
      <c r="J254">
        <v>102.05</v>
      </c>
      <c r="K254">
        <v>0</v>
      </c>
    </row>
    <row r="255" spans="1:11">
      <c r="A255">
        <v>13028</v>
      </c>
      <c r="B255" t="s">
        <v>1082</v>
      </c>
      <c r="C255" t="s">
        <v>557</v>
      </c>
      <c r="E255" t="s">
        <v>1062</v>
      </c>
      <c r="F255">
        <v>76</v>
      </c>
      <c r="G255">
        <v>1959</v>
      </c>
      <c r="H255">
        <v>741</v>
      </c>
      <c r="I255">
        <v>0</v>
      </c>
      <c r="J255">
        <v>0</v>
      </c>
      <c r="K255">
        <v>0</v>
      </c>
    </row>
    <row r="256" spans="1:11">
      <c r="A256">
        <v>20513</v>
      </c>
      <c r="B256" t="s">
        <v>1622</v>
      </c>
      <c r="C256" t="s">
        <v>509</v>
      </c>
      <c r="E256" t="s">
        <v>1067</v>
      </c>
      <c r="F256">
        <v>66</v>
      </c>
      <c r="G256">
        <v>1991</v>
      </c>
      <c r="H256">
        <v>401</v>
      </c>
      <c r="I256">
        <v>4.3440000000000003</v>
      </c>
      <c r="J256">
        <v>196.63800000000001</v>
      </c>
      <c r="K256">
        <v>44</v>
      </c>
    </row>
    <row r="257" spans="1:11">
      <c r="A257">
        <v>25002</v>
      </c>
      <c r="B257" t="s">
        <v>673</v>
      </c>
      <c r="C257" t="s">
        <v>588</v>
      </c>
      <c r="D257" t="s">
        <v>107</v>
      </c>
      <c r="E257" t="s">
        <v>472</v>
      </c>
      <c r="F257">
        <v>54</v>
      </c>
      <c r="G257">
        <v>1973</v>
      </c>
      <c r="H257">
        <v>160</v>
      </c>
      <c r="I257">
        <v>11.079000000000001</v>
      </c>
      <c r="J257">
        <v>894.09799999999996</v>
      </c>
      <c r="K257">
        <v>370</v>
      </c>
    </row>
    <row r="258" spans="1:11">
      <c r="A258">
        <v>19065</v>
      </c>
      <c r="B258" t="s">
        <v>674</v>
      </c>
      <c r="C258" t="s">
        <v>509</v>
      </c>
      <c r="D258" t="s">
        <v>91</v>
      </c>
      <c r="E258" t="s">
        <v>1574</v>
      </c>
      <c r="F258">
        <v>94</v>
      </c>
      <c r="G258">
        <v>2008</v>
      </c>
      <c r="H258">
        <v>742</v>
      </c>
      <c r="I258">
        <v>0</v>
      </c>
      <c r="J258">
        <v>0</v>
      </c>
      <c r="K258">
        <v>0</v>
      </c>
    </row>
    <row r="259" spans="1:11">
      <c r="A259">
        <v>19064</v>
      </c>
      <c r="B259" t="s">
        <v>674</v>
      </c>
      <c r="C259" t="s">
        <v>526</v>
      </c>
      <c r="E259" t="s">
        <v>1574</v>
      </c>
      <c r="F259">
        <v>94</v>
      </c>
      <c r="G259">
        <v>2001</v>
      </c>
      <c r="H259">
        <v>249</v>
      </c>
      <c r="I259">
        <v>9.5640000000000001</v>
      </c>
      <c r="J259">
        <v>474.51600000000002</v>
      </c>
      <c r="K259">
        <v>107</v>
      </c>
    </row>
    <row r="260" spans="1:11">
      <c r="A260">
        <v>24240</v>
      </c>
      <c r="B260" t="s">
        <v>674</v>
      </c>
      <c r="C260" t="s">
        <v>504</v>
      </c>
      <c r="E260" t="s">
        <v>198</v>
      </c>
      <c r="F260">
        <v>17</v>
      </c>
      <c r="G260">
        <v>1976</v>
      </c>
      <c r="H260">
        <v>126</v>
      </c>
      <c r="I260">
        <v>15.782</v>
      </c>
      <c r="J260">
        <v>1198.894</v>
      </c>
      <c r="K260">
        <v>515</v>
      </c>
    </row>
    <row r="261" spans="1:11">
      <c r="A261">
        <v>20550</v>
      </c>
      <c r="B261" t="s">
        <v>674</v>
      </c>
      <c r="C261" t="s">
        <v>538</v>
      </c>
      <c r="E261" t="s">
        <v>1574</v>
      </c>
      <c r="F261">
        <v>94</v>
      </c>
      <c r="G261">
        <v>1968</v>
      </c>
      <c r="H261">
        <v>539</v>
      </c>
      <c r="I261">
        <v>0.82799999999999996</v>
      </c>
      <c r="J261">
        <v>70.576999999999998</v>
      </c>
      <c r="K261">
        <v>34</v>
      </c>
    </row>
    <row r="262" spans="1:11">
      <c r="A262">
        <v>17092</v>
      </c>
      <c r="B262" t="s">
        <v>1226</v>
      </c>
      <c r="C262" t="s">
        <v>1108</v>
      </c>
      <c r="D262" t="s">
        <v>610</v>
      </c>
      <c r="E262" t="s">
        <v>1066</v>
      </c>
      <c r="F262">
        <v>24</v>
      </c>
      <c r="G262">
        <v>2017</v>
      </c>
      <c r="H262">
        <v>744</v>
      </c>
      <c r="I262">
        <v>0</v>
      </c>
      <c r="J262">
        <v>0</v>
      </c>
      <c r="K262">
        <v>0</v>
      </c>
    </row>
    <row r="263" spans="1:11">
      <c r="A263">
        <v>15063</v>
      </c>
      <c r="B263" t="s">
        <v>1226</v>
      </c>
      <c r="C263" t="s">
        <v>588</v>
      </c>
      <c r="D263" t="s">
        <v>610</v>
      </c>
      <c r="E263" t="s">
        <v>1066</v>
      </c>
      <c r="F263">
        <v>24</v>
      </c>
      <c r="G263">
        <v>2015</v>
      </c>
      <c r="H263">
        <v>743</v>
      </c>
      <c r="I263">
        <v>0</v>
      </c>
      <c r="J263">
        <v>0</v>
      </c>
      <c r="K263">
        <v>0</v>
      </c>
    </row>
    <row r="264" spans="1:11">
      <c r="A264">
        <v>98373</v>
      </c>
      <c r="B264" t="s">
        <v>1226</v>
      </c>
      <c r="C264" t="s">
        <v>966</v>
      </c>
      <c r="D264" t="s">
        <v>107</v>
      </c>
      <c r="E264" t="s">
        <v>1066</v>
      </c>
      <c r="F264">
        <v>24</v>
      </c>
      <c r="G264">
        <v>1985</v>
      </c>
      <c r="H264">
        <v>162</v>
      </c>
      <c r="I264">
        <v>14.406000000000001</v>
      </c>
      <c r="J264">
        <v>879.19</v>
      </c>
      <c r="K264">
        <v>280</v>
      </c>
    </row>
    <row r="265" spans="1:11">
      <c r="A265">
        <v>28038</v>
      </c>
      <c r="B265" t="s">
        <v>675</v>
      </c>
      <c r="C265" t="s">
        <v>584</v>
      </c>
      <c r="D265" t="s">
        <v>107</v>
      </c>
      <c r="E265" t="s">
        <v>200</v>
      </c>
      <c r="F265">
        <v>19</v>
      </c>
      <c r="G265">
        <v>1954</v>
      </c>
      <c r="H265">
        <v>267</v>
      </c>
      <c r="I265">
        <v>11.125</v>
      </c>
      <c r="J265">
        <v>443.80099999999999</v>
      </c>
      <c r="K265">
        <v>123</v>
      </c>
    </row>
    <row r="266" spans="1:11">
      <c r="A266">
        <v>25085</v>
      </c>
      <c r="B266" t="s">
        <v>676</v>
      </c>
      <c r="C266" t="s">
        <v>677</v>
      </c>
      <c r="E266" t="s">
        <v>518</v>
      </c>
      <c r="F266">
        <v>29</v>
      </c>
      <c r="G266">
        <v>1961</v>
      </c>
      <c r="H266">
        <v>642</v>
      </c>
      <c r="I266">
        <v>0.68799999999999994</v>
      </c>
      <c r="J266">
        <v>13.893000000000001</v>
      </c>
      <c r="K266">
        <v>0</v>
      </c>
    </row>
    <row r="267" spans="1:11">
      <c r="A267">
        <v>14063</v>
      </c>
      <c r="B267" t="s">
        <v>676</v>
      </c>
      <c r="C267" t="s">
        <v>659</v>
      </c>
      <c r="E267" t="s">
        <v>1573</v>
      </c>
      <c r="F267">
        <v>16</v>
      </c>
      <c r="G267">
        <v>1983</v>
      </c>
      <c r="H267">
        <v>745</v>
      </c>
      <c r="I267">
        <v>0</v>
      </c>
      <c r="J267">
        <v>0</v>
      </c>
      <c r="K267">
        <v>0</v>
      </c>
    </row>
    <row r="268" spans="1:11">
      <c r="A268">
        <v>20542</v>
      </c>
      <c r="B268" t="s">
        <v>1623</v>
      </c>
      <c r="C268" t="s">
        <v>519</v>
      </c>
      <c r="E268" t="s">
        <v>1617</v>
      </c>
      <c r="F268">
        <v>93</v>
      </c>
      <c r="G268">
        <v>1956</v>
      </c>
      <c r="H268">
        <v>253</v>
      </c>
      <c r="I268">
        <v>9.157</v>
      </c>
      <c r="J268">
        <v>465.50700000000001</v>
      </c>
      <c r="K268">
        <v>179</v>
      </c>
    </row>
    <row r="269" spans="1:11">
      <c r="A269">
        <v>20566</v>
      </c>
      <c r="B269" t="s">
        <v>1083</v>
      </c>
      <c r="C269" t="s">
        <v>553</v>
      </c>
      <c r="E269" t="s">
        <v>1057</v>
      </c>
      <c r="F269">
        <v>2</v>
      </c>
      <c r="G269">
        <v>1981</v>
      </c>
      <c r="H269">
        <v>746</v>
      </c>
      <c r="I269">
        <v>0</v>
      </c>
      <c r="J269">
        <v>0</v>
      </c>
      <c r="K269">
        <v>0</v>
      </c>
    </row>
    <row r="270" spans="1:11">
      <c r="A270">
        <v>13049</v>
      </c>
      <c r="B270" t="s">
        <v>1083</v>
      </c>
      <c r="C270" t="s">
        <v>550</v>
      </c>
      <c r="E270" t="s">
        <v>1057</v>
      </c>
      <c r="F270">
        <v>2</v>
      </c>
      <c r="G270">
        <v>1955</v>
      </c>
      <c r="H270">
        <v>488</v>
      </c>
      <c r="I270">
        <v>3</v>
      </c>
      <c r="J270">
        <v>104.81399999999999</v>
      </c>
      <c r="K270">
        <v>0</v>
      </c>
    </row>
    <row r="271" spans="1:11">
      <c r="A271">
        <v>16077</v>
      </c>
      <c r="B271" t="s">
        <v>1227</v>
      </c>
      <c r="C271" t="s">
        <v>504</v>
      </c>
      <c r="E271" t="s">
        <v>1473</v>
      </c>
      <c r="F271">
        <v>87</v>
      </c>
      <c r="G271">
        <v>1953</v>
      </c>
      <c r="H271">
        <v>58</v>
      </c>
      <c r="I271">
        <v>30.844000000000001</v>
      </c>
      <c r="J271">
        <v>1755.883</v>
      </c>
      <c r="K271">
        <v>554</v>
      </c>
    </row>
    <row r="272" spans="1:11">
      <c r="A272">
        <v>15020</v>
      </c>
      <c r="B272" t="s">
        <v>1492</v>
      </c>
      <c r="C272" t="s">
        <v>1192</v>
      </c>
      <c r="D272" t="s">
        <v>107</v>
      </c>
      <c r="E272" t="s">
        <v>1183</v>
      </c>
      <c r="F272">
        <v>81</v>
      </c>
      <c r="G272">
        <v>1984</v>
      </c>
      <c r="H272">
        <v>358</v>
      </c>
      <c r="I272">
        <v>5.1559999999999997</v>
      </c>
      <c r="J272">
        <v>250.00299999999999</v>
      </c>
      <c r="K272">
        <v>40</v>
      </c>
    </row>
    <row r="273" spans="1:11">
      <c r="A273">
        <v>10108</v>
      </c>
      <c r="B273" t="s">
        <v>678</v>
      </c>
      <c r="C273" t="s">
        <v>638</v>
      </c>
      <c r="D273" t="s">
        <v>107</v>
      </c>
      <c r="E273" t="s">
        <v>1060</v>
      </c>
      <c r="F273">
        <v>70</v>
      </c>
      <c r="G273">
        <v>1935</v>
      </c>
      <c r="H273">
        <v>747</v>
      </c>
      <c r="I273">
        <v>0</v>
      </c>
      <c r="J273">
        <v>0</v>
      </c>
      <c r="K273">
        <v>0</v>
      </c>
    </row>
    <row r="274" spans="1:11">
      <c r="A274">
        <v>18141</v>
      </c>
      <c r="B274" t="s">
        <v>1493</v>
      </c>
      <c r="C274" t="s">
        <v>677</v>
      </c>
      <c r="E274" t="s">
        <v>1477</v>
      </c>
      <c r="F274">
        <v>91</v>
      </c>
      <c r="G274">
        <v>1963</v>
      </c>
      <c r="H274">
        <v>240</v>
      </c>
      <c r="I274">
        <v>12.564</v>
      </c>
      <c r="J274">
        <v>495.04399999999998</v>
      </c>
      <c r="K274">
        <v>46</v>
      </c>
    </row>
    <row r="275" spans="1:11">
      <c r="A275">
        <v>18142</v>
      </c>
      <c r="B275" t="s">
        <v>679</v>
      </c>
      <c r="C275" t="s">
        <v>820</v>
      </c>
      <c r="D275" t="s">
        <v>107</v>
      </c>
      <c r="E275" t="s">
        <v>1477</v>
      </c>
      <c r="F275">
        <v>91</v>
      </c>
      <c r="G275">
        <v>1973</v>
      </c>
      <c r="H275">
        <v>269</v>
      </c>
      <c r="I275">
        <v>10.877000000000001</v>
      </c>
      <c r="J275">
        <v>442.13600000000002</v>
      </c>
      <c r="K275">
        <v>46</v>
      </c>
    </row>
    <row r="276" spans="1:11">
      <c r="A276">
        <v>96135</v>
      </c>
      <c r="B276" t="s">
        <v>679</v>
      </c>
      <c r="C276" t="s">
        <v>536</v>
      </c>
      <c r="D276" t="s">
        <v>107</v>
      </c>
      <c r="E276" t="s">
        <v>478</v>
      </c>
      <c r="F276">
        <v>7</v>
      </c>
      <c r="G276">
        <v>1975</v>
      </c>
      <c r="H276">
        <v>748</v>
      </c>
      <c r="I276">
        <v>0</v>
      </c>
      <c r="J276">
        <v>0</v>
      </c>
      <c r="K276">
        <v>0</v>
      </c>
    </row>
    <row r="277" spans="1:11">
      <c r="A277">
        <v>15060</v>
      </c>
      <c r="B277" t="s">
        <v>1228</v>
      </c>
      <c r="C277" t="s">
        <v>531</v>
      </c>
      <c r="E277" t="s">
        <v>1583</v>
      </c>
      <c r="F277">
        <v>92</v>
      </c>
      <c r="G277">
        <v>1955</v>
      </c>
      <c r="H277">
        <v>127</v>
      </c>
      <c r="I277">
        <v>19</v>
      </c>
      <c r="J277">
        <v>1172.539</v>
      </c>
      <c r="K277">
        <v>443</v>
      </c>
    </row>
    <row r="278" spans="1:11">
      <c r="A278">
        <v>12035</v>
      </c>
      <c r="B278" t="s">
        <v>1624</v>
      </c>
      <c r="C278" t="s">
        <v>578</v>
      </c>
      <c r="D278" t="s">
        <v>107</v>
      </c>
      <c r="E278" t="s">
        <v>542</v>
      </c>
      <c r="F278">
        <v>73</v>
      </c>
      <c r="G278">
        <v>1945</v>
      </c>
      <c r="H278">
        <v>338</v>
      </c>
      <c r="I278">
        <v>5.1260000000000003</v>
      </c>
      <c r="J278">
        <v>279.23599999999999</v>
      </c>
      <c r="K278">
        <v>65</v>
      </c>
    </row>
    <row r="279" spans="1:11">
      <c r="A279">
        <v>28051</v>
      </c>
      <c r="B279" t="s">
        <v>680</v>
      </c>
      <c r="C279" t="s">
        <v>681</v>
      </c>
      <c r="E279" t="s">
        <v>200</v>
      </c>
      <c r="F279">
        <v>19</v>
      </c>
      <c r="G279">
        <v>1963</v>
      </c>
      <c r="H279">
        <v>174</v>
      </c>
      <c r="I279">
        <v>20.094000000000001</v>
      </c>
      <c r="J279">
        <v>804.96199999999999</v>
      </c>
      <c r="K279">
        <v>204</v>
      </c>
    </row>
    <row r="280" spans="1:11">
      <c r="A280">
        <v>25003</v>
      </c>
      <c r="B280" t="s">
        <v>682</v>
      </c>
      <c r="C280" t="s">
        <v>683</v>
      </c>
      <c r="D280" t="s">
        <v>107</v>
      </c>
      <c r="E280" t="s">
        <v>472</v>
      </c>
      <c r="F280">
        <v>54</v>
      </c>
      <c r="G280">
        <v>1973</v>
      </c>
      <c r="H280">
        <v>44</v>
      </c>
      <c r="I280">
        <v>24.564</v>
      </c>
      <c r="J280">
        <v>1932.72</v>
      </c>
      <c r="K280">
        <v>927</v>
      </c>
    </row>
    <row r="281" spans="1:11">
      <c r="A281">
        <v>17028</v>
      </c>
      <c r="B281" t="s">
        <v>1399</v>
      </c>
      <c r="C281" t="s">
        <v>700</v>
      </c>
      <c r="E281" t="s">
        <v>475</v>
      </c>
      <c r="F281">
        <v>27</v>
      </c>
      <c r="G281">
        <v>1974</v>
      </c>
      <c r="H281">
        <v>495</v>
      </c>
      <c r="I281">
        <v>2.625</v>
      </c>
      <c r="J281">
        <v>101.622</v>
      </c>
      <c r="K281">
        <v>0</v>
      </c>
    </row>
    <row r="282" spans="1:11">
      <c r="A282">
        <v>17076</v>
      </c>
      <c r="B282" t="s">
        <v>1400</v>
      </c>
      <c r="C282" t="s">
        <v>1293</v>
      </c>
      <c r="D282" t="s">
        <v>610</v>
      </c>
      <c r="E282" t="s">
        <v>475</v>
      </c>
      <c r="F282">
        <v>27</v>
      </c>
      <c r="G282">
        <v>2009</v>
      </c>
      <c r="H282">
        <v>624</v>
      </c>
      <c r="I282">
        <v>0.65600000000000003</v>
      </c>
      <c r="J282">
        <v>19.134</v>
      </c>
      <c r="K282">
        <v>0</v>
      </c>
    </row>
    <row r="283" spans="1:11">
      <c r="A283">
        <v>13065</v>
      </c>
      <c r="B283" t="s">
        <v>1084</v>
      </c>
      <c r="C283" t="s">
        <v>554</v>
      </c>
      <c r="E283" t="s">
        <v>548</v>
      </c>
      <c r="F283">
        <v>67</v>
      </c>
      <c r="G283">
        <v>1961</v>
      </c>
      <c r="H283">
        <v>749</v>
      </c>
      <c r="I283">
        <v>0</v>
      </c>
      <c r="J283">
        <v>0</v>
      </c>
      <c r="K283">
        <v>0</v>
      </c>
    </row>
    <row r="284" spans="1:11">
      <c r="A284">
        <v>10079</v>
      </c>
      <c r="B284" t="s">
        <v>684</v>
      </c>
      <c r="C284" t="s">
        <v>685</v>
      </c>
      <c r="E284" t="s">
        <v>481</v>
      </c>
      <c r="F284">
        <v>69</v>
      </c>
      <c r="G284">
        <v>1951</v>
      </c>
      <c r="H284">
        <v>272</v>
      </c>
      <c r="I284">
        <v>8.5939999999999994</v>
      </c>
      <c r="J284">
        <v>429.15899999999999</v>
      </c>
      <c r="K284">
        <v>160</v>
      </c>
    </row>
    <row r="285" spans="1:11">
      <c r="A285">
        <v>15044</v>
      </c>
      <c r="B285" t="s">
        <v>1229</v>
      </c>
      <c r="C285" t="s">
        <v>916</v>
      </c>
      <c r="D285" t="s">
        <v>107</v>
      </c>
      <c r="E285" t="s">
        <v>1060</v>
      </c>
      <c r="F285">
        <v>70</v>
      </c>
      <c r="G285">
        <v>1946</v>
      </c>
      <c r="H285">
        <v>750</v>
      </c>
      <c r="I285">
        <v>0</v>
      </c>
      <c r="J285">
        <v>0</v>
      </c>
      <c r="K285">
        <v>0</v>
      </c>
    </row>
    <row r="286" spans="1:11">
      <c r="A286">
        <v>96109</v>
      </c>
      <c r="B286" t="s">
        <v>687</v>
      </c>
      <c r="C286" t="s">
        <v>557</v>
      </c>
      <c r="E286" t="s">
        <v>688</v>
      </c>
      <c r="F286">
        <v>10</v>
      </c>
      <c r="G286">
        <v>1959</v>
      </c>
      <c r="H286">
        <v>541</v>
      </c>
      <c r="I286">
        <v>3.125</v>
      </c>
      <c r="J286">
        <v>67.515000000000001</v>
      </c>
      <c r="K286">
        <v>0</v>
      </c>
    </row>
    <row r="287" spans="1:11">
      <c r="A287">
        <v>22982</v>
      </c>
      <c r="B287" t="s">
        <v>689</v>
      </c>
      <c r="C287" t="s">
        <v>547</v>
      </c>
      <c r="E287" t="s">
        <v>475</v>
      </c>
      <c r="F287">
        <v>27</v>
      </c>
      <c r="G287">
        <v>1964</v>
      </c>
      <c r="H287">
        <v>565</v>
      </c>
      <c r="I287">
        <v>1.3129999999999999</v>
      </c>
      <c r="J287">
        <v>55.417999999999999</v>
      </c>
      <c r="K287">
        <v>0</v>
      </c>
    </row>
    <row r="288" spans="1:11">
      <c r="A288">
        <v>99559</v>
      </c>
      <c r="B288" t="s">
        <v>689</v>
      </c>
      <c r="C288" t="s">
        <v>553</v>
      </c>
      <c r="E288" t="s">
        <v>1573</v>
      </c>
      <c r="F288">
        <v>16</v>
      </c>
      <c r="G288">
        <v>1988</v>
      </c>
      <c r="H288">
        <v>751</v>
      </c>
      <c r="I288">
        <v>0</v>
      </c>
      <c r="J288">
        <v>0</v>
      </c>
      <c r="K288">
        <v>0</v>
      </c>
    </row>
    <row r="289" spans="1:11">
      <c r="A289">
        <v>23100</v>
      </c>
      <c r="B289" t="s">
        <v>1494</v>
      </c>
      <c r="C289" t="s">
        <v>531</v>
      </c>
      <c r="E289" t="s">
        <v>582</v>
      </c>
      <c r="F289">
        <v>45</v>
      </c>
      <c r="G289">
        <v>1960</v>
      </c>
      <c r="H289">
        <v>752</v>
      </c>
      <c r="I289">
        <v>0</v>
      </c>
      <c r="J289">
        <v>0</v>
      </c>
      <c r="K289">
        <v>0</v>
      </c>
    </row>
    <row r="290" spans="1:11">
      <c r="A290">
        <v>16023</v>
      </c>
      <c r="B290" t="s">
        <v>1230</v>
      </c>
      <c r="C290" t="s">
        <v>1231</v>
      </c>
      <c r="E290" t="s">
        <v>475</v>
      </c>
      <c r="F290">
        <v>27</v>
      </c>
      <c r="G290">
        <v>1966</v>
      </c>
      <c r="H290">
        <v>411</v>
      </c>
      <c r="I290">
        <v>5.782</v>
      </c>
      <c r="J290">
        <v>188.56299999999999</v>
      </c>
      <c r="K290">
        <v>0</v>
      </c>
    </row>
    <row r="291" spans="1:11">
      <c r="A291">
        <v>15085</v>
      </c>
      <c r="B291" t="s">
        <v>1232</v>
      </c>
      <c r="C291" t="s">
        <v>559</v>
      </c>
      <c r="E291" t="s">
        <v>1057</v>
      </c>
      <c r="F291">
        <v>2</v>
      </c>
      <c r="G291">
        <v>1996</v>
      </c>
      <c r="H291">
        <v>753</v>
      </c>
      <c r="I291">
        <v>0</v>
      </c>
      <c r="J291">
        <v>0</v>
      </c>
      <c r="K291">
        <v>0</v>
      </c>
    </row>
    <row r="292" spans="1:11">
      <c r="A292">
        <v>12059</v>
      </c>
      <c r="B292" t="s">
        <v>1625</v>
      </c>
      <c r="C292" t="s">
        <v>863</v>
      </c>
      <c r="D292" t="s">
        <v>107</v>
      </c>
      <c r="E292" t="s">
        <v>487</v>
      </c>
      <c r="F292">
        <v>64</v>
      </c>
      <c r="G292">
        <v>1978</v>
      </c>
      <c r="H292">
        <v>754</v>
      </c>
      <c r="I292">
        <v>0</v>
      </c>
      <c r="J292">
        <v>0</v>
      </c>
      <c r="K292">
        <v>0</v>
      </c>
    </row>
    <row r="293" spans="1:11">
      <c r="A293">
        <v>27041</v>
      </c>
      <c r="B293" t="s">
        <v>690</v>
      </c>
      <c r="C293" t="s">
        <v>559</v>
      </c>
      <c r="E293" t="s">
        <v>200</v>
      </c>
      <c r="F293">
        <v>19</v>
      </c>
      <c r="G293">
        <v>1957</v>
      </c>
      <c r="H293">
        <v>755</v>
      </c>
      <c r="I293">
        <v>0</v>
      </c>
      <c r="J293">
        <v>0</v>
      </c>
      <c r="K293">
        <v>0</v>
      </c>
    </row>
    <row r="294" spans="1:11">
      <c r="A294">
        <v>10110</v>
      </c>
      <c r="B294" t="s">
        <v>691</v>
      </c>
      <c r="C294" t="s">
        <v>597</v>
      </c>
      <c r="D294" t="s">
        <v>107</v>
      </c>
      <c r="E294" t="s">
        <v>1060</v>
      </c>
      <c r="F294">
        <v>70</v>
      </c>
      <c r="G294">
        <v>1925</v>
      </c>
      <c r="H294">
        <v>756</v>
      </c>
      <c r="I294">
        <v>0</v>
      </c>
      <c r="J294">
        <v>0</v>
      </c>
      <c r="K294">
        <v>0</v>
      </c>
    </row>
    <row r="295" spans="1:11">
      <c r="A295">
        <v>21934</v>
      </c>
      <c r="B295" t="s">
        <v>692</v>
      </c>
      <c r="C295" t="s">
        <v>553</v>
      </c>
      <c r="E295" t="s">
        <v>1573</v>
      </c>
      <c r="F295">
        <v>16</v>
      </c>
      <c r="G295">
        <v>1970</v>
      </c>
      <c r="H295">
        <v>331</v>
      </c>
      <c r="I295">
        <v>8.5939999999999994</v>
      </c>
      <c r="J295">
        <v>293.81400000000002</v>
      </c>
      <c r="K295">
        <v>62</v>
      </c>
    </row>
    <row r="296" spans="1:11">
      <c r="A296">
        <v>15051</v>
      </c>
      <c r="B296" t="s">
        <v>1233</v>
      </c>
      <c r="C296" t="s">
        <v>541</v>
      </c>
      <c r="E296" t="s">
        <v>216</v>
      </c>
      <c r="F296">
        <v>33</v>
      </c>
      <c r="G296">
        <v>1953</v>
      </c>
      <c r="H296">
        <v>239</v>
      </c>
      <c r="I296">
        <v>10.907</v>
      </c>
      <c r="J296">
        <v>498.79</v>
      </c>
      <c r="K296">
        <v>125</v>
      </c>
    </row>
    <row r="297" spans="1:11">
      <c r="A297">
        <v>18105</v>
      </c>
      <c r="B297" t="s">
        <v>1495</v>
      </c>
      <c r="C297" t="s">
        <v>526</v>
      </c>
      <c r="E297" t="s">
        <v>1177</v>
      </c>
      <c r="F297">
        <v>78</v>
      </c>
      <c r="G297">
        <v>1986</v>
      </c>
      <c r="H297">
        <v>757</v>
      </c>
      <c r="I297">
        <v>0</v>
      </c>
      <c r="J297">
        <v>0</v>
      </c>
      <c r="K297">
        <v>0</v>
      </c>
    </row>
    <row r="298" spans="1:11">
      <c r="A298">
        <v>18058</v>
      </c>
      <c r="B298" t="s">
        <v>1495</v>
      </c>
      <c r="C298" t="s">
        <v>559</v>
      </c>
      <c r="E298" t="s">
        <v>1177</v>
      </c>
      <c r="F298">
        <v>78</v>
      </c>
      <c r="G298">
        <v>1984</v>
      </c>
      <c r="H298">
        <v>103</v>
      </c>
      <c r="I298">
        <v>22.001999999999999</v>
      </c>
      <c r="J298">
        <v>1378.01</v>
      </c>
      <c r="K298">
        <v>575</v>
      </c>
    </row>
    <row r="299" spans="1:11">
      <c r="A299">
        <v>27045</v>
      </c>
      <c r="B299" t="s">
        <v>693</v>
      </c>
      <c r="C299" t="s">
        <v>550</v>
      </c>
      <c r="E299" t="s">
        <v>163</v>
      </c>
      <c r="F299">
        <v>43</v>
      </c>
      <c r="G299">
        <v>1980</v>
      </c>
      <c r="H299">
        <v>559</v>
      </c>
      <c r="I299">
        <v>0.78100000000000003</v>
      </c>
      <c r="J299">
        <v>59.506</v>
      </c>
      <c r="K299">
        <v>25</v>
      </c>
    </row>
    <row r="300" spans="1:11">
      <c r="A300">
        <v>21777</v>
      </c>
      <c r="B300" t="s">
        <v>693</v>
      </c>
      <c r="C300" t="s">
        <v>557</v>
      </c>
      <c r="E300" t="s">
        <v>198</v>
      </c>
      <c r="F300">
        <v>17</v>
      </c>
      <c r="G300">
        <v>1975</v>
      </c>
      <c r="H300">
        <v>523</v>
      </c>
      <c r="I300">
        <v>2</v>
      </c>
      <c r="J300">
        <v>82.5</v>
      </c>
      <c r="K300">
        <v>0</v>
      </c>
    </row>
    <row r="301" spans="1:11">
      <c r="A301">
        <v>23055</v>
      </c>
      <c r="B301" t="s">
        <v>694</v>
      </c>
      <c r="C301" t="s">
        <v>658</v>
      </c>
      <c r="D301" t="s">
        <v>107</v>
      </c>
      <c r="E301" t="s">
        <v>163</v>
      </c>
      <c r="F301">
        <v>43</v>
      </c>
      <c r="G301">
        <v>1977</v>
      </c>
      <c r="H301">
        <v>380</v>
      </c>
      <c r="I301">
        <v>4.8449999999999998</v>
      </c>
      <c r="J301">
        <v>224.50700000000001</v>
      </c>
      <c r="K301">
        <v>56</v>
      </c>
    </row>
    <row r="302" spans="1:11">
      <c r="A302">
        <v>24221</v>
      </c>
      <c r="B302" t="s">
        <v>1234</v>
      </c>
      <c r="C302" t="s">
        <v>507</v>
      </c>
      <c r="D302" t="s">
        <v>107</v>
      </c>
      <c r="E302" t="s">
        <v>489</v>
      </c>
      <c r="F302">
        <v>51</v>
      </c>
      <c r="G302">
        <v>1969</v>
      </c>
      <c r="H302">
        <v>758</v>
      </c>
      <c r="I302">
        <v>0</v>
      </c>
      <c r="J302">
        <v>0</v>
      </c>
      <c r="K302">
        <v>0</v>
      </c>
    </row>
    <row r="303" spans="1:11">
      <c r="A303">
        <v>26061</v>
      </c>
      <c r="B303" t="s">
        <v>695</v>
      </c>
      <c r="C303" t="s">
        <v>550</v>
      </c>
      <c r="E303" t="s">
        <v>475</v>
      </c>
      <c r="F303">
        <v>27</v>
      </c>
      <c r="G303">
        <v>1957</v>
      </c>
      <c r="H303">
        <v>425</v>
      </c>
      <c r="I303">
        <v>4.375</v>
      </c>
      <c r="J303">
        <v>172.02699999999999</v>
      </c>
      <c r="K303">
        <v>0</v>
      </c>
    </row>
    <row r="304" spans="1:11">
      <c r="A304">
        <v>18112</v>
      </c>
      <c r="B304" t="s">
        <v>1626</v>
      </c>
      <c r="C304" t="s">
        <v>553</v>
      </c>
      <c r="E304" t="s">
        <v>1393</v>
      </c>
      <c r="F304">
        <v>86</v>
      </c>
      <c r="G304">
        <v>1990</v>
      </c>
      <c r="H304">
        <v>759</v>
      </c>
      <c r="I304">
        <v>0</v>
      </c>
      <c r="J304">
        <v>0</v>
      </c>
      <c r="K304">
        <v>0</v>
      </c>
    </row>
    <row r="305" spans="1:11">
      <c r="A305">
        <v>16064</v>
      </c>
      <c r="B305" t="s">
        <v>1235</v>
      </c>
      <c r="C305" t="s">
        <v>574</v>
      </c>
      <c r="E305" t="s">
        <v>1236</v>
      </c>
      <c r="F305">
        <v>83</v>
      </c>
      <c r="G305">
        <v>1972</v>
      </c>
      <c r="H305">
        <v>760</v>
      </c>
      <c r="I305">
        <v>0</v>
      </c>
      <c r="J305">
        <v>0</v>
      </c>
      <c r="K305">
        <v>0</v>
      </c>
    </row>
    <row r="306" spans="1:11">
      <c r="A306">
        <v>16065</v>
      </c>
      <c r="B306" t="s">
        <v>1235</v>
      </c>
      <c r="C306" t="s">
        <v>659</v>
      </c>
      <c r="E306" t="s">
        <v>1236</v>
      </c>
      <c r="F306">
        <v>83</v>
      </c>
      <c r="G306">
        <v>1977</v>
      </c>
      <c r="H306">
        <v>391</v>
      </c>
      <c r="I306">
        <v>4.9379999999999997</v>
      </c>
      <c r="J306">
        <v>210.67</v>
      </c>
      <c r="K306">
        <v>0</v>
      </c>
    </row>
    <row r="307" spans="1:11">
      <c r="A307">
        <v>10111</v>
      </c>
      <c r="B307" t="s">
        <v>696</v>
      </c>
      <c r="C307" t="s">
        <v>608</v>
      </c>
      <c r="D307" t="s">
        <v>107</v>
      </c>
      <c r="E307" t="s">
        <v>1060</v>
      </c>
      <c r="F307">
        <v>70</v>
      </c>
      <c r="G307">
        <v>1944</v>
      </c>
      <c r="H307">
        <v>761</v>
      </c>
      <c r="I307">
        <v>0</v>
      </c>
      <c r="J307">
        <v>0</v>
      </c>
      <c r="K307">
        <v>0</v>
      </c>
    </row>
    <row r="308" spans="1:11">
      <c r="A308">
        <v>29053</v>
      </c>
      <c r="B308" t="s">
        <v>697</v>
      </c>
      <c r="C308" t="s">
        <v>538</v>
      </c>
      <c r="E308" t="s">
        <v>487</v>
      </c>
      <c r="F308">
        <v>64</v>
      </c>
      <c r="G308">
        <v>1975</v>
      </c>
      <c r="H308">
        <v>762</v>
      </c>
      <c r="I308">
        <v>0</v>
      </c>
      <c r="J308">
        <v>0</v>
      </c>
      <c r="K308">
        <v>0</v>
      </c>
    </row>
    <row r="309" spans="1:11">
      <c r="A309">
        <v>10138</v>
      </c>
      <c r="B309" t="s">
        <v>698</v>
      </c>
      <c r="C309" t="s">
        <v>699</v>
      </c>
      <c r="D309" t="s">
        <v>91</v>
      </c>
      <c r="E309" t="s">
        <v>484</v>
      </c>
      <c r="F309">
        <v>21</v>
      </c>
      <c r="G309">
        <v>2003</v>
      </c>
      <c r="H309">
        <v>181</v>
      </c>
      <c r="I309">
        <v>11.75</v>
      </c>
      <c r="J309">
        <v>789.87800000000004</v>
      </c>
      <c r="K309">
        <v>280</v>
      </c>
    </row>
    <row r="310" spans="1:11">
      <c r="A310">
        <v>98465</v>
      </c>
      <c r="B310" t="s">
        <v>698</v>
      </c>
      <c r="C310" t="s">
        <v>1496</v>
      </c>
      <c r="E310" t="s">
        <v>484</v>
      </c>
      <c r="F310">
        <v>21</v>
      </c>
      <c r="G310">
        <v>1975</v>
      </c>
      <c r="H310">
        <v>407</v>
      </c>
      <c r="I310">
        <v>4.875</v>
      </c>
      <c r="J310">
        <v>191.03200000000001</v>
      </c>
      <c r="K310">
        <v>0</v>
      </c>
    </row>
    <row r="311" spans="1:11">
      <c r="A311">
        <v>24315</v>
      </c>
      <c r="B311" t="s">
        <v>701</v>
      </c>
      <c r="C311" t="s">
        <v>702</v>
      </c>
      <c r="D311" t="s">
        <v>107</v>
      </c>
      <c r="E311" t="s">
        <v>484</v>
      </c>
      <c r="F311">
        <v>21</v>
      </c>
      <c r="G311">
        <v>1995</v>
      </c>
      <c r="H311">
        <v>763</v>
      </c>
      <c r="I311">
        <v>0</v>
      </c>
      <c r="J311">
        <v>0</v>
      </c>
      <c r="K311">
        <v>0</v>
      </c>
    </row>
    <row r="312" spans="1:11">
      <c r="A312">
        <v>20676</v>
      </c>
      <c r="B312" t="s">
        <v>701</v>
      </c>
      <c r="C312" t="s">
        <v>703</v>
      </c>
      <c r="D312" t="s">
        <v>107</v>
      </c>
      <c r="E312" t="s">
        <v>484</v>
      </c>
      <c r="F312">
        <v>21</v>
      </c>
      <c r="G312">
        <v>1973</v>
      </c>
      <c r="H312">
        <v>223</v>
      </c>
      <c r="I312">
        <v>8.5</v>
      </c>
      <c r="J312">
        <v>591.64400000000001</v>
      </c>
      <c r="K312">
        <v>240</v>
      </c>
    </row>
    <row r="313" spans="1:11">
      <c r="A313">
        <v>15082</v>
      </c>
      <c r="B313" t="s">
        <v>1237</v>
      </c>
      <c r="C313" t="s">
        <v>580</v>
      </c>
      <c r="E313" t="s">
        <v>1057</v>
      </c>
      <c r="F313">
        <v>2</v>
      </c>
      <c r="G313">
        <v>1956</v>
      </c>
      <c r="H313">
        <v>347</v>
      </c>
      <c r="I313">
        <v>5</v>
      </c>
      <c r="J313">
        <v>268.25</v>
      </c>
      <c r="K313">
        <v>71</v>
      </c>
    </row>
    <row r="314" spans="1:11">
      <c r="A314">
        <v>14037</v>
      </c>
      <c r="B314" t="s">
        <v>1238</v>
      </c>
      <c r="C314" t="s">
        <v>681</v>
      </c>
      <c r="E314" t="s">
        <v>1177</v>
      </c>
      <c r="F314">
        <v>78</v>
      </c>
      <c r="G314">
        <v>1959</v>
      </c>
      <c r="H314">
        <v>199</v>
      </c>
      <c r="I314">
        <v>10.815</v>
      </c>
      <c r="J314">
        <v>695.80700000000002</v>
      </c>
      <c r="K314">
        <v>284</v>
      </c>
    </row>
    <row r="315" spans="1:11">
      <c r="A315">
        <v>16024</v>
      </c>
      <c r="B315" t="s">
        <v>1239</v>
      </c>
      <c r="C315" t="s">
        <v>1240</v>
      </c>
      <c r="D315" t="s">
        <v>107</v>
      </c>
      <c r="E315" t="s">
        <v>1177</v>
      </c>
      <c r="F315">
        <v>78</v>
      </c>
      <c r="G315">
        <v>1967</v>
      </c>
      <c r="H315">
        <v>314</v>
      </c>
      <c r="I315">
        <v>6.4379999999999997</v>
      </c>
      <c r="J315">
        <v>323.27</v>
      </c>
      <c r="K315">
        <v>107</v>
      </c>
    </row>
    <row r="316" spans="1:11">
      <c r="A316">
        <v>18134</v>
      </c>
      <c r="B316" t="s">
        <v>1239</v>
      </c>
      <c r="C316" t="s">
        <v>668</v>
      </c>
      <c r="D316" t="s">
        <v>107</v>
      </c>
      <c r="E316" t="s">
        <v>1177</v>
      </c>
      <c r="F316">
        <v>78</v>
      </c>
      <c r="G316">
        <v>1997</v>
      </c>
      <c r="H316">
        <v>222</v>
      </c>
      <c r="I316">
        <v>10.565</v>
      </c>
      <c r="J316">
        <v>592.46600000000001</v>
      </c>
      <c r="K316">
        <v>184</v>
      </c>
    </row>
    <row r="317" spans="1:11">
      <c r="A317">
        <v>11044</v>
      </c>
      <c r="B317" t="s">
        <v>704</v>
      </c>
      <c r="C317" t="s">
        <v>557</v>
      </c>
      <c r="E317" t="s">
        <v>1057</v>
      </c>
      <c r="F317">
        <v>2</v>
      </c>
      <c r="G317">
        <v>1941</v>
      </c>
      <c r="H317">
        <v>151</v>
      </c>
      <c r="I317">
        <v>16.501999999999999</v>
      </c>
      <c r="J317">
        <v>974.69100000000003</v>
      </c>
      <c r="K317">
        <v>299</v>
      </c>
    </row>
    <row r="318" spans="1:11">
      <c r="A318">
        <v>99591</v>
      </c>
      <c r="B318" t="s">
        <v>705</v>
      </c>
      <c r="C318" t="s">
        <v>553</v>
      </c>
      <c r="E318" t="s">
        <v>200</v>
      </c>
      <c r="F318">
        <v>19</v>
      </c>
      <c r="G318">
        <v>1961</v>
      </c>
      <c r="H318">
        <v>589</v>
      </c>
      <c r="I318">
        <v>1.25</v>
      </c>
      <c r="J318">
        <v>40.805999999999997</v>
      </c>
      <c r="K318">
        <v>0</v>
      </c>
    </row>
    <row r="319" spans="1:11">
      <c r="A319">
        <v>29027</v>
      </c>
      <c r="B319" t="s">
        <v>1497</v>
      </c>
      <c r="C319" t="s">
        <v>706</v>
      </c>
      <c r="E319" t="s">
        <v>474</v>
      </c>
      <c r="F319">
        <v>63</v>
      </c>
      <c r="G319">
        <v>1953</v>
      </c>
      <c r="H319">
        <v>513</v>
      </c>
      <c r="I319">
        <v>2.625</v>
      </c>
      <c r="J319">
        <v>86.494</v>
      </c>
      <c r="K319">
        <v>0</v>
      </c>
    </row>
    <row r="320" spans="1:11">
      <c r="A320">
        <v>14057</v>
      </c>
      <c r="B320" t="s">
        <v>1241</v>
      </c>
      <c r="C320" t="s">
        <v>509</v>
      </c>
      <c r="E320" t="s">
        <v>484</v>
      </c>
      <c r="F320">
        <v>21</v>
      </c>
      <c r="G320">
        <v>1988</v>
      </c>
      <c r="H320">
        <v>235</v>
      </c>
      <c r="I320">
        <v>8.5630000000000006</v>
      </c>
      <c r="J320">
        <v>517.48500000000001</v>
      </c>
      <c r="K320">
        <v>157</v>
      </c>
    </row>
    <row r="321" spans="1:11">
      <c r="A321">
        <v>20553</v>
      </c>
      <c r="B321" t="s">
        <v>1627</v>
      </c>
      <c r="C321" t="s">
        <v>609</v>
      </c>
      <c r="D321" t="s">
        <v>107</v>
      </c>
      <c r="E321" t="s">
        <v>1045</v>
      </c>
      <c r="F321">
        <v>56</v>
      </c>
      <c r="G321">
        <v>1974</v>
      </c>
      <c r="H321">
        <v>588</v>
      </c>
      <c r="I321">
        <v>1.0629999999999999</v>
      </c>
      <c r="J321">
        <v>41.210999999999999</v>
      </c>
      <c r="K321">
        <v>0</v>
      </c>
    </row>
    <row r="322" spans="1:11">
      <c r="A322">
        <v>26020</v>
      </c>
      <c r="B322" t="s">
        <v>707</v>
      </c>
      <c r="C322" t="s">
        <v>511</v>
      </c>
      <c r="E322" t="s">
        <v>1045</v>
      </c>
      <c r="F322">
        <v>56</v>
      </c>
      <c r="G322">
        <v>1990</v>
      </c>
      <c r="H322">
        <v>478</v>
      </c>
      <c r="I322">
        <v>3.5310000000000001</v>
      </c>
      <c r="J322">
        <v>113.691</v>
      </c>
      <c r="K322">
        <v>0</v>
      </c>
    </row>
    <row r="323" spans="1:11">
      <c r="A323">
        <v>25055</v>
      </c>
      <c r="B323" t="s">
        <v>707</v>
      </c>
      <c r="C323" t="s">
        <v>651</v>
      </c>
      <c r="E323" t="s">
        <v>1045</v>
      </c>
      <c r="F323">
        <v>56</v>
      </c>
      <c r="G323">
        <v>1965</v>
      </c>
      <c r="H323">
        <v>55</v>
      </c>
      <c r="I323">
        <v>32.5</v>
      </c>
      <c r="J323">
        <v>1774.0930000000001</v>
      </c>
      <c r="K323">
        <v>587</v>
      </c>
    </row>
    <row r="324" spans="1:11">
      <c r="A324">
        <v>24321</v>
      </c>
      <c r="B324" t="s">
        <v>709</v>
      </c>
      <c r="C324" t="s">
        <v>538</v>
      </c>
      <c r="E324" t="s">
        <v>198</v>
      </c>
      <c r="F324">
        <v>17</v>
      </c>
      <c r="G324">
        <v>1966</v>
      </c>
      <c r="H324">
        <v>261</v>
      </c>
      <c r="I324">
        <v>7.1879999999999997</v>
      </c>
      <c r="J324">
        <v>454.22300000000001</v>
      </c>
      <c r="K324">
        <v>148</v>
      </c>
    </row>
    <row r="325" spans="1:11">
      <c r="A325">
        <v>10112</v>
      </c>
      <c r="B325" t="s">
        <v>710</v>
      </c>
      <c r="C325" t="s">
        <v>711</v>
      </c>
      <c r="D325" t="s">
        <v>107</v>
      </c>
      <c r="E325" t="s">
        <v>1060</v>
      </c>
      <c r="F325">
        <v>70</v>
      </c>
      <c r="G325">
        <v>1937</v>
      </c>
      <c r="H325">
        <v>764</v>
      </c>
      <c r="I325">
        <v>0</v>
      </c>
      <c r="J325">
        <v>0</v>
      </c>
      <c r="K325">
        <v>0</v>
      </c>
    </row>
    <row r="326" spans="1:11">
      <c r="A326">
        <v>26079</v>
      </c>
      <c r="B326" t="s">
        <v>712</v>
      </c>
      <c r="C326" t="s">
        <v>503</v>
      </c>
      <c r="E326" t="s">
        <v>1057</v>
      </c>
      <c r="F326">
        <v>2</v>
      </c>
      <c r="G326">
        <v>1952</v>
      </c>
      <c r="H326">
        <v>765</v>
      </c>
      <c r="I326">
        <v>0</v>
      </c>
      <c r="J326">
        <v>0</v>
      </c>
      <c r="K326">
        <v>0</v>
      </c>
    </row>
    <row r="327" spans="1:11">
      <c r="A327">
        <v>26080</v>
      </c>
      <c r="B327" t="s">
        <v>712</v>
      </c>
      <c r="C327" t="s">
        <v>504</v>
      </c>
      <c r="E327" t="s">
        <v>1057</v>
      </c>
      <c r="F327">
        <v>2</v>
      </c>
      <c r="G327">
        <v>1978</v>
      </c>
      <c r="H327">
        <v>766</v>
      </c>
      <c r="I327">
        <v>0</v>
      </c>
      <c r="J327">
        <v>0</v>
      </c>
      <c r="K327">
        <v>0</v>
      </c>
    </row>
    <row r="328" spans="1:11">
      <c r="A328">
        <v>16107</v>
      </c>
      <c r="B328" t="s">
        <v>1242</v>
      </c>
      <c r="C328" t="s">
        <v>797</v>
      </c>
      <c r="E328" t="s">
        <v>170</v>
      </c>
      <c r="F328">
        <v>14</v>
      </c>
      <c r="G328">
        <v>1993</v>
      </c>
      <c r="H328">
        <v>208</v>
      </c>
      <c r="I328">
        <v>13.282</v>
      </c>
      <c r="J328">
        <v>650.06600000000003</v>
      </c>
      <c r="K328">
        <v>129</v>
      </c>
    </row>
    <row r="329" spans="1:11">
      <c r="A329">
        <v>14084</v>
      </c>
      <c r="B329" t="s">
        <v>1243</v>
      </c>
      <c r="C329" t="s">
        <v>659</v>
      </c>
      <c r="E329" t="s">
        <v>1179</v>
      </c>
      <c r="F329">
        <v>79</v>
      </c>
      <c r="G329">
        <v>1983</v>
      </c>
      <c r="H329">
        <v>767</v>
      </c>
      <c r="I329">
        <v>0</v>
      </c>
      <c r="J329">
        <v>0</v>
      </c>
      <c r="K329">
        <v>0</v>
      </c>
    </row>
    <row r="330" spans="1:11">
      <c r="A330">
        <v>13083</v>
      </c>
      <c r="B330" t="s">
        <v>1244</v>
      </c>
      <c r="C330" t="s">
        <v>531</v>
      </c>
      <c r="E330" t="s">
        <v>163</v>
      </c>
      <c r="F330">
        <v>43</v>
      </c>
      <c r="G330">
        <v>1952</v>
      </c>
      <c r="H330">
        <v>503</v>
      </c>
      <c r="I330">
        <v>1.282</v>
      </c>
      <c r="J330">
        <v>94.03</v>
      </c>
      <c r="K330">
        <v>33</v>
      </c>
    </row>
    <row r="331" spans="1:11">
      <c r="A331">
        <v>24342</v>
      </c>
      <c r="B331" t="s">
        <v>713</v>
      </c>
      <c r="C331" t="s">
        <v>520</v>
      </c>
      <c r="E331" t="s">
        <v>602</v>
      </c>
      <c r="F331">
        <v>62</v>
      </c>
      <c r="G331">
        <v>1950</v>
      </c>
      <c r="H331">
        <v>357</v>
      </c>
      <c r="I331">
        <v>4.5</v>
      </c>
      <c r="J331">
        <v>251.006</v>
      </c>
      <c r="K331">
        <v>80</v>
      </c>
    </row>
    <row r="332" spans="1:11">
      <c r="A332">
        <v>13060</v>
      </c>
      <c r="B332" t="s">
        <v>713</v>
      </c>
      <c r="C332" t="s">
        <v>538</v>
      </c>
      <c r="E332" t="s">
        <v>1573</v>
      </c>
      <c r="F332">
        <v>16</v>
      </c>
      <c r="G332">
        <v>1972</v>
      </c>
      <c r="H332">
        <v>75</v>
      </c>
      <c r="I332">
        <v>28.751000000000001</v>
      </c>
      <c r="J332">
        <v>1632.4739999999999</v>
      </c>
      <c r="K332">
        <v>539</v>
      </c>
    </row>
    <row r="333" spans="1:11">
      <c r="A333">
        <v>20574</v>
      </c>
      <c r="B333" t="s">
        <v>1628</v>
      </c>
      <c r="C333" t="s">
        <v>1629</v>
      </c>
      <c r="E333" t="s">
        <v>1067</v>
      </c>
      <c r="F333">
        <v>66</v>
      </c>
      <c r="G333">
        <v>1995</v>
      </c>
      <c r="H333">
        <v>459</v>
      </c>
      <c r="I333">
        <v>1.2190000000000001</v>
      </c>
      <c r="J333">
        <v>132.524</v>
      </c>
      <c r="K333">
        <v>78</v>
      </c>
    </row>
    <row r="334" spans="1:11">
      <c r="A334">
        <v>16143</v>
      </c>
      <c r="B334" t="s">
        <v>1402</v>
      </c>
      <c r="C334" t="s">
        <v>604</v>
      </c>
      <c r="D334" t="s">
        <v>107</v>
      </c>
      <c r="E334" t="s">
        <v>1393</v>
      </c>
      <c r="F334">
        <v>86</v>
      </c>
      <c r="G334">
        <v>1967</v>
      </c>
      <c r="H334">
        <v>768</v>
      </c>
      <c r="I334">
        <v>0</v>
      </c>
      <c r="J334">
        <v>0</v>
      </c>
      <c r="K334">
        <v>0</v>
      </c>
    </row>
    <row r="335" spans="1:11">
      <c r="A335">
        <v>24319</v>
      </c>
      <c r="B335" t="s">
        <v>714</v>
      </c>
      <c r="C335" t="s">
        <v>520</v>
      </c>
      <c r="E335" t="s">
        <v>200</v>
      </c>
      <c r="F335">
        <v>19</v>
      </c>
      <c r="G335">
        <v>1946</v>
      </c>
      <c r="H335">
        <v>481</v>
      </c>
      <c r="I335">
        <v>1.625</v>
      </c>
      <c r="J335">
        <v>109.117</v>
      </c>
      <c r="K335">
        <v>40</v>
      </c>
    </row>
    <row r="336" spans="1:11">
      <c r="A336">
        <v>18039</v>
      </c>
      <c r="B336" t="s">
        <v>1498</v>
      </c>
      <c r="C336" t="s">
        <v>506</v>
      </c>
      <c r="D336" t="s">
        <v>107</v>
      </c>
      <c r="E336" t="s">
        <v>1065</v>
      </c>
      <c r="F336">
        <v>74</v>
      </c>
      <c r="G336">
        <v>1978</v>
      </c>
      <c r="H336">
        <v>197</v>
      </c>
      <c r="I336">
        <v>11.032999999999999</v>
      </c>
      <c r="J336">
        <v>703.93899999999996</v>
      </c>
      <c r="K336">
        <v>243</v>
      </c>
    </row>
    <row r="337" spans="1:11">
      <c r="A337">
        <v>10036</v>
      </c>
      <c r="B337" t="s">
        <v>1498</v>
      </c>
      <c r="C337" t="s">
        <v>637</v>
      </c>
      <c r="D337" t="s">
        <v>107</v>
      </c>
      <c r="E337" t="s">
        <v>635</v>
      </c>
      <c r="F337">
        <v>68</v>
      </c>
      <c r="G337">
        <v>1983</v>
      </c>
      <c r="H337">
        <v>769</v>
      </c>
      <c r="I337">
        <v>0</v>
      </c>
      <c r="J337">
        <v>0</v>
      </c>
      <c r="K337">
        <v>0</v>
      </c>
    </row>
    <row r="338" spans="1:11">
      <c r="A338">
        <v>18044</v>
      </c>
      <c r="B338" t="s">
        <v>1499</v>
      </c>
      <c r="C338" t="s">
        <v>609</v>
      </c>
      <c r="D338" t="s">
        <v>107</v>
      </c>
      <c r="E338" t="s">
        <v>161</v>
      </c>
      <c r="F338">
        <v>30</v>
      </c>
      <c r="G338">
        <v>1977</v>
      </c>
      <c r="H338">
        <v>770</v>
      </c>
      <c r="I338">
        <v>0</v>
      </c>
      <c r="J338">
        <v>0</v>
      </c>
      <c r="K338">
        <v>0</v>
      </c>
    </row>
    <row r="339" spans="1:11">
      <c r="A339">
        <v>96018</v>
      </c>
      <c r="B339" t="s">
        <v>715</v>
      </c>
      <c r="C339" t="s">
        <v>530</v>
      </c>
      <c r="E339" t="s">
        <v>688</v>
      </c>
      <c r="F339">
        <v>10</v>
      </c>
      <c r="G339">
        <v>1954</v>
      </c>
      <c r="H339">
        <v>771</v>
      </c>
      <c r="I339">
        <v>0</v>
      </c>
      <c r="J339">
        <v>0</v>
      </c>
      <c r="K339">
        <v>0</v>
      </c>
    </row>
    <row r="340" spans="1:11">
      <c r="A340">
        <v>96019</v>
      </c>
      <c r="B340" t="s">
        <v>716</v>
      </c>
      <c r="C340" t="s">
        <v>717</v>
      </c>
      <c r="D340" t="s">
        <v>107</v>
      </c>
      <c r="E340" t="s">
        <v>688</v>
      </c>
      <c r="F340">
        <v>10</v>
      </c>
      <c r="G340">
        <v>1955</v>
      </c>
      <c r="H340">
        <v>772</v>
      </c>
      <c r="I340">
        <v>0</v>
      </c>
      <c r="J340">
        <v>0</v>
      </c>
      <c r="K340">
        <v>0</v>
      </c>
    </row>
    <row r="341" spans="1:11">
      <c r="A341">
        <v>19027</v>
      </c>
      <c r="B341" t="s">
        <v>1630</v>
      </c>
      <c r="C341" t="s">
        <v>511</v>
      </c>
      <c r="E341" t="s">
        <v>1179</v>
      </c>
      <c r="F341">
        <v>79</v>
      </c>
      <c r="G341">
        <v>1973</v>
      </c>
      <c r="H341">
        <v>276</v>
      </c>
      <c r="I341">
        <v>7.6260000000000003</v>
      </c>
      <c r="J341">
        <v>420.93099999999998</v>
      </c>
      <c r="K341">
        <v>80</v>
      </c>
    </row>
    <row r="342" spans="1:11">
      <c r="A342">
        <v>19048</v>
      </c>
      <c r="B342" t="s">
        <v>1631</v>
      </c>
      <c r="C342" t="s">
        <v>637</v>
      </c>
      <c r="D342" t="s">
        <v>610</v>
      </c>
      <c r="E342" t="s">
        <v>1057</v>
      </c>
      <c r="F342">
        <v>2</v>
      </c>
      <c r="G342">
        <v>2011</v>
      </c>
      <c r="H342">
        <v>773</v>
      </c>
      <c r="I342">
        <v>0</v>
      </c>
      <c r="J342">
        <v>0</v>
      </c>
      <c r="K342">
        <v>0</v>
      </c>
    </row>
    <row r="343" spans="1:11">
      <c r="A343">
        <v>19049</v>
      </c>
      <c r="B343" t="s">
        <v>1631</v>
      </c>
      <c r="C343" t="s">
        <v>933</v>
      </c>
      <c r="D343" t="s">
        <v>610</v>
      </c>
      <c r="E343" t="s">
        <v>1057</v>
      </c>
      <c r="F343">
        <v>2</v>
      </c>
      <c r="G343">
        <v>2009</v>
      </c>
      <c r="H343">
        <v>774</v>
      </c>
      <c r="I343">
        <v>0</v>
      </c>
      <c r="J343">
        <v>0</v>
      </c>
      <c r="K343">
        <v>0</v>
      </c>
    </row>
    <row r="344" spans="1:11">
      <c r="A344">
        <v>14001</v>
      </c>
      <c r="B344" t="s">
        <v>718</v>
      </c>
      <c r="C344" t="s">
        <v>553</v>
      </c>
      <c r="D344" t="s">
        <v>91</v>
      </c>
      <c r="E344" t="s">
        <v>484</v>
      </c>
      <c r="F344">
        <v>21</v>
      </c>
      <c r="G344">
        <v>2004</v>
      </c>
      <c r="H344">
        <v>567</v>
      </c>
      <c r="I344">
        <v>1.5</v>
      </c>
      <c r="J344">
        <v>55.213999999999999</v>
      </c>
      <c r="K344">
        <v>0</v>
      </c>
    </row>
    <row r="345" spans="1:11">
      <c r="A345">
        <v>25046</v>
      </c>
      <c r="B345" t="s">
        <v>718</v>
      </c>
      <c r="C345" t="s">
        <v>531</v>
      </c>
      <c r="E345" t="s">
        <v>484</v>
      </c>
      <c r="F345">
        <v>21</v>
      </c>
      <c r="G345">
        <v>1977</v>
      </c>
      <c r="H345">
        <v>568</v>
      </c>
      <c r="I345">
        <v>1.5</v>
      </c>
      <c r="J345">
        <v>55.213999999999999</v>
      </c>
      <c r="K345">
        <v>0</v>
      </c>
    </row>
    <row r="346" spans="1:11">
      <c r="A346">
        <v>11032</v>
      </c>
      <c r="B346" t="s">
        <v>718</v>
      </c>
      <c r="C346" t="s">
        <v>606</v>
      </c>
      <c r="E346" t="s">
        <v>484</v>
      </c>
      <c r="F346">
        <v>21</v>
      </c>
      <c r="G346">
        <v>1998</v>
      </c>
      <c r="H346">
        <v>521</v>
      </c>
      <c r="I346">
        <v>2.25</v>
      </c>
      <c r="J346">
        <v>82.82</v>
      </c>
      <c r="K346">
        <v>0</v>
      </c>
    </row>
    <row r="347" spans="1:11">
      <c r="A347">
        <v>96045</v>
      </c>
      <c r="B347" t="s">
        <v>718</v>
      </c>
      <c r="C347" t="s">
        <v>607</v>
      </c>
      <c r="E347" t="s">
        <v>484</v>
      </c>
      <c r="F347">
        <v>21</v>
      </c>
      <c r="G347">
        <v>1958</v>
      </c>
      <c r="H347">
        <v>605</v>
      </c>
      <c r="I347">
        <v>0.84399999999999997</v>
      </c>
      <c r="J347">
        <v>31.058</v>
      </c>
      <c r="K347">
        <v>0</v>
      </c>
    </row>
    <row r="348" spans="1:11">
      <c r="A348">
        <v>96046</v>
      </c>
      <c r="B348" t="s">
        <v>718</v>
      </c>
      <c r="C348" t="s">
        <v>1500</v>
      </c>
      <c r="E348" t="s">
        <v>484</v>
      </c>
      <c r="F348">
        <v>21</v>
      </c>
      <c r="G348">
        <v>1952</v>
      </c>
      <c r="H348">
        <v>775</v>
      </c>
      <c r="I348">
        <v>0</v>
      </c>
      <c r="J348">
        <v>0</v>
      </c>
      <c r="K348">
        <v>0</v>
      </c>
    </row>
    <row r="349" spans="1:11">
      <c r="A349">
        <v>12074</v>
      </c>
      <c r="B349" t="s">
        <v>1085</v>
      </c>
      <c r="C349" t="s">
        <v>820</v>
      </c>
      <c r="D349" t="s">
        <v>107</v>
      </c>
      <c r="E349" t="s">
        <v>484</v>
      </c>
      <c r="F349">
        <v>21</v>
      </c>
      <c r="G349">
        <v>1974</v>
      </c>
      <c r="H349">
        <v>776</v>
      </c>
      <c r="I349">
        <v>0</v>
      </c>
      <c r="J349">
        <v>0</v>
      </c>
      <c r="K349">
        <v>0</v>
      </c>
    </row>
    <row r="350" spans="1:11">
      <c r="A350">
        <v>10144</v>
      </c>
      <c r="B350" t="s">
        <v>719</v>
      </c>
      <c r="C350" t="s">
        <v>553</v>
      </c>
      <c r="E350" t="s">
        <v>1045</v>
      </c>
      <c r="F350">
        <v>56</v>
      </c>
      <c r="G350">
        <v>1944</v>
      </c>
      <c r="H350">
        <v>413</v>
      </c>
      <c r="I350">
        <v>4.7809999999999997</v>
      </c>
      <c r="J350">
        <v>187.64599999999999</v>
      </c>
      <c r="K350">
        <v>0</v>
      </c>
    </row>
    <row r="351" spans="1:11">
      <c r="A351">
        <v>11014</v>
      </c>
      <c r="B351" t="s">
        <v>720</v>
      </c>
      <c r="C351" t="s">
        <v>721</v>
      </c>
      <c r="D351" t="s">
        <v>107</v>
      </c>
      <c r="E351" t="s">
        <v>1045</v>
      </c>
      <c r="F351">
        <v>56</v>
      </c>
      <c r="G351">
        <v>1945</v>
      </c>
      <c r="H351">
        <v>506</v>
      </c>
      <c r="I351">
        <v>2.6890000000000001</v>
      </c>
      <c r="J351">
        <v>92.852999999999994</v>
      </c>
      <c r="K351">
        <v>0</v>
      </c>
    </row>
    <row r="352" spans="1:11">
      <c r="A352">
        <v>24278</v>
      </c>
      <c r="B352" t="s">
        <v>722</v>
      </c>
      <c r="C352" t="s">
        <v>509</v>
      </c>
      <c r="E352" t="s">
        <v>164</v>
      </c>
      <c r="F352">
        <v>52</v>
      </c>
      <c r="G352">
        <v>1988</v>
      </c>
      <c r="H352">
        <v>777</v>
      </c>
      <c r="I352">
        <v>0</v>
      </c>
      <c r="J352">
        <v>0</v>
      </c>
      <c r="K352">
        <v>0</v>
      </c>
    </row>
    <row r="353" spans="1:11">
      <c r="A353">
        <v>24277</v>
      </c>
      <c r="B353" t="s">
        <v>722</v>
      </c>
      <c r="C353" t="s">
        <v>504</v>
      </c>
      <c r="E353" t="s">
        <v>164</v>
      </c>
      <c r="F353">
        <v>52</v>
      </c>
      <c r="G353">
        <v>1974</v>
      </c>
      <c r="H353">
        <v>212</v>
      </c>
      <c r="I353">
        <v>6.532</v>
      </c>
      <c r="J353">
        <v>640.16700000000003</v>
      </c>
      <c r="K353">
        <v>364</v>
      </c>
    </row>
    <row r="354" spans="1:11">
      <c r="A354">
        <v>16038</v>
      </c>
      <c r="B354" t="s">
        <v>1245</v>
      </c>
      <c r="C354" t="s">
        <v>597</v>
      </c>
      <c r="D354" t="s">
        <v>107</v>
      </c>
      <c r="E354" t="s">
        <v>1060</v>
      </c>
      <c r="F354">
        <v>70</v>
      </c>
      <c r="G354">
        <v>1942</v>
      </c>
      <c r="H354">
        <v>778</v>
      </c>
      <c r="I354">
        <v>0</v>
      </c>
      <c r="J354">
        <v>0</v>
      </c>
      <c r="K354">
        <v>0</v>
      </c>
    </row>
    <row r="355" spans="1:11">
      <c r="A355">
        <v>25011</v>
      </c>
      <c r="B355" t="s">
        <v>723</v>
      </c>
      <c r="C355" t="s">
        <v>521</v>
      </c>
      <c r="E355" t="s">
        <v>1063</v>
      </c>
      <c r="F355">
        <v>55</v>
      </c>
      <c r="G355">
        <v>1963</v>
      </c>
      <c r="H355">
        <v>93</v>
      </c>
      <c r="I355">
        <v>21.376000000000001</v>
      </c>
      <c r="J355">
        <v>1450.655</v>
      </c>
      <c r="K355">
        <v>540</v>
      </c>
    </row>
    <row r="356" spans="1:11">
      <c r="A356">
        <v>15077</v>
      </c>
      <c r="B356" t="s">
        <v>1246</v>
      </c>
      <c r="C356" t="s">
        <v>609</v>
      </c>
      <c r="D356" t="s">
        <v>107</v>
      </c>
      <c r="E356" t="s">
        <v>483</v>
      </c>
      <c r="F356">
        <v>13</v>
      </c>
      <c r="G356">
        <v>1978</v>
      </c>
      <c r="H356">
        <v>779</v>
      </c>
      <c r="I356">
        <v>0</v>
      </c>
      <c r="J356">
        <v>0</v>
      </c>
      <c r="K356">
        <v>0</v>
      </c>
    </row>
    <row r="357" spans="1:11">
      <c r="A357">
        <v>16039</v>
      </c>
      <c r="B357" t="s">
        <v>1247</v>
      </c>
      <c r="C357" t="s">
        <v>529</v>
      </c>
      <c r="D357" t="s">
        <v>107</v>
      </c>
      <c r="E357" t="s">
        <v>1060</v>
      </c>
      <c r="F357">
        <v>70</v>
      </c>
      <c r="G357">
        <v>1934</v>
      </c>
      <c r="H357">
        <v>646</v>
      </c>
      <c r="I357">
        <v>0.25</v>
      </c>
      <c r="J357">
        <v>12.125</v>
      </c>
      <c r="K357">
        <v>0</v>
      </c>
    </row>
    <row r="358" spans="1:11">
      <c r="A358">
        <v>19051</v>
      </c>
      <c r="B358" t="s">
        <v>1632</v>
      </c>
      <c r="C358" t="s">
        <v>1633</v>
      </c>
      <c r="D358" t="s">
        <v>107</v>
      </c>
      <c r="E358" t="s">
        <v>1066</v>
      </c>
      <c r="F358">
        <v>24</v>
      </c>
      <c r="G358">
        <v>1987</v>
      </c>
      <c r="H358">
        <v>780</v>
      </c>
      <c r="I358">
        <v>0</v>
      </c>
      <c r="J358">
        <v>0</v>
      </c>
      <c r="K358">
        <v>0</v>
      </c>
    </row>
    <row r="359" spans="1:11">
      <c r="A359">
        <v>20533</v>
      </c>
      <c r="B359" t="s">
        <v>1634</v>
      </c>
      <c r="C359" t="s">
        <v>523</v>
      </c>
      <c r="D359" t="s">
        <v>107</v>
      </c>
      <c r="E359" t="s">
        <v>1473</v>
      </c>
      <c r="F359">
        <v>87</v>
      </c>
      <c r="G359">
        <v>1949</v>
      </c>
      <c r="H359">
        <v>266</v>
      </c>
      <c r="I359">
        <v>7.782</v>
      </c>
      <c r="J359">
        <v>445.23</v>
      </c>
      <c r="K359">
        <v>159</v>
      </c>
    </row>
    <row r="360" spans="1:11">
      <c r="A360">
        <v>98307</v>
      </c>
      <c r="B360" t="s">
        <v>724</v>
      </c>
      <c r="C360" t="s">
        <v>725</v>
      </c>
      <c r="E360" t="s">
        <v>161</v>
      </c>
      <c r="F360">
        <v>30</v>
      </c>
      <c r="G360">
        <v>1979</v>
      </c>
      <c r="H360">
        <v>141</v>
      </c>
      <c r="I360">
        <v>30.812999999999999</v>
      </c>
      <c r="J360">
        <v>1044.4639999999999</v>
      </c>
      <c r="K360">
        <v>0</v>
      </c>
    </row>
    <row r="361" spans="1:11">
      <c r="A361">
        <v>11011</v>
      </c>
      <c r="B361" t="s">
        <v>726</v>
      </c>
      <c r="C361" t="s">
        <v>538</v>
      </c>
      <c r="E361" t="s">
        <v>170</v>
      </c>
      <c r="F361">
        <v>14</v>
      </c>
      <c r="G361">
        <v>1984</v>
      </c>
      <c r="H361">
        <v>403</v>
      </c>
      <c r="I361">
        <v>2.9689999999999999</v>
      </c>
      <c r="J361">
        <v>195.71199999999999</v>
      </c>
      <c r="K361">
        <v>71</v>
      </c>
    </row>
    <row r="362" spans="1:11">
      <c r="A362">
        <v>19032</v>
      </c>
      <c r="B362" t="s">
        <v>1635</v>
      </c>
      <c r="C362" t="s">
        <v>504</v>
      </c>
      <c r="E362" t="s">
        <v>481</v>
      </c>
      <c r="F362">
        <v>69</v>
      </c>
      <c r="G362">
        <v>1951</v>
      </c>
      <c r="H362">
        <v>300</v>
      </c>
      <c r="I362">
        <v>8.8140000000000001</v>
      </c>
      <c r="J362">
        <v>344.245</v>
      </c>
      <c r="K362">
        <v>77</v>
      </c>
    </row>
    <row r="363" spans="1:11">
      <c r="A363">
        <v>14089</v>
      </c>
      <c r="B363" t="s">
        <v>1248</v>
      </c>
      <c r="C363" t="s">
        <v>538</v>
      </c>
      <c r="E363" t="s">
        <v>1179</v>
      </c>
      <c r="F363">
        <v>79</v>
      </c>
      <c r="G363">
        <v>1985</v>
      </c>
      <c r="H363">
        <v>781</v>
      </c>
      <c r="I363">
        <v>0</v>
      </c>
      <c r="J363">
        <v>0</v>
      </c>
      <c r="K363">
        <v>0</v>
      </c>
    </row>
    <row r="364" spans="1:11">
      <c r="A364">
        <v>21769</v>
      </c>
      <c r="B364" t="s">
        <v>727</v>
      </c>
      <c r="C364" t="s">
        <v>517</v>
      </c>
      <c r="E364" t="s">
        <v>200</v>
      </c>
      <c r="F364">
        <v>19</v>
      </c>
      <c r="G364">
        <v>1986</v>
      </c>
      <c r="H364">
        <v>782</v>
      </c>
      <c r="I364">
        <v>0</v>
      </c>
      <c r="J364">
        <v>0</v>
      </c>
      <c r="K364">
        <v>0</v>
      </c>
    </row>
    <row r="365" spans="1:11">
      <c r="A365">
        <v>99590</v>
      </c>
      <c r="B365" t="s">
        <v>727</v>
      </c>
      <c r="C365" t="s">
        <v>643</v>
      </c>
      <c r="E365" t="s">
        <v>200</v>
      </c>
      <c r="F365">
        <v>19</v>
      </c>
      <c r="G365">
        <v>1961</v>
      </c>
      <c r="H365">
        <v>136</v>
      </c>
      <c r="I365">
        <v>19.375</v>
      </c>
      <c r="J365">
        <v>1062.1949999999999</v>
      </c>
      <c r="K365">
        <v>415</v>
      </c>
    </row>
    <row r="366" spans="1:11">
      <c r="A366">
        <v>11041</v>
      </c>
      <c r="B366" t="s">
        <v>728</v>
      </c>
      <c r="C366" t="s">
        <v>658</v>
      </c>
      <c r="D366" t="s">
        <v>107</v>
      </c>
      <c r="E366" t="s">
        <v>493</v>
      </c>
      <c r="F366">
        <v>1</v>
      </c>
      <c r="G366">
        <v>2002</v>
      </c>
      <c r="H366">
        <v>139</v>
      </c>
      <c r="I366">
        <v>14.736000000000001</v>
      </c>
      <c r="J366">
        <v>1051.78</v>
      </c>
      <c r="K366">
        <v>417</v>
      </c>
    </row>
    <row r="367" spans="1:11">
      <c r="A367">
        <v>14103</v>
      </c>
      <c r="B367" t="s">
        <v>1249</v>
      </c>
      <c r="C367" t="s">
        <v>503</v>
      </c>
      <c r="E367" t="s">
        <v>1065</v>
      </c>
      <c r="F367">
        <v>74</v>
      </c>
      <c r="G367">
        <v>1958</v>
      </c>
      <c r="H367">
        <v>320</v>
      </c>
      <c r="I367">
        <v>4.5940000000000003</v>
      </c>
      <c r="J367">
        <v>309.54199999999997</v>
      </c>
      <c r="K367">
        <v>141</v>
      </c>
    </row>
    <row r="368" spans="1:11">
      <c r="A368">
        <v>27003</v>
      </c>
      <c r="B368" t="s">
        <v>729</v>
      </c>
      <c r="C368" t="s">
        <v>521</v>
      </c>
      <c r="E368" t="s">
        <v>525</v>
      </c>
      <c r="F368">
        <v>59</v>
      </c>
      <c r="G368">
        <v>1987</v>
      </c>
      <c r="H368">
        <v>783</v>
      </c>
      <c r="I368">
        <v>0</v>
      </c>
      <c r="J368">
        <v>0</v>
      </c>
      <c r="K368">
        <v>0</v>
      </c>
    </row>
    <row r="369" spans="1:11">
      <c r="A369">
        <v>11060</v>
      </c>
      <c r="B369" t="s">
        <v>730</v>
      </c>
      <c r="C369" t="s">
        <v>685</v>
      </c>
      <c r="E369" t="s">
        <v>475</v>
      </c>
      <c r="F369">
        <v>27</v>
      </c>
      <c r="G369">
        <v>1967</v>
      </c>
      <c r="H369">
        <v>618</v>
      </c>
      <c r="I369">
        <v>0.56299999999999994</v>
      </c>
      <c r="J369">
        <v>23.202999999999999</v>
      </c>
      <c r="K369">
        <v>0</v>
      </c>
    </row>
    <row r="370" spans="1:11">
      <c r="A370">
        <v>25087</v>
      </c>
      <c r="B370" t="s">
        <v>731</v>
      </c>
      <c r="C370" t="s">
        <v>614</v>
      </c>
      <c r="D370" t="s">
        <v>107</v>
      </c>
      <c r="E370" t="s">
        <v>475</v>
      </c>
      <c r="F370">
        <v>27</v>
      </c>
      <c r="G370">
        <v>1970</v>
      </c>
      <c r="H370">
        <v>532</v>
      </c>
      <c r="I370">
        <v>3.0939999999999999</v>
      </c>
      <c r="J370">
        <v>75.391999999999996</v>
      </c>
      <c r="K370">
        <v>0</v>
      </c>
    </row>
    <row r="371" spans="1:11">
      <c r="A371">
        <v>13029</v>
      </c>
      <c r="B371" t="s">
        <v>1086</v>
      </c>
      <c r="C371" t="s">
        <v>503</v>
      </c>
      <c r="E371" t="s">
        <v>1062</v>
      </c>
      <c r="F371">
        <v>76</v>
      </c>
      <c r="G371">
        <v>1961</v>
      </c>
      <c r="H371">
        <v>33</v>
      </c>
      <c r="I371">
        <v>28.876000000000001</v>
      </c>
      <c r="J371">
        <v>2048.9209999999998</v>
      </c>
      <c r="K371">
        <v>843</v>
      </c>
    </row>
    <row r="372" spans="1:11">
      <c r="A372">
        <v>20608</v>
      </c>
      <c r="B372" t="s">
        <v>1636</v>
      </c>
      <c r="C372" t="s">
        <v>504</v>
      </c>
      <c r="E372" t="s">
        <v>1578</v>
      </c>
      <c r="F372">
        <v>95</v>
      </c>
      <c r="G372">
        <v>1958</v>
      </c>
      <c r="H372">
        <v>784</v>
      </c>
      <c r="I372">
        <v>0</v>
      </c>
      <c r="J372">
        <v>0</v>
      </c>
      <c r="K372">
        <v>0</v>
      </c>
    </row>
    <row r="373" spans="1:11">
      <c r="A373">
        <v>11038</v>
      </c>
      <c r="B373" t="s">
        <v>732</v>
      </c>
      <c r="C373" t="s">
        <v>733</v>
      </c>
      <c r="E373" t="s">
        <v>493</v>
      </c>
      <c r="F373">
        <v>1</v>
      </c>
      <c r="G373">
        <v>1979</v>
      </c>
      <c r="H373">
        <v>632</v>
      </c>
      <c r="I373">
        <v>0.375</v>
      </c>
      <c r="J373">
        <v>17.917999999999999</v>
      </c>
      <c r="K373">
        <v>0</v>
      </c>
    </row>
    <row r="374" spans="1:11">
      <c r="A374">
        <v>28007</v>
      </c>
      <c r="B374" t="s">
        <v>734</v>
      </c>
      <c r="C374" t="s">
        <v>633</v>
      </c>
      <c r="E374" t="s">
        <v>170</v>
      </c>
      <c r="F374">
        <v>14</v>
      </c>
      <c r="G374">
        <v>1993</v>
      </c>
      <c r="H374">
        <v>102</v>
      </c>
      <c r="I374">
        <v>25.719000000000001</v>
      </c>
      <c r="J374">
        <v>1387.816</v>
      </c>
      <c r="K374">
        <v>259</v>
      </c>
    </row>
    <row r="375" spans="1:11">
      <c r="A375">
        <v>14023</v>
      </c>
      <c r="B375" t="s">
        <v>1250</v>
      </c>
      <c r="C375" t="s">
        <v>504</v>
      </c>
      <c r="E375" t="s">
        <v>1063</v>
      </c>
      <c r="F375">
        <v>55</v>
      </c>
      <c r="G375">
        <v>1960</v>
      </c>
      <c r="H375">
        <v>785</v>
      </c>
      <c r="I375">
        <v>0</v>
      </c>
      <c r="J375">
        <v>0</v>
      </c>
      <c r="K375">
        <v>0</v>
      </c>
    </row>
    <row r="376" spans="1:11">
      <c r="A376">
        <v>96115</v>
      </c>
      <c r="B376" t="s">
        <v>735</v>
      </c>
      <c r="C376" t="s">
        <v>553</v>
      </c>
      <c r="E376" t="s">
        <v>478</v>
      </c>
      <c r="F376">
        <v>7</v>
      </c>
      <c r="G376">
        <v>1969</v>
      </c>
      <c r="H376">
        <v>428</v>
      </c>
      <c r="I376">
        <v>1.4379999999999999</v>
      </c>
      <c r="J376">
        <v>170.49199999999999</v>
      </c>
      <c r="K376">
        <v>107</v>
      </c>
    </row>
    <row r="377" spans="1:11">
      <c r="A377">
        <v>10139</v>
      </c>
      <c r="B377" t="s">
        <v>737</v>
      </c>
      <c r="C377" t="s">
        <v>531</v>
      </c>
      <c r="E377" t="s">
        <v>170</v>
      </c>
      <c r="F377">
        <v>14</v>
      </c>
      <c r="G377">
        <v>1946</v>
      </c>
      <c r="H377">
        <v>115</v>
      </c>
      <c r="I377">
        <v>23.439</v>
      </c>
      <c r="J377">
        <v>1295.346</v>
      </c>
      <c r="K377">
        <v>448</v>
      </c>
    </row>
    <row r="378" spans="1:11">
      <c r="A378">
        <v>12047</v>
      </c>
      <c r="B378" t="s">
        <v>738</v>
      </c>
      <c r="C378" t="s">
        <v>739</v>
      </c>
      <c r="D378" t="s">
        <v>107</v>
      </c>
      <c r="E378" t="s">
        <v>170</v>
      </c>
      <c r="F378">
        <v>14</v>
      </c>
      <c r="G378">
        <v>1947</v>
      </c>
      <c r="H378">
        <v>147</v>
      </c>
      <c r="I378">
        <v>19.689</v>
      </c>
      <c r="J378">
        <v>1013.616</v>
      </c>
      <c r="K378">
        <v>259</v>
      </c>
    </row>
    <row r="379" spans="1:11">
      <c r="A379">
        <v>17022</v>
      </c>
      <c r="B379" t="s">
        <v>738</v>
      </c>
      <c r="C379" t="s">
        <v>827</v>
      </c>
      <c r="D379" t="s">
        <v>107</v>
      </c>
      <c r="E379" t="s">
        <v>582</v>
      </c>
      <c r="F379">
        <v>45</v>
      </c>
      <c r="G379">
        <v>1969</v>
      </c>
      <c r="H379">
        <v>291</v>
      </c>
      <c r="I379">
        <v>7.5949999999999998</v>
      </c>
      <c r="J379">
        <v>368.13299999999998</v>
      </c>
      <c r="K379">
        <v>71</v>
      </c>
    </row>
    <row r="380" spans="1:11">
      <c r="A380">
        <v>27039</v>
      </c>
      <c r="B380" t="s">
        <v>740</v>
      </c>
      <c r="C380" t="s">
        <v>681</v>
      </c>
      <c r="E380" t="s">
        <v>200</v>
      </c>
      <c r="F380">
        <v>19</v>
      </c>
      <c r="G380">
        <v>1966</v>
      </c>
      <c r="H380">
        <v>1</v>
      </c>
      <c r="I380">
        <v>50.75</v>
      </c>
      <c r="J380">
        <v>3696.9119999999998</v>
      </c>
      <c r="K380">
        <v>1508</v>
      </c>
    </row>
    <row r="381" spans="1:11">
      <c r="A381">
        <v>10080</v>
      </c>
      <c r="B381" t="s">
        <v>741</v>
      </c>
      <c r="C381" t="s">
        <v>742</v>
      </c>
      <c r="E381" t="s">
        <v>481</v>
      </c>
      <c r="F381">
        <v>69</v>
      </c>
      <c r="G381">
        <v>1960</v>
      </c>
      <c r="H381">
        <v>786</v>
      </c>
      <c r="I381">
        <v>0</v>
      </c>
      <c r="J381">
        <v>0</v>
      </c>
      <c r="K381">
        <v>0</v>
      </c>
    </row>
    <row r="382" spans="1:11">
      <c r="A382">
        <v>16029</v>
      </c>
      <c r="B382" t="s">
        <v>1251</v>
      </c>
      <c r="C382" t="s">
        <v>804</v>
      </c>
      <c r="D382" t="s">
        <v>107</v>
      </c>
      <c r="E382" t="s">
        <v>1179</v>
      </c>
      <c r="F382">
        <v>79</v>
      </c>
      <c r="G382">
        <v>1982</v>
      </c>
      <c r="H382">
        <v>111</v>
      </c>
      <c r="I382">
        <v>19.001000000000001</v>
      </c>
      <c r="J382">
        <v>1306.038</v>
      </c>
      <c r="K382">
        <v>526</v>
      </c>
    </row>
    <row r="383" spans="1:11">
      <c r="A383">
        <v>28034</v>
      </c>
      <c r="B383" t="s">
        <v>743</v>
      </c>
      <c r="C383" t="s">
        <v>744</v>
      </c>
      <c r="D383" t="s">
        <v>107</v>
      </c>
      <c r="E383" t="s">
        <v>582</v>
      </c>
      <c r="F383">
        <v>45</v>
      </c>
      <c r="G383">
        <v>1961</v>
      </c>
      <c r="H383">
        <v>346</v>
      </c>
      <c r="I383">
        <v>4.7190000000000003</v>
      </c>
      <c r="J383">
        <v>270.459</v>
      </c>
      <c r="K383">
        <v>71</v>
      </c>
    </row>
    <row r="384" spans="1:11">
      <c r="A384">
        <v>16119</v>
      </c>
      <c r="B384" t="s">
        <v>1252</v>
      </c>
      <c r="C384" t="s">
        <v>1253</v>
      </c>
      <c r="D384" t="s">
        <v>107</v>
      </c>
      <c r="E384" t="s">
        <v>1179</v>
      </c>
      <c r="F384">
        <v>79</v>
      </c>
      <c r="G384">
        <v>1983</v>
      </c>
      <c r="H384">
        <v>787</v>
      </c>
      <c r="I384">
        <v>0</v>
      </c>
      <c r="J384">
        <v>0</v>
      </c>
      <c r="K384">
        <v>0</v>
      </c>
    </row>
    <row r="385" spans="1:11">
      <c r="A385">
        <v>20501</v>
      </c>
      <c r="B385" t="s">
        <v>1637</v>
      </c>
      <c r="C385" t="s">
        <v>749</v>
      </c>
      <c r="D385" t="s">
        <v>107</v>
      </c>
      <c r="E385" t="s">
        <v>493</v>
      </c>
      <c r="F385">
        <v>1</v>
      </c>
      <c r="G385">
        <v>1949</v>
      </c>
      <c r="H385">
        <v>416</v>
      </c>
      <c r="I385">
        <v>2.6259999999999999</v>
      </c>
      <c r="J385">
        <v>182.624</v>
      </c>
      <c r="K385">
        <v>74</v>
      </c>
    </row>
    <row r="386" spans="1:11">
      <c r="A386">
        <v>19033</v>
      </c>
      <c r="B386" t="s">
        <v>1638</v>
      </c>
      <c r="C386" t="s">
        <v>1639</v>
      </c>
      <c r="E386" t="s">
        <v>481</v>
      </c>
      <c r="F386">
        <v>69</v>
      </c>
      <c r="G386">
        <v>1940</v>
      </c>
      <c r="H386">
        <v>788</v>
      </c>
      <c r="I386">
        <v>0</v>
      </c>
      <c r="J386">
        <v>0</v>
      </c>
      <c r="K386">
        <v>0</v>
      </c>
    </row>
    <row r="387" spans="1:11">
      <c r="A387">
        <v>18014</v>
      </c>
      <c r="B387" t="s">
        <v>1403</v>
      </c>
      <c r="C387" t="s">
        <v>711</v>
      </c>
      <c r="D387" t="s">
        <v>107</v>
      </c>
      <c r="E387" t="s">
        <v>1473</v>
      </c>
      <c r="F387">
        <v>87</v>
      </c>
      <c r="G387">
        <v>1948</v>
      </c>
      <c r="H387">
        <v>431</v>
      </c>
      <c r="I387">
        <v>2.7509999999999999</v>
      </c>
      <c r="J387">
        <v>166.34299999999999</v>
      </c>
      <c r="K387">
        <v>33</v>
      </c>
    </row>
    <row r="388" spans="1:11">
      <c r="A388">
        <v>14099</v>
      </c>
      <c r="B388" t="s">
        <v>1255</v>
      </c>
      <c r="C388" t="s">
        <v>885</v>
      </c>
      <c r="E388" t="s">
        <v>164</v>
      </c>
      <c r="F388">
        <v>52</v>
      </c>
      <c r="G388">
        <v>1982</v>
      </c>
      <c r="H388">
        <v>145</v>
      </c>
      <c r="I388">
        <v>16.783000000000001</v>
      </c>
      <c r="J388">
        <v>1015.644</v>
      </c>
      <c r="K388">
        <v>320</v>
      </c>
    </row>
    <row r="389" spans="1:11">
      <c r="A389">
        <v>14026</v>
      </c>
      <c r="B389" t="s">
        <v>1256</v>
      </c>
      <c r="C389" t="s">
        <v>604</v>
      </c>
      <c r="D389" t="s">
        <v>107</v>
      </c>
      <c r="E389" t="s">
        <v>156</v>
      </c>
      <c r="F389">
        <v>6</v>
      </c>
      <c r="G389">
        <v>1953</v>
      </c>
      <c r="H389">
        <v>295</v>
      </c>
      <c r="I389">
        <v>6.657</v>
      </c>
      <c r="J389">
        <v>356.72199999999998</v>
      </c>
      <c r="K389">
        <v>83</v>
      </c>
    </row>
    <row r="390" spans="1:11">
      <c r="A390">
        <v>14077</v>
      </c>
      <c r="B390" t="s">
        <v>1257</v>
      </c>
      <c r="C390" t="s">
        <v>570</v>
      </c>
      <c r="E390" t="s">
        <v>1179</v>
      </c>
      <c r="F390">
        <v>79</v>
      </c>
      <c r="G390">
        <v>1989</v>
      </c>
      <c r="H390">
        <v>789</v>
      </c>
      <c r="I390">
        <v>0</v>
      </c>
      <c r="J390">
        <v>0</v>
      </c>
      <c r="K390">
        <v>0</v>
      </c>
    </row>
    <row r="391" spans="1:11">
      <c r="A391">
        <v>14076</v>
      </c>
      <c r="B391" t="s">
        <v>1257</v>
      </c>
      <c r="C391" t="s">
        <v>521</v>
      </c>
      <c r="E391" t="s">
        <v>1179</v>
      </c>
      <c r="F391">
        <v>79</v>
      </c>
      <c r="G391">
        <v>1985</v>
      </c>
      <c r="H391">
        <v>62</v>
      </c>
      <c r="I391">
        <v>26.687999999999999</v>
      </c>
      <c r="J391">
        <v>1730.1869999999999</v>
      </c>
      <c r="K391">
        <v>667</v>
      </c>
    </row>
    <row r="392" spans="1:11">
      <c r="A392">
        <v>19013</v>
      </c>
      <c r="B392" t="s">
        <v>1640</v>
      </c>
      <c r="C392" t="s">
        <v>520</v>
      </c>
      <c r="E392" t="s">
        <v>1070</v>
      </c>
      <c r="F392">
        <v>42</v>
      </c>
      <c r="G392">
        <v>1968</v>
      </c>
      <c r="H392">
        <v>214</v>
      </c>
      <c r="I392">
        <v>8.032</v>
      </c>
      <c r="J392">
        <v>637.70699999999999</v>
      </c>
      <c r="K392">
        <v>279</v>
      </c>
    </row>
    <row r="393" spans="1:11">
      <c r="A393">
        <v>10038</v>
      </c>
      <c r="B393" t="s">
        <v>745</v>
      </c>
      <c r="C393" t="s">
        <v>526</v>
      </c>
      <c r="E393" t="s">
        <v>635</v>
      </c>
      <c r="F393">
        <v>68</v>
      </c>
      <c r="G393">
        <v>1976</v>
      </c>
      <c r="H393">
        <v>790</v>
      </c>
      <c r="I393">
        <v>0</v>
      </c>
      <c r="J393">
        <v>0</v>
      </c>
      <c r="K393">
        <v>0</v>
      </c>
    </row>
    <row r="394" spans="1:11">
      <c r="A394">
        <v>20578</v>
      </c>
      <c r="B394" t="s">
        <v>1641</v>
      </c>
      <c r="C394" t="s">
        <v>550</v>
      </c>
      <c r="E394" t="s">
        <v>1488</v>
      </c>
      <c r="F394">
        <v>88</v>
      </c>
      <c r="G394">
        <v>1968</v>
      </c>
      <c r="H394">
        <v>560</v>
      </c>
      <c r="I394">
        <v>2.2509999999999999</v>
      </c>
      <c r="J394">
        <v>59.466999999999999</v>
      </c>
      <c r="K394">
        <v>0</v>
      </c>
    </row>
    <row r="395" spans="1:11">
      <c r="A395">
        <v>17033</v>
      </c>
      <c r="B395" t="s">
        <v>1404</v>
      </c>
      <c r="C395" t="s">
        <v>1405</v>
      </c>
      <c r="D395" t="s">
        <v>91</v>
      </c>
      <c r="E395" t="s">
        <v>493</v>
      </c>
      <c r="F395">
        <v>1</v>
      </c>
      <c r="G395">
        <v>2009</v>
      </c>
      <c r="H395">
        <v>289</v>
      </c>
      <c r="I395">
        <v>5.5940000000000003</v>
      </c>
      <c r="J395">
        <v>375.03899999999999</v>
      </c>
      <c r="K395">
        <v>157</v>
      </c>
    </row>
    <row r="396" spans="1:11">
      <c r="A396">
        <v>17034</v>
      </c>
      <c r="B396" t="s">
        <v>1406</v>
      </c>
      <c r="C396" t="s">
        <v>658</v>
      </c>
      <c r="D396" t="s">
        <v>107</v>
      </c>
      <c r="E396" t="s">
        <v>493</v>
      </c>
      <c r="F396">
        <v>1</v>
      </c>
      <c r="G396">
        <v>1981</v>
      </c>
      <c r="H396">
        <v>260</v>
      </c>
      <c r="I396">
        <v>8.2189999999999994</v>
      </c>
      <c r="J396">
        <v>455.54</v>
      </c>
      <c r="K396">
        <v>157</v>
      </c>
    </row>
    <row r="397" spans="1:11">
      <c r="A397">
        <v>23029</v>
      </c>
      <c r="B397" t="s">
        <v>746</v>
      </c>
      <c r="C397" t="s">
        <v>747</v>
      </c>
      <c r="E397" t="s">
        <v>170</v>
      </c>
      <c r="F397">
        <v>14</v>
      </c>
      <c r="G397">
        <v>1967</v>
      </c>
      <c r="H397">
        <v>439</v>
      </c>
      <c r="I397">
        <v>4.125</v>
      </c>
      <c r="J397">
        <v>152.428</v>
      </c>
      <c r="K397">
        <v>0</v>
      </c>
    </row>
    <row r="398" spans="1:11">
      <c r="A398">
        <v>14095</v>
      </c>
      <c r="B398" t="s">
        <v>1501</v>
      </c>
      <c r="C398" t="s">
        <v>891</v>
      </c>
      <c r="E398" t="s">
        <v>481</v>
      </c>
      <c r="F398">
        <v>69</v>
      </c>
      <c r="G398">
        <v>2001</v>
      </c>
      <c r="H398">
        <v>651</v>
      </c>
      <c r="I398">
        <v>0.375</v>
      </c>
      <c r="J398">
        <v>6.1920000000000002</v>
      </c>
      <c r="K398">
        <v>0</v>
      </c>
    </row>
    <row r="399" spans="1:11">
      <c r="A399">
        <v>99512</v>
      </c>
      <c r="B399" t="s">
        <v>1502</v>
      </c>
      <c r="C399" t="s">
        <v>504</v>
      </c>
      <c r="E399" t="s">
        <v>472</v>
      </c>
      <c r="F399">
        <v>54</v>
      </c>
      <c r="G399">
        <v>1963</v>
      </c>
      <c r="H399">
        <v>152</v>
      </c>
      <c r="I399">
        <v>14.313000000000001</v>
      </c>
      <c r="J399">
        <v>966.15099999999995</v>
      </c>
      <c r="K399">
        <v>320</v>
      </c>
    </row>
    <row r="400" spans="1:11">
      <c r="A400">
        <v>21759</v>
      </c>
      <c r="B400" t="s">
        <v>748</v>
      </c>
      <c r="C400" t="s">
        <v>559</v>
      </c>
      <c r="E400" t="s">
        <v>518</v>
      </c>
      <c r="F400">
        <v>29</v>
      </c>
      <c r="G400">
        <v>1963</v>
      </c>
      <c r="H400">
        <v>312</v>
      </c>
      <c r="I400">
        <v>7.22</v>
      </c>
      <c r="J400">
        <v>331.75599999999997</v>
      </c>
      <c r="K400">
        <v>62</v>
      </c>
    </row>
    <row r="401" spans="1:11">
      <c r="A401">
        <v>16019</v>
      </c>
      <c r="B401" t="s">
        <v>1258</v>
      </c>
      <c r="C401" t="s">
        <v>507</v>
      </c>
      <c r="D401" t="s">
        <v>107</v>
      </c>
      <c r="E401" t="s">
        <v>1069</v>
      </c>
      <c r="F401">
        <v>28</v>
      </c>
      <c r="G401">
        <v>1954</v>
      </c>
      <c r="H401">
        <v>791</v>
      </c>
      <c r="I401">
        <v>0</v>
      </c>
      <c r="J401">
        <v>0</v>
      </c>
      <c r="K401">
        <v>0</v>
      </c>
    </row>
    <row r="402" spans="1:11">
      <c r="A402">
        <v>16079</v>
      </c>
      <c r="B402" t="s">
        <v>1259</v>
      </c>
      <c r="C402" t="s">
        <v>1260</v>
      </c>
      <c r="D402" t="s">
        <v>107</v>
      </c>
      <c r="E402" t="s">
        <v>489</v>
      </c>
      <c r="F402">
        <v>51</v>
      </c>
      <c r="G402">
        <v>1943</v>
      </c>
      <c r="H402">
        <v>343</v>
      </c>
      <c r="I402">
        <v>4.6890000000000001</v>
      </c>
      <c r="J402">
        <v>272.10199999999998</v>
      </c>
      <c r="K402">
        <v>96</v>
      </c>
    </row>
    <row r="403" spans="1:11">
      <c r="A403">
        <v>24235</v>
      </c>
      <c r="B403" t="s">
        <v>750</v>
      </c>
      <c r="C403" t="s">
        <v>507</v>
      </c>
      <c r="D403" t="s">
        <v>107</v>
      </c>
      <c r="E403" t="s">
        <v>1081</v>
      </c>
      <c r="F403">
        <v>15</v>
      </c>
      <c r="G403">
        <v>1995</v>
      </c>
      <c r="H403">
        <v>38</v>
      </c>
      <c r="I403">
        <v>31.75</v>
      </c>
      <c r="J403">
        <v>2001.925</v>
      </c>
      <c r="K403">
        <v>708</v>
      </c>
    </row>
    <row r="404" spans="1:11">
      <c r="A404">
        <v>98312</v>
      </c>
      <c r="B404" t="s">
        <v>750</v>
      </c>
      <c r="C404" t="s">
        <v>751</v>
      </c>
      <c r="D404" t="s">
        <v>107</v>
      </c>
      <c r="E404" t="s">
        <v>1081</v>
      </c>
      <c r="F404">
        <v>15</v>
      </c>
      <c r="G404">
        <v>1967</v>
      </c>
      <c r="H404">
        <v>599</v>
      </c>
      <c r="I404">
        <v>0.875</v>
      </c>
      <c r="J404">
        <v>33.631999999999998</v>
      </c>
      <c r="K404">
        <v>0</v>
      </c>
    </row>
    <row r="405" spans="1:11">
      <c r="A405">
        <v>98488</v>
      </c>
      <c r="B405" t="s">
        <v>752</v>
      </c>
      <c r="C405" t="s">
        <v>753</v>
      </c>
      <c r="E405" t="s">
        <v>1081</v>
      </c>
      <c r="F405">
        <v>15</v>
      </c>
      <c r="G405">
        <v>1988</v>
      </c>
      <c r="H405">
        <v>792</v>
      </c>
      <c r="I405">
        <v>0</v>
      </c>
      <c r="J405">
        <v>0</v>
      </c>
      <c r="K405">
        <v>0</v>
      </c>
    </row>
    <row r="406" spans="1:11">
      <c r="A406">
        <v>98311</v>
      </c>
      <c r="B406" t="s">
        <v>752</v>
      </c>
      <c r="C406" t="s">
        <v>504</v>
      </c>
      <c r="E406" t="s">
        <v>1081</v>
      </c>
      <c r="F406">
        <v>15</v>
      </c>
      <c r="G406">
        <v>1965</v>
      </c>
      <c r="H406">
        <v>600</v>
      </c>
      <c r="I406">
        <v>0.875</v>
      </c>
      <c r="J406">
        <v>33.631999999999998</v>
      </c>
      <c r="K406">
        <v>0</v>
      </c>
    </row>
    <row r="407" spans="1:11">
      <c r="A407">
        <v>27025</v>
      </c>
      <c r="B407" t="s">
        <v>754</v>
      </c>
      <c r="C407" t="s">
        <v>501</v>
      </c>
      <c r="E407" t="s">
        <v>1055</v>
      </c>
      <c r="F407">
        <v>44</v>
      </c>
      <c r="G407">
        <v>1985</v>
      </c>
      <c r="H407">
        <v>631</v>
      </c>
      <c r="I407">
        <v>1.25</v>
      </c>
      <c r="J407">
        <v>18.094000000000001</v>
      </c>
      <c r="K407">
        <v>0</v>
      </c>
    </row>
    <row r="408" spans="1:11">
      <c r="A408">
        <v>25033</v>
      </c>
      <c r="B408" t="s">
        <v>754</v>
      </c>
      <c r="C408" t="s">
        <v>559</v>
      </c>
      <c r="E408" t="s">
        <v>1066</v>
      </c>
      <c r="F408">
        <v>24</v>
      </c>
      <c r="G408">
        <v>1963</v>
      </c>
      <c r="H408">
        <v>793</v>
      </c>
      <c r="I408">
        <v>0</v>
      </c>
      <c r="J408">
        <v>0</v>
      </c>
      <c r="K408">
        <v>0</v>
      </c>
    </row>
    <row r="409" spans="1:11">
      <c r="A409">
        <v>26075</v>
      </c>
      <c r="B409" t="s">
        <v>755</v>
      </c>
      <c r="C409" t="s">
        <v>501</v>
      </c>
      <c r="E409" t="s">
        <v>1066</v>
      </c>
      <c r="F409">
        <v>24</v>
      </c>
      <c r="G409">
        <v>1985</v>
      </c>
      <c r="H409">
        <v>14</v>
      </c>
      <c r="I409">
        <v>37</v>
      </c>
      <c r="J409">
        <v>2582.8440000000001</v>
      </c>
      <c r="K409">
        <v>966</v>
      </c>
    </row>
    <row r="410" spans="1:11">
      <c r="A410">
        <v>16106</v>
      </c>
      <c r="B410" t="s">
        <v>755</v>
      </c>
      <c r="C410" t="s">
        <v>1261</v>
      </c>
      <c r="D410" t="s">
        <v>91</v>
      </c>
      <c r="E410" t="s">
        <v>170</v>
      </c>
      <c r="F410">
        <v>14</v>
      </c>
      <c r="G410">
        <v>2004</v>
      </c>
      <c r="H410">
        <v>120</v>
      </c>
      <c r="I410">
        <v>29.719000000000001</v>
      </c>
      <c r="J410">
        <v>1246.944</v>
      </c>
      <c r="K410">
        <v>204</v>
      </c>
    </row>
    <row r="411" spans="1:11">
      <c r="A411">
        <v>17035</v>
      </c>
      <c r="B411" t="s">
        <v>1407</v>
      </c>
      <c r="C411" t="s">
        <v>775</v>
      </c>
      <c r="D411" t="s">
        <v>107</v>
      </c>
      <c r="E411" t="s">
        <v>1046</v>
      </c>
      <c r="F411">
        <v>75</v>
      </c>
      <c r="G411">
        <v>1968</v>
      </c>
      <c r="H411">
        <v>484</v>
      </c>
      <c r="I411">
        <v>3.125</v>
      </c>
      <c r="J411">
        <v>107.526</v>
      </c>
      <c r="K411">
        <v>0</v>
      </c>
    </row>
    <row r="412" spans="1:11">
      <c r="A412">
        <v>15018</v>
      </c>
      <c r="B412" t="s">
        <v>1262</v>
      </c>
      <c r="C412" t="s">
        <v>1263</v>
      </c>
      <c r="D412" t="s">
        <v>107</v>
      </c>
      <c r="E412" t="s">
        <v>472</v>
      </c>
      <c r="F412">
        <v>54</v>
      </c>
      <c r="G412">
        <v>1949</v>
      </c>
      <c r="H412">
        <v>648</v>
      </c>
      <c r="I412">
        <v>0.375</v>
      </c>
      <c r="J412">
        <v>11.622999999999999</v>
      </c>
      <c r="K412">
        <v>0</v>
      </c>
    </row>
    <row r="413" spans="1:11">
      <c r="A413">
        <v>97291</v>
      </c>
      <c r="B413" t="s">
        <v>756</v>
      </c>
      <c r="C413" t="s">
        <v>538</v>
      </c>
      <c r="E413" t="s">
        <v>156</v>
      </c>
      <c r="F413">
        <v>6</v>
      </c>
      <c r="G413">
        <v>1971</v>
      </c>
      <c r="H413">
        <v>794</v>
      </c>
      <c r="I413">
        <v>0</v>
      </c>
      <c r="J413">
        <v>0</v>
      </c>
      <c r="K413">
        <v>0</v>
      </c>
    </row>
    <row r="414" spans="1:11">
      <c r="A414">
        <v>22991</v>
      </c>
      <c r="B414" t="s">
        <v>758</v>
      </c>
      <c r="C414" t="s">
        <v>606</v>
      </c>
      <c r="E414" t="s">
        <v>1401</v>
      </c>
      <c r="F414">
        <v>85</v>
      </c>
      <c r="G414">
        <v>1991</v>
      </c>
      <c r="H414">
        <v>198</v>
      </c>
      <c r="I414">
        <v>9</v>
      </c>
      <c r="J414">
        <v>700.62400000000002</v>
      </c>
      <c r="K414">
        <v>289</v>
      </c>
    </row>
    <row r="415" spans="1:11">
      <c r="A415">
        <v>21912</v>
      </c>
      <c r="B415" t="s">
        <v>758</v>
      </c>
      <c r="C415" t="s">
        <v>607</v>
      </c>
      <c r="E415" t="s">
        <v>1401</v>
      </c>
      <c r="F415">
        <v>85</v>
      </c>
      <c r="G415">
        <v>1956</v>
      </c>
      <c r="H415">
        <v>29</v>
      </c>
      <c r="I415">
        <v>30.719000000000001</v>
      </c>
      <c r="J415">
        <v>2119.8679999999999</v>
      </c>
      <c r="K415">
        <v>742</v>
      </c>
    </row>
    <row r="416" spans="1:11">
      <c r="A416">
        <v>21913</v>
      </c>
      <c r="B416" t="s">
        <v>759</v>
      </c>
      <c r="C416" t="s">
        <v>576</v>
      </c>
      <c r="D416" t="s">
        <v>107</v>
      </c>
      <c r="E416" t="s">
        <v>1401</v>
      </c>
      <c r="F416">
        <v>85</v>
      </c>
      <c r="G416">
        <v>1957</v>
      </c>
      <c r="H416">
        <v>81</v>
      </c>
      <c r="I416">
        <v>21.829000000000001</v>
      </c>
      <c r="J416">
        <v>1589.4059999999999</v>
      </c>
      <c r="K416">
        <v>619</v>
      </c>
    </row>
    <row r="417" spans="1:11">
      <c r="A417">
        <v>16062</v>
      </c>
      <c r="B417" t="s">
        <v>1264</v>
      </c>
      <c r="C417" t="s">
        <v>580</v>
      </c>
      <c r="E417" t="s">
        <v>1236</v>
      </c>
      <c r="F417">
        <v>83</v>
      </c>
      <c r="G417">
        <v>1967</v>
      </c>
      <c r="H417">
        <v>795</v>
      </c>
      <c r="I417">
        <v>0</v>
      </c>
      <c r="J417">
        <v>0</v>
      </c>
      <c r="K417">
        <v>0</v>
      </c>
    </row>
    <row r="418" spans="1:11">
      <c r="A418">
        <v>13077</v>
      </c>
      <c r="B418" t="s">
        <v>1265</v>
      </c>
      <c r="C418" t="s">
        <v>504</v>
      </c>
      <c r="E418" t="s">
        <v>489</v>
      </c>
      <c r="F418">
        <v>51</v>
      </c>
      <c r="G418">
        <v>1951</v>
      </c>
      <c r="H418">
        <v>128</v>
      </c>
      <c r="I418">
        <v>21.47</v>
      </c>
      <c r="J418">
        <v>1157.6610000000001</v>
      </c>
      <c r="K418">
        <v>375</v>
      </c>
    </row>
    <row r="419" spans="1:11">
      <c r="A419">
        <v>21798</v>
      </c>
      <c r="B419" t="s">
        <v>1088</v>
      </c>
      <c r="C419" t="s">
        <v>511</v>
      </c>
      <c r="E419" t="s">
        <v>161</v>
      </c>
      <c r="F419">
        <v>30</v>
      </c>
      <c r="G419">
        <v>1979</v>
      </c>
      <c r="H419">
        <v>796</v>
      </c>
      <c r="I419">
        <v>0</v>
      </c>
      <c r="J419">
        <v>0</v>
      </c>
      <c r="K419">
        <v>0</v>
      </c>
    </row>
    <row r="420" spans="1:11">
      <c r="A420">
        <v>13078</v>
      </c>
      <c r="B420" t="s">
        <v>1266</v>
      </c>
      <c r="C420" t="s">
        <v>595</v>
      </c>
      <c r="D420" t="s">
        <v>107</v>
      </c>
      <c r="E420" t="s">
        <v>489</v>
      </c>
      <c r="F420">
        <v>51</v>
      </c>
      <c r="G420">
        <v>1949</v>
      </c>
      <c r="H420">
        <v>129</v>
      </c>
      <c r="I420">
        <v>21.47</v>
      </c>
      <c r="J420">
        <v>1157.6610000000001</v>
      </c>
      <c r="K420">
        <v>375</v>
      </c>
    </row>
    <row r="421" spans="1:11">
      <c r="A421">
        <v>18056</v>
      </c>
      <c r="B421" t="s">
        <v>1503</v>
      </c>
      <c r="C421" t="s">
        <v>827</v>
      </c>
      <c r="D421" t="s">
        <v>107</v>
      </c>
      <c r="E421" t="s">
        <v>1179</v>
      </c>
      <c r="F421">
        <v>79</v>
      </c>
      <c r="G421">
        <v>1988</v>
      </c>
      <c r="H421">
        <v>161</v>
      </c>
      <c r="I421">
        <v>12.579000000000001</v>
      </c>
      <c r="J421">
        <v>885.18</v>
      </c>
      <c r="K421">
        <v>416</v>
      </c>
    </row>
    <row r="422" spans="1:11">
      <c r="A422">
        <v>18071</v>
      </c>
      <c r="B422" t="s">
        <v>1504</v>
      </c>
      <c r="C422" t="s">
        <v>503</v>
      </c>
      <c r="E422" t="s">
        <v>1488</v>
      </c>
      <c r="F422">
        <v>88</v>
      </c>
      <c r="G422">
        <v>1956</v>
      </c>
      <c r="H422">
        <v>423</v>
      </c>
      <c r="I422">
        <v>5.7510000000000003</v>
      </c>
      <c r="J422">
        <v>175.684</v>
      </c>
      <c r="K422">
        <v>0</v>
      </c>
    </row>
    <row r="423" spans="1:11">
      <c r="A423">
        <v>12031</v>
      </c>
      <c r="B423" t="s">
        <v>761</v>
      </c>
      <c r="C423" t="s">
        <v>1642</v>
      </c>
      <c r="D423" t="s">
        <v>107</v>
      </c>
      <c r="E423" t="s">
        <v>542</v>
      </c>
      <c r="F423">
        <v>73</v>
      </c>
      <c r="G423">
        <v>1940</v>
      </c>
      <c r="H423">
        <v>449</v>
      </c>
      <c r="I423">
        <v>3.032</v>
      </c>
      <c r="J423">
        <v>142.49100000000001</v>
      </c>
      <c r="K423">
        <v>22</v>
      </c>
    </row>
    <row r="424" spans="1:11">
      <c r="A424">
        <v>18070</v>
      </c>
      <c r="B424" t="s">
        <v>761</v>
      </c>
      <c r="C424" t="s">
        <v>1505</v>
      </c>
      <c r="D424" t="s">
        <v>107</v>
      </c>
      <c r="E424" t="s">
        <v>1488</v>
      </c>
      <c r="F424">
        <v>88</v>
      </c>
      <c r="G424">
        <v>1957</v>
      </c>
      <c r="H424">
        <v>248</v>
      </c>
      <c r="I424">
        <v>11.000999999999999</v>
      </c>
      <c r="J424">
        <v>483.108</v>
      </c>
      <c r="K424">
        <v>88</v>
      </c>
    </row>
    <row r="425" spans="1:11">
      <c r="A425">
        <v>27072</v>
      </c>
      <c r="B425" t="s">
        <v>762</v>
      </c>
      <c r="C425" t="s">
        <v>566</v>
      </c>
      <c r="E425" t="s">
        <v>1056</v>
      </c>
      <c r="F425">
        <v>61</v>
      </c>
      <c r="G425">
        <v>1983</v>
      </c>
      <c r="H425">
        <v>482</v>
      </c>
      <c r="I425">
        <v>3.9380000000000002</v>
      </c>
      <c r="J425">
        <v>108.65300000000001</v>
      </c>
      <c r="K425">
        <v>0</v>
      </c>
    </row>
    <row r="426" spans="1:11">
      <c r="A426">
        <v>27074</v>
      </c>
      <c r="B426" t="s">
        <v>1267</v>
      </c>
      <c r="C426" t="s">
        <v>792</v>
      </c>
      <c r="D426" t="s">
        <v>107</v>
      </c>
      <c r="E426" t="s">
        <v>1056</v>
      </c>
      <c r="F426">
        <v>61</v>
      </c>
      <c r="G426">
        <v>1986</v>
      </c>
      <c r="H426">
        <v>797</v>
      </c>
      <c r="I426">
        <v>0</v>
      </c>
      <c r="J426">
        <v>0</v>
      </c>
      <c r="K426">
        <v>0</v>
      </c>
    </row>
    <row r="427" spans="1:11">
      <c r="A427">
        <v>13072</v>
      </c>
      <c r="B427" t="s">
        <v>1268</v>
      </c>
      <c r="C427" t="s">
        <v>668</v>
      </c>
      <c r="D427" t="s">
        <v>107</v>
      </c>
      <c r="E427" t="s">
        <v>1177</v>
      </c>
      <c r="F427">
        <v>78</v>
      </c>
      <c r="G427">
        <v>1977</v>
      </c>
      <c r="H427">
        <v>798</v>
      </c>
      <c r="I427">
        <v>0</v>
      </c>
      <c r="J427">
        <v>0</v>
      </c>
      <c r="K427">
        <v>0</v>
      </c>
    </row>
    <row r="428" spans="1:11">
      <c r="A428">
        <v>26039</v>
      </c>
      <c r="B428" t="s">
        <v>763</v>
      </c>
      <c r="C428" t="s">
        <v>511</v>
      </c>
      <c r="E428" t="s">
        <v>1069</v>
      </c>
      <c r="F428">
        <v>28</v>
      </c>
      <c r="G428">
        <v>1984</v>
      </c>
      <c r="H428">
        <v>799</v>
      </c>
      <c r="I428">
        <v>0</v>
      </c>
      <c r="J428">
        <v>0</v>
      </c>
      <c r="K428">
        <v>0</v>
      </c>
    </row>
    <row r="429" spans="1:11">
      <c r="A429">
        <v>19004</v>
      </c>
      <c r="B429" t="s">
        <v>1643</v>
      </c>
      <c r="C429" t="s">
        <v>504</v>
      </c>
      <c r="D429" t="s">
        <v>91</v>
      </c>
      <c r="E429" t="s">
        <v>1223</v>
      </c>
      <c r="F429">
        <v>77</v>
      </c>
      <c r="G429">
        <v>2011</v>
      </c>
      <c r="H429">
        <v>800</v>
      </c>
      <c r="I429">
        <v>0</v>
      </c>
      <c r="J429">
        <v>0</v>
      </c>
      <c r="K429">
        <v>0</v>
      </c>
    </row>
    <row r="430" spans="1:11">
      <c r="A430">
        <v>20517</v>
      </c>
      <c r="B430" t="s">
        <v>1644</v>
      </c>
      <c r="C430" t="s">
        <v>633</v>
      </c>
      <c r="E430" t="s">
        <v>1060</v>
      </c>
      <c r="F430">
        <v>70</v>
      </c>
      <c r="G430">
        <v>1943</v>
      </c>
      <c r="H430">
        <v>598</v>
      </c>
      <c r="I430">
        <v>0.219</v>
      </c>
      <c r="J430">
        <v>33.655999999999999</v>
      </c>
      <c r="K430">
        <v>24</v>
      </c>
    </row>
    <row r="431" spans="1:11">
      <c r="A431">
        <v>15072</v>
      </c>
      <c r="B431" t="s">
        <v>1269</v>
      </c>
      <c r="C431" t="s">
        <v>570</v>
      </c>
      <c r="D431" t="s">
        <v>91</v>
      </c>
      <c r="E431" t="s">
        <v>164</v>
      </c>
      <c r="F431">
        <v>52</v>
      </c>
      <c r="G431">
        <v>2006</v>
      </c>
      <c r="H431">
        <v>529</v>
      </c>
      <c r="I431">
        <v>1.9379999999999999</v>
      </c>
      <c r="J431">
        <v>75.998000000000005</v>
      </c>
      <c r="K431">
        <v>0</v>
      </c>
    </row>
    <row r="432" spans="1:11">
      <c r="A432">
        <v>24224</v>
      </c>
      <c r="B432" t="s">
        <v>764</v>
      </c>
      <c r="C432" t="s">
        <v>521</v>
      </c>
      <c r="E432" t="s">
        <v>489</v>
      </c>
      <c r="F432">
        <v>51</v>
      </c>
      <c r="G432">
        <v>1964</v>
      </c>
      <c r="H432">
        <v>801</v>
      </c>
      <c r="I432">
        <v>0</v>
      </c>
      <c r="J432">
        <v>0</v>
      </c>
      <c r="K432">
        <v>0</v>
      </c>
    </row>
    <row r="433" spans="1:11">
      <c r="A433">
        <v>15045</v>
      </c>
      <c r="B433" t="s">
        <v>1270</v>
      </c>
      <c r="C433" t="s">
        <v>614</v>
      </c>
      <c r="D433" t="s">
        <v>107</v>
      </c>
      <c r="E433" t="s">
        <v>1060</v>
      </c>
      <c r="F433">
        <v>70</v>
      </c>
      <c r="G433">
        <v>1939</v>
      </c>
      <c r="H433">
        <v>802</v>
      </c>
      <c r="I433">
        <v>0</v>
      </c>
      <c r="J433">
        <v>0</v>
      </c>
      <c r="K433">
        <v>0</v>
      </c>
    </row>
    <row r="434" spans="1:11">
      <c r="A434">
        <v>19006</v>
      </c>
      <c r="B434" t="s">
        <v>1645</v>
      </c>
      <c r="C434" t="s">
        <v>506</v>
      </c>
      <c r="D434" t="s">
        <v>107</v>
      </c>
      <c r="E434" t="s">
        <v>1473</v>
      </c>
      <c r="F434">
        <v>87</v>
      </c>
      <c r="G434">
        <v>1941</v>
      </c>
      <c r="H434">
        <v>283</v>
      </c>
      <c r="I434">
        <v>8.0169999999999995</v>
      </c>
      <c r="J434">
        <v>404.58199999999999</v>
      </c>
      <c r="K434">
        <v>87</v>
      </c>
    </row>
    <row r="435" spans="1:11">
      <c r="A435">
        <v>18075</v>
      </c>
      <c r="B435" t="s">
        <v>765</v>
      </c>
      <c r="C435" t="s">
        <v>513</v>
      </c>
      <c r="D435" t="s">
        <v>107</v>
      </c>
      <c r="E435" t="s">
        <v>1467</v>
      </c>
      <c r="F435">
        <v>89</v>
      </c>
      <c r="G435">
        <v>1997</v>
      </c>
      <c r="H435">
        <v>257</v>
      </c>
      <c r="I435">
        <v>12.72</v>
      </c>
      <c r="J435">
        <v>458.29599999999999</v>
      </c>
      <c r="K435">
        <v>33</v>
      </c>
    </row>
    <row r="436" spans="1:11">
      <c r="A436">
        <v>20626</v>
      </c>
      <c r="B436" t="s">
        <v>766</v>
      </c>
      <c r="C436" t="s">
        <v>586</v>
      </c>
      <c r="E436" t="s">
        <v>688</v>
      </c>
      <c r="F436">
        <v>10</v>
      </c>
      <c r="G436">
        <v>1973</v>
      </c>
      <c r="H436">
        <v>616</v>
      </c>
      <c r="I436">
        <v>0.90600000000000003</v>
      </c>
      <c r="J436">
        <v>24.186</v>
      </c>
      <c r="K436">
        <v>0</v>
      </c>
    </row>
    <row r="437" spans="1:11">
      <c r="A437">
        <v>26005</v>
      </c>
      <c r="B437" t="s">
        <v>767</v>
      </c>
      <c r="C437" t="s">
        <v>658</v>
      </c>
      <c r="D437" t="s">
        <v>107</v>
      </c>
      <c r="E437" t="s">
        <v>688</v>
      </c>
      <c r="F437">
        <v>10</v>
      </c>
      <c r="G437">
        <v>1970</v>
      </c>
      <c r="H437">
        <v>653</v>
      </c>
      <c r="I437">
        <v>0.25</v>
      </c>
      <c r="J437">
        <v>5.0519999999999996</v>
      </c>
      <c r="K437">
        <v>0</v>
      </c>
    </row>
    <row r="438" spans="1:11">
      <c r="A438">
        <v>10082</v>
      </c>
      <c r="B438" t="s">
        <v>768</v>
      </c>
      <c r="C438" t="s">
        <v>733</v>
      </c>
      <c r="E438" t="s">
        <v>481</v>
      </c>
      <c r="F438">
        <v>69</v>
      </c>
      <c r="G438">
        <v>1961</v>
      </c>
      <c r="H438">
        <v>244</v>
      </c>
      <c r="I438">
        <v>11.593999999999999</v>
      </c>
      <c r="J438">
        <v>490.84699999999998</v>
      </c>
      <c r="K438">
        <v>162</v>
      </c>
    </row>
    <row r="439" spans="1:11">
      <c r="A439">
        <v>22979</v>
      </c>
      <c r="B439" t="s">
        <v>769</v>
      </c>
      <c r="C439" t="s">
        <v>770</v>
      </c>
      <c r="E439" t="s">
        <v>200</v>
      </c>
      <c r="F439">
        <v>19</v>
      </c>
      <c r="G439">
        <v>1977</v>
      </c>
      <c r="H439">
        <v>339</v>
      </c>
      <c r="I439">
        <v>3.657</v>
      </c>
      <c r="J439">
        <v>275.18799999999999</v>
      </c>
      <c r="K439">
        <v>123</v>
      </c>
    </row>
    <row r="440" spans="1:11">
      <c r="A440">
        <v>17029</v>
      </c>
      <c r="B440" t="s">
        <v>1408</v>
      </c>
      <c r="C440" t="s">
        <v>1254</v>
      </c>
      <c r="E440" t="s">
        <v>164</v>
      </c>
      <c r="F440">
        <v>52</v>
      </c>
      <c r="G440">
        <v>1966</v>
      </c>
      <c r="H440">
        <v>524</v>
      </c>
      <c r="I440">
        <v>2.282</v>
      </c>
      <c r="J440">
        <v>80.716999999999999</v>
      </c>
      <c r="K440">
        <v>0</v>
      </c>
    </row>
    <row r="441" spans="1:11">
      <c r="A441">
        <v>99502</v>
      </c>
      <c r="B441" t="s">
        <v>771</v>
      </c>
      <c r="C441" t="s">
        <v>550</v>
      </c>
      <c r="E441" t="s">
        <v>1573</v>
      </c>
      <c r="F441">
        <v>16</v>
      </c>
      <c r="G441">
        <v>1952</v>
      </c>
      <c r="H441">
        <v>803</v>
      </c>
      <c r="I441">
        <v>0</v>
      </c>
      <c r="J441">
        <v>0</v>
      </c>
      <c r="K441">
        <v>0</v>
      </c>
    </row>
    <row r="442" spans="1:11">
      <c r="A442">
        <v>12038</v>
      </c>
      <c r="B442" t="s">
        <v>772</v>
      </c>
      <c r="C442" t="s">
        <v>773</v>
      </c>
      <c r="E442" t="s">
        <v>542</v>
      </c>
      <c r="F442">
        <v>73</v>
      </c>
      <c r="G442">
        <v>1955</v>
      </c>
      <c r="H442">
        <v>25</v>
      </c>
      <c r="I442">
        <v>24.939</v>
      </c>
      <c r="J442">
        <v>2216.9360000000001</v>
      </c>
      <c r="K442">
        <v>1102</v>
      </c>
    </row>
    <row r="443" spans="1:11">
      <c r="A443">
        <v>12037</v>
      </c>
      <c r="B443" t="s">
        <v>774</v>
      </c>
      <c r="C443" t="s">
        <v>775</v>
      </c>
      <c r="D443" t="s">
        <v>107</v>
      </c>
      <c r="E443" t="s">
        <v>542</v>
      </c>
      <c r="F443">
        <v>73</v>
      </c>
      <c r="G443">
        <v>1951</v>
      </c>
      <c r="H443">
        <v>26</v>
      </c>
      <c r="I443">
        <v>24.876000000000001</v>
      </c>
      <c r="J443">
        <v>2216.9360000000001</v>
      </c>
      <c r="K443">
        <v>1102</v>
      </c>
    </row>
    <row r="444" spans="1:11">
      <c r="A444">
        <v>20562</v>
      </c>
      <c r="B444" t="s">
        <v>1271</v>
      </c>
      <c r="C444" t="s">
        <v>1272</v>
      </c>
      <c r="D444" t="s">
        <v>107</v>
      </c>
      <c r="E444" t="s">
        <v>1574</v>
      </c>
      <c r="F444">
        <v>94</v>
      </c>
      <c r="G444">
        <v>1976</v>
      </c>
      <c r="H444">
        <v>443</v>
      </c>
      <c r="I444">
        <v>3.2040000000000002</v>
      </c>
      <c r="J444">
        <v>146.58500000000001</v>
      </c>
      <c r="K444">
        <v>34</v>
      </c>
    </row>
    <row r="445" spans="1:11">
      <c r="A445">
        <v>16060</v>
      </c>
      <c r="B445" t="s">
        <v>1273</v>
      </c>
      <c r="C445" t="s">
        <v>520</v>
      </c>
      <c r="E445" t="s">
        <v>1236</v>
      </c>
      <c r="F445">
        <v>83</v>
      </c>
      <c r="G445">
        <v>1972</v>
      </c>
      <c r="H445">
        <v>804</v>
      </c>
      <c r="I445">
        <v>0</v>
      </c>
      <c r="J445">
        <v>0</v>
      </c>
      <c r="K445">
        <v>0</v>
      </c>
    </row>
    <row r="446" spans="1:11">
      <c r="A446">
        <v>19030</v>
      </c>
      <c r="B446" t="s">
        <v>1646</v>
      </c>
      <c r="C446" t="s">
        <v>554</v>
      </c>
      <c r="E446" t="s">
        <v>1065</v>
      </c>
      <c r="F446">
        <v>74</v>
      </c>
      <c r="G446">
        <v>1954</v>
      </c>
      <c r="H446">
        <v>543</v>
      </c>
      <c r="I446">
        <v>1.8440000000000001</v>
      </c>
      <c r="J446">
        <v>67.156999999999996</v>
      </c>
      <c r="K446">
        <v>0</v>
      </c>
    </row>
    <row r="447" spans="1:11">
      <c r="A447">
        <v>29039</v>
      </c>
      <c r="B447" t="s">
        <v>776</v>
      </c>
      <c r="C447" t="s">
        <v>507</v>
      </c>
      <c r="D447" t="s">
        <v>107</v>
      </c>
      <c r="E447" t="s">
        <v>170</v>
      </c>
      <c r="F447">
        <v>14</v>
      </c>
      <c r="G447">
        <v>1956</v>
      </c>
      <c r="H447">
        <v>132</v>
      </c>
      <c r="I447">
        <v>12.125999999999999</v>
      </c>
      <c r="J447">
        <v>1118.501</v>
      </c>
      <c r="K447">
        <v>586</v>
      </c>
    </row>
    <row r="448" spans="1:11">
      <c r="A448">
        <v>16105</v>
      </c>
      <c r="B448" t="s">
        <v>777</v>
      </c>
      <c r="C448" t="s">
        <v>633</v>
      </c>
      <c r="E448" t="s">
        <v>170</v>
      </c>
      <c r="F448">
        <v>14</v>
      </c>
      <c r="G448">
        <v>1959</v>
      </c>
      <c r="H448">
        <v>83</v>
      </c>
      <c r="I448">
        <v>31.376000000000001</v>
      </c>
      <c r="J448">
        <v>1551.5229999999999</v>
      </c>
      <c r="K448">
        <v>401</v>
      </c>
    </row>
    <row r="449" spans="1:11">
      <c r="A449">
        <v>29040</v>
      </c>
      <c r="B449" t="s">
        <v>777</v>
      </c>
      <c r="C449" t="s">
        <v>520</v>
      </c>
      <c r="E449" t="s">
        <v>170</v>
      </c>
      <c r="F449">
        <v>14</v>
      </c>
      <c r="G449">
        <v>1961</v>
      </c>
      <c r="H449">
        <v>42</v>
      </c>
      <c r="I449">
        <v>28.376000000000001</v>
      </c>
      <c r="J449">
        <v>1973.2539999999999</v>
      </c>
      <c r="K449">
        <v>801</v>
      </c>
    </row>
    <row r="450" spans="1:11">
      <c r="A450">
        <v>11045</v>
      </c>
      <c r="B450" t="s">
        <v>778</v>
      </c>
      <c r="C450" t="s">
        <v>531</v>
      </c>
      <c r="E450" t="s">
        <v>1057</v>
      </c>
      <c r="F450">
        <v>2</v>
      </c>
      <c r="G450">
        <v>1954</v>
      </c>
      <c r="H450">
        <v>278</v>
      </c>
      <c r="I450">
        <v>8.6880000000000006</v>
      </c>
      <c r="J450">
        <v>415.11399999999998</v>
      </c>
      <c r="K450">
        <v>79</v>
      </c>
    </row>
    <row r="451" spans="1:11">
      <c r="A451">
        <v>21776</v>
      </c>
      <c r="B451" t="s">
        <v>1274</v>
      </c>
      <c r="C451" t="s">
        <v>651</v>
      </c>
      <c r="E451" t="s">
        <v>198</v>
      </c>
      <c r="F451">
        <v>17</v>
      </c>
      <c r="G451">
        <v>1971</v>
      </c>
      <c r="H451">
        <v>552</v>
      </c>
      <c r="I451">
        <v>1.625</v>
      </c>
      <c r="J451">
        <v>62.459000000000003</v>
      </c>
      <c r="K451">
        <v>0</v>
      </c>
    </row>
    <row r="452" spans="1:11">
      <c r="A452">
        <v>15013</v>
      </c>
      <c r="B452" t="s">
        <v>1275</v>
      </c>
      <c r="C452" t="s">
        <v>708</v>
      </c>
      <c r="D452" t="s">
        <v>107</v>
      </c>
      <c r="E452" t="s">
        <v>198</v>
      </c>
      <c r="F452">
        <v>17</v>
      </c>
      <c r="G452">
        <v>1972</v>
      </c>
      <c r="H452">
        <v>477</v>
      </c>
      <c r="I452">
        <v>2.875</v>
      </c>
      <c r="J452">
        <v>115.238</v>
      </c>
      <c r="K452">
        <v>0</v>
      </c>
    </row>
    <row r="453" spans="1:11">
      <c r="A453">
        <v>15050</v>
      </c>
      <c r="B453" t="s">
        <v>1276</v>
      </c>
      <c r="C453" t="s">
        <v>576</v>
      </c>
      <c r="D453" t="s">
        <v>107</v>
      </c>
      <c r="E453" t="s">
        <v>216</v>
      </c>
      <c r="F453">
        <v>33</v>
      </c>
      <c r="G453">
        <v>1949</v>
      </c>
      <c r="H453">
        <v>360</v>
      </c>
      <c r="I453">
        <v>6.282</v>
      </c>
      <c r="J453">
        <v>246.61799999999999</v>
      </c>
      <c r="K453">
        <v>31</v>
      </c>
    </row>
    <row r="454" spans="1:11">
      <c r="A454">
        <v>17006</v>
      </c>
      <c r="B454" t="s">
        <v>779</v>
      </c>
      <c r="C454" t="s">
        <v>553</v>
      </c>
      <c r="D454" t="s">
        <v>91</v>
      </c>
      <c r="E454" t="s">
        <v>1401</v>
      </c>
      <c r="F454">
        <v>85</v>
      </c>
      <c r="G454">
        <v>2009</v>
      </c>
      <c r="H454">
        <v>807</v>
      </c>
      <c r="I454">
        <v>0</v>
      </c>
      <c r="J454">
        <v>0</v>
      </c>
      <c r="K454">
        <v>0</v>
      </c>
    </row>
    <row r="455" spans="1:11">
      <c r="A455">
        <v>17005</v>
      </c>
      <c r="B455" t="s">
        <v>779</v>
      </c>
      <c r="C455" t="s">
        <v>531</v>
      </c>
      <c r="D455" t="s">
        <v>91</v>
      </c>
      <c r="E455" t="s">
        <v>1401</v>
      </c>
      <c r="F455">
        <v>85</v>
      </c>
      <c r="G455">
        <v>2008</v>
      </c>
      <c r="H455">
        <v>806</v>
      </c>
      <c r="I455">
        <v>0</v>
      </c>
      <c r="J455">
        <v>0</v>
      </c>
      <c r="K455">
        <v>0</v>
      </c>
    </row>
    <row r="456" spans="1:11">
      <c r="A456">
        <v>26043</v>
      </c>
      <c r="B456" t="s">
        <v>779</v>
      </c>
      <c r="C456" t="s">
        <v>504</v>
      </c>
      <c r="E456" t="s">
        <v>582</v>
      </c>
      <c r="F456">
        <v>45</v>
      </c>
      <c r="G456">
        <v>1969</v>
      </c>
      <c r="H456">
        <v>134</v>
      </c>
      <c r="I456">
        <v>27.875</v>
      </c>
      <c r="J456">
        <v>1106.4839999999999</v>
      </c>
      <c r="K456">
        <v>187</v>
      </c>
    </row>
    <row r="457" spans="1:11">
      <c r="A457">
        <v>17004</v>
      </c>
      <c r="B457" t="s">
        <v>779</v>
      </c>
      <c r="C457" t="s">
        <v>580</v>
      </c>
      <c r="D457" t="s">
        <v>91</v>
      </c>
      <c r="E457" t="s">
        <v>1401</v>
      </c>
      <c r="F457">
        <v>85</v>
      </c>
      <c r="G457">
        <v>2006</v>
      </c>
      <c r="H457">
        <v>805</v>
      </c>
      <c r="I457">
        <v>0</v>
      </c>
      <c r="J457">
        <v>0</v>
      </c>
      <c r="K457">
        <v>0</v>
      </c>
    </row>
    <row r="458" spans="1:11">
      <c r="A458">
        <v>17003</v>
      </c>
      <c r="B458" t="s">
        <v>780</v>
      </c>
      <c r="C458" t="s">
        <v>576</v>
      </c>
      <c r="D458" t="s">
        <v>107</v>
      </c>
      <c r="E458" t="s">
        <v>1401</v>
      </c>
      <c r="F458">
        <v>85</v>
      </c>
      <c r="G458">
        <v>1979</v>
      </c>
      <c r="H458">
        <v>808</v>
      </c>
      <c r="I458">
        <v>0</v>
      </c>
      <c r="J458">
        <v>0</v>
      </c>
      <c r="K458">
        <v>0</v>
      </c>
    </row>
    <row r="459" spans="1:11">
      <c r="A459">
        <v>16041</v>
      </c>
      <c r="B459" t="s">
        <v>1277</v>
      </c>
      <c r="C459" t="s">
        <v>595</v>
      </c>
      <c r="D459" t="s">
        <v>107</v>
      </c>
      <c r="E459" t="s">
        <v>1060</v>
      </c>
      <c r="F459">
        <v>70</v>
      </c>
      <c r="G459">
        <v>1936</v>
      </c>
      <c r="H459">
        <v>809</v>
      </c>
      <c r="I459">
        <v>0</v>
      </c>
      <c r="J459">
        <v>0</v>
      </c>
      <c r="K459">
        <v>0</v>
      </c>
    </row>
    <row r="460" spans="1:11">
      <c r="A460">
        <v>20605</v>
      </c>
      <c r="B460" t="s">
        <v>1647</v>
      </c>
      <c r="C460" t="s">
        <v>554</v>
      </c>
      <c r="E460" t="s">
        <v>1578</v>
      </c>
      <c r="F460">
        <v>95</v>
      </c>
      <c r="G460">
        <v>1982</v>
      </c>
      <c r="H460">
        <v>810</v>
      </c>
      <c r="I460">
        <v>0</v>
      </c>
      <c r="J460">
        <v>0</v>
      </c>
      <c r="K460">
        <v>0</v>
      </c>
    </row>
    <row r="461" spans="1:11">
      <c r="A461">
        <v>26025</v>
      </c>
      <c r="B461" t="s">
        <v>781</v>
      </c>
      <c r="C461" t="s">
        <v>597</v>
      </c>
      <c r="D461" t="s">
        <v>107</v>
      </c>
      <c r="E461" t="s">
        <v>474</v>
      </c>
      <c r="F461">
        <v>63</v>
      </c>
      <c r="G461">
        <v>1971</v>
      </c>
      <c r="H461">
        <v>585</v>
      </c>
      <c r="I461">
        <v>1.375</v>
      </c>
      <c r="J461">
        <v>41.985999999999997</v>
      </c>
      <c r="K461">
        <v>0</v>
      </c>
    </row>
    <row r="462" spans="1:11">
      <c r="A462">
        <v>24236</v>
      </c>
      <c r="B462" t="s">
        <v>782</v>
      </c>
      <c r="C462" t="s">
        <v>681</v>
      </c>
      <c r="E462" t="s">
        <v>200</v>
      </c>
      <c r="F462">
        <v>19</v>
      </c>
      <c r="G462">
        <v>1959</v>
      </c>
      <c r="H462">
        <v>268</v>
      </c>
      <c r="I462">
        <v>11.125</v>
      </c>
      <c r="J462">
        <v>443.80099999999999</v>
      </c>
      <c r="K462">
        <v>123</v>
      </c>
    </row>
    <row r="463" spans="1:11">
      <c r="A463">
        <v>20564</v>
      </c>
      <c r="B463" t="s">
        <v>1648</v>
      </c>
      <c r="C463" t="s">
        <v>538</v>
      </c>
      <c r="E463" t="s">
        <v>1179</v>
      </c>
      <c r="F463">
        <v>79</v>
      </c>
      <c r="G463">
        <v>1964</v>
      </c>
      <c r="H463">
        <v>811</v>
      </c>
      <c r="I463">
        <v>0</v>
      </c>
      <c r="J463">
        <v>0</v>
      </c>
      <c r="K463">
        <v>0</v>
      </c>
    </row>
    <row r="464" spans="1:11">
      <c r="A464">
        <v>17078</v>
      </c>
      <c r="B464" t="s">
        <v>1409</v>
      </c>
      <c r="C464" t="s">
        <v>526</v>
      </c>
      <c r="E464" t="s">
        <v>1393</v>
      </c>
      <c r="F464">
        <v>86</v>
      </c>
      <c r="G464">
        <v>1991</v>
      </c>
      <c r="H464">
        <v>613</v>
      </c>
      <c r="I464">
        <v>0.51600000000000001</v>
      </c>
      <c r="J464">
        <v>24.637</v>
      </c>
      <c r="K464">
        <v>0</v>
      </c>
    </row>
    <row r="465" spans="1:11">
      <c r="A465">
        <v>16042</v>
      </c>
      <c r="B465" t="s">
        <v>1278</v>
      </c>
      <c r="C465" t="s">
        <v>503</v>
      </c>
      <c r="E465" t="s">
        <v>1060</v>
      </c>
      <c r="F465">
        <v>70</v>
      </c>
      <c r="G465">
        <v>1938</v>
      </c>
      <c r="H465">
        <v>812</v>
      </c>
      <c r="I465">
        <v>0</v>
      </c>
      <c r="J465">
        <v>0</v>
      </c>
      <c r="K465">
        <v>0</v>
      </c>
    </row>
    <row r="466" spans="1:11">
      <c r="A466">
        <v>12069</v>
      </c>
      <c r="B466" t="s">
        <v>1089</v>
      </c>
      <c r="C466" t="s">
        <v>526</v>
      </c>
      <c r="E466" t="s">
        <v>635</v>
      </c>
      <c r="F466">
        <v>68</v>
      </c>
      <c r="G466">
        <v>1976</v>
      </c>
      <c r="H466">
        <v>813</v>
      </c>
      <c r="I466">
        <v>0</v>
      </c>
      <c r="J466">
        <v>0</v>
      </c>
      <c r="K466">
        <v>0</v>
      </c>
    </row>
    <row r="467" spans="1:11">
      <c r="A467">
        <v>10085</v>
      </c>
      <c r="B467" t="s">
        <v>783</v>
      </c>
      <c r="C467" t="s">
        <v>503</v>
      </c>
      <c r="E467" t="s">
        <v>481</v>
      </c>
      <c r="F467">
        <v>69</v>
      </c>
      <c r="G467">
        <v>1961</v>
      </c>
      <c r="H467">
        <v>286</v>
      </c>
      <c r="I467">
        <v>11.093999999999999</v>
      </c>
      <c r="J467">
        <v>394.33100000000002</v>
      </c>
      <c r="K467">
        <v>98</v>
      </c>
    </row>
    <row r="468" spans="1:11">
      <c r="A468">
        <v>13018</v>
      </c>
      <c r="B468" t="s">
        <v>784</v>
      </c>
      <c r="C468" t="s">
        <v>1090</v>
      </c>
      <c r="E468" t="s">
        <v>1046</v>
      </c>
      <c r="F468">
        <v>75</v>
      </c>
      <c r="G468">
        <v>1965</v>
      </c>
      <c r="H468">
        <v>814</v>
      </c>
      <c r="I468">
        <v>0</v>
      </c>
      <c r="J468">
        <v>0</v>
      </c>
      <c r="K468">
        <v>0</v>
      </c>
    </row>
    <row r="469" spans="1:11">
      <c r="A469">
        <v>19029</v>
      </c>
      <c r="B469" t="s">
        <v>1649</v>
      </c>
      <c r="C469" t="s">
        <v>711</v>
      </c>
      <c r="D469" t="s">
        <v>107</v>
      </c>
      <c r="E469" t="s">
        <v>475</v>
      </c>
      <c r="F469">
        <v>27</v>
      </c>
      <c r="G469">
        <v>1954</v>
      </c>
      <c r="H469">
        <v>340</v>
      </c>
      <c r="I469">
        <v>6.407</v>
      </c>
      <c r="J469">
        <v>274.49900000000002</v>
      </c>
      <c r="K469">
        <v>71</v>
      </c>
    </row>
    <row r="470" spans="1:11">
      <c r="A470">
        <v>17059</v>
      </c>
      <c r="B470" t="s">
        <v>1410</v>
      </c>
      <c r="C470" t="s">
        <v>521</v>
      </c>
      <c r="E470" t="s">
        <v>156</v>
      </c>
      <c r="F470">
        <v>6</v>
      </c>
      <c r="G470">
        <v>1990</v>
      </c>
      <c r="H470">
        <v>238</v>
      </c>
      <c r="I470">
        <v>10.205</v>
      </c>
      <c r="J470">
        <v>498.93299999999999</v>
      </c>
      <c r="K470">
        <v>128</v>
      </c>
    </row>
    <row r="471" spans="1:11">
      <c r="A471">
        <v>18062</v>
      </c>
      <c r="B471" t="s">
        <v>1506</v>
      </c>
      <c r="C471" t="s">
        <v>588</v>
      </c>
      <c r="D471" t="s">
        <v>107</v>
      </c>
      <c r="E471" t="s">
        <v>470</v>
      </c>
      <c r="F471">
        <v>20</v>
      </c>
      <c r="G471">
        <v>1974</v>
      </c>
      <c r="H471">
        <v>815</v>
      </c>
      <c r="I471">
        <v>0</v>
      </c>
      <c r="J471">
        <v>0</v>
      </c>
      <c r="K471">
        <v>0</v>
      </c>
    </row>
    <row r="472" spans="1:11">
      <c r="A472">
        <v>11006</v>
      </c>
      <c r="B472" t="s">
        <v>786</v>
      </c>
      <c r="C472" t="s">
        <v>519</v>
      </c>
      <c r="E472" t="s">
        <v>472</v>
      </c>
      <c r="F472">
        <v>54</v>
      </c>
      <c r="G472">
        <v>1957</v>
      </c>
      <c r="H472">
        <v>77</v>
      </c>
      <c r="I472">
        <v>25.751000000000001</v>
      </c>
      <c r="J472">
        <v>1613.0920000000001</v>
      </c>
      <c r="K472">
        <v>518</v>
      </c>
    </row>
    <row r="473" spans="1:11">
      <c r="A473">
        <v>19039</v>
      </c>
      <c r="B473" t="s">
        <v>1650</v>
      </c>
      <c r="C473" t="s">
        <v>504</v>
      </c>
      <c r="E473" t="s">
        <v>1188</v>
      </c>
      <c r="F473">
        <v>82</v>
      </c>
      <c r="G473">
        <v>1974</v>
      </c>
      <c r="H473">
        <v>816</v>
      </c>
      <c r="I473">
        <v>0</v>
      </c>
      <c r="J473">
        <v>0</v>
      </c>
      <c r="K473">
        <v>0</v>
      </c>
    </row>
    <row r="474" spans="1:11">
      <c r="A474">
        <v>11047</v>
      </c>
      <c r="B474" t="s">
        <v>787</v>
      </c>
      <c r="C474" t="s">
        <v>521</v>
      </c>
      <c r="E474" t="s">
        <v>635</v>
      </c>
      <c r="F474">
        <v>68</v>
      </c>
      <c r="G474">
        <v>1979</v>
      </c>
      <c r="H474">
        <v>817</v>
      </c>
      <c r="I474">
        <v>0</v>
      </c>
      <c r="J474">
        <v>0</v>
      </c>
      <c r="K474">
        <v>0</v>
      </c>
    </row>
    <row r="475" spans="1:11">
      <c r="A475">
        <v>18127</v>
      </c>
      <c r="B475" t="s">
        <v>1651</v>
      </c>
      <c r="C475" t="s">
        <v>775</v>
      </c>
      <c r="D475" t="s">
        <v>107</v>
      </c>
      <c r="E475" t="s">
        <v>1393</v>
      </c>
      <c r="F475">
        <v>86</v>
      </c>
      <c r="G475">
        <v>1977</v>
      </c>
      <c r="H475">
        <v>818</v>
      </c>
      <c r="I475">
        <v>0</v>
      </c>
      <c r="J475">
        <v>0</v>
      </c>
      <c r="K475">
        <v>0</v>
      </c>
    </row>
    <row r="476" spans="1:11">
      <c r="A476">
        <v>15086</v>
      </c>
      <c r="B476" t="s">
        <v>1279</v>
      </c>
      <c r="C476" t="s">
        <v>557</v>
      </c>
      <c r="E476" t="s">
        <v>1070</v>
      </c>
      <c r="F476">
        <v>42</v>
      </c>
      <c r="G476">
        <v>1951</v>
      </c>
      <c r="H476">
        <v>232</v>
      </c>
      <c r="I476">
        <v>10.284000000000001</v>
      </c>
      <c r="J476">
        <v>540.02200000000005</v>
      </c>
      <c r="K476">
        <v>105</v>
      </c>
    </row>
    <row r="477" spans="1:11">
      <c r="A477">
        <v>27030</v>
      </c>
      <c r="B477" t="s">
        <v>788</v>
      </c>
      <c r="C477" t="s">
        <v>736</v>
      </c>
      <c r="D477" t="s">
        <v>107</v>
      </c>
      <c r="E477" t="s">
        <v>1045</v>
      </c>
      <c r="F477">
        <v>56</v>
      </c>
      <c r="G477">
        <v>1962</v>
      </c>
      <c r="H477">
        <v>61</v>
      </c>
      <c r="I477">
        <v>24.094000000000001</v>
      </c>
      <c r="J477">
        <v>1734.518</v>
      </c>
      <c r="K477">
        <v>749</v>
      </c>
    </row>
    <row r="478" spans="1:11">
      <c r="A478">
        <v>25061</v>
      </c>
      <c r="B478" t="s">
        <v>789</v>
      </c>
      <c r="C478" t="s">
        <v>521</v>
      </c>
      <c r="E478" t="s">
        <v>1045</v>
      </c>
      <c r="F478">
        <v>56</v>
      </c>
      <c r="G478">
        <v>1988</v>
      </c>
      <c r="H478">
        <v>101</v>
      </c>
      <c r="I478">
        <v>27.062999999999999</v>
      </c>
      <c r="J478">
        <v>1396.011</v>
      </c>
      <c r="K478">
        <v>427</v>
      </c>
    </row>
    <row r="479" spans="1:11">
      <c r="A479">
        <v>27083</v>
      </c>
      <c r="B479" t="s">
        <v>790</v>
      </c>
      <c r="C479" t="s">
        <v>617</v>
      </c>
      <c r="E479" t="s">
        <v>1066</v>
      </c>
      <c r="F479">
        <v>24</v>
      </c>
      <c r="G479">
        <v>1966</v>
      </c>
      <c r="H479">
        <v>819</v>
      </c>
      <c r="I479">
        <v>0</v>
      </c>
      <c r="J479">
        <v>0</v>
      </c>
      <c r="K479">
        <v>0</v>
      </c>
    </row>
    <row r="480" spans="1:11">
      <c r="A480">
        <v>17016</v>
      </c>
      <c r="B480" t="s">
        <v>790</v>
      </c>
      <c r="C480" t="s">
        <v>511</v>
      </c>
      <c r="E480" t="s">
        <v>161</v>
      </c>
      <c r="F480">
        <v>30</v>
      </c>
      <c r="G480">
        <v>1965</v>
      </c>
      <c r="H480">
        <v>639</v>
      </c>
      <c r="I480">
        <v>0.5</v>
      </c>
      <c r="J480">
        <v>14.242000000000001</v>
      </c>
      <c r="K480">
        <v>0</v>
      </c>
    </row>
    <row r="481" spans="1:11">
      <c r="A481">
        <v>13075</v>
      </c>
      <c r="B481" t="s">
        <v>1507</v>
      </c>
      <c r="C481" t="s">
        <v>852</v>
      </c>
      <c r="D481" t="s">
        <v>107</v>
      </c>
      <c r="E481" t="s">
        <v>1401</v>
      </c>
      <c r="F481">
        <v>85</v>
      </c>
      <c r="G481">
        <v>1986</v>
      </c>
      <c r="H481">
        <v>820</v>
      </c>
      <c r="I481">
        <v>0</v>
      </c>
      <c r="J481">
        <v>0</v>
      </c>
      <c r="K481">
        <v>0</v>
      </c>
    </row>
    <row r="482" spans="1:11">
      <c r="A482">
        <v>17015</v>
      </c>
      <c r="B482" t="s">
        <v>791</v>
      </c>
      <c r="C482" t="s">
        <v>507</v>
      </c>
      <c r="D482" t="s">
        <v>107</v>
      </c>
      <c r="E482" t="s">
        <v>161</v>
      </c>
      <c r="F482">
        <v>30</v>
      </c>
      <c r="G482">
        <v>1965</v>
      </c>
      <c r="H482">
        <v>643</v>
      </c>
      <c r="I482">
        <v>0.46899999999999997</v>
      </c>
      <c r="J482">
        <v>13.352</v>
      </c>
      <c r="K482">
        <v>0</v>
      </c>
    </row>
    <row r="483" spans="1:11">
      <c r="A483">
        <v>12025</v>
      </c>
      <c r="B483" t="s">
        <v>791</v>
      </c>
      <c r="C483" t="s">
        <v>584</v>
      </c>
      <c r="D483" t="s">
        <v>107</v>
      </c>
      <c r="E483" t="s">
        <v>1060</v>
      </c>
      <c r="F483">
        <v>70</v>
      </c>
      <c r="G483">
        <v>1946</v>
      </c>
      <c r="H483">
        <v>821</v>
      </c>
      <c r="I483">
        <v>0</v>
      </c>
      <c r="J483">
        <v>0</v>
      </c>
      <c r="K483">
        <v>0</v>
      </c>
    </row>
    <row r="484" spans="1:11">
      <c r="A484">
        <v>18060</v>
      </c>
      <c r="B484" t="s">
        <v>1508</v>
      </c>
      <c r="C484" t="s">
        <v>1509</v>
      </c>
      <c r="E484" t="s">
        <v>518</v>
      </c>
      <c r="F484">
        <v>29</v>
      </c>
      <c r="G484">
        <v>1980</v>
      </c>
      <c r="H484">
        <v>175</v>
      </c>
      <c r="I484">
        <v>9.125</v>
      </c>
      <c r="J484">
        <v>802.57</v>
      </c>
      <c r="K484">
        <v>418</v>
      </c>
    </row>
    <row r="485" spans="1:11">
      <c r="A485">
        <v>22980</v>
      </c>
      <c r="B485" t="s">
        <v>793</v>
      </c>
      <c r="C485" t="s">
        <v>538</v>
      </c>
      <c r="E485" t="s">
        <v>200</v>
      </c>
      <c r="F485">
        <v>19</v>
      </c>
      <c r="G485">
        <v>1972</v>
      </c>
      <c r="H485">
        <v>469</v>
      </c>
      <c r="I485">
        <v>2.0630000000000002</v>
      </c>
      <c r="J485">
        <v>122.791</v>
      </c>
      <c r="K485">
        <v>40</v>
      </c>
    </row>
    <row r="486" spans="1:11">
      <c r="A486">
        <v>16151</v>
      </c>
      <c r="B486" t="s">
        <v>1411</v>
      </c>
      <c r="C486" t="s">
        <v>553</v>
      </c>
      <c r="E486" t="s">
        <v>1393</v>
      </c>
      <c r="F486">
        <v>86</v>
      </c>
      <c r="G486">
        <v>1991</v>
      </c>
      <c r="H486">
        <v>107</v>
      </c>
      <c r="I486">
        <v>23.751000000000001</v>
      </c>
      <c r="J486">
        <v>1333.0050000000001</v>
      </c>
      <c r="K486">
        <v>354</v>
      </c>
    </row>
    <row r="487" spans="1:11">
      <c r="A487">
        <v>18040</v>
      </c>
      <c r="B487" t="s">
        <v>1411</v>
      </c>
      <c r="C487" t="s">
        <v>538</v>
      </c>
      <c r="E487" t="s">
        <v>1065</v>
      </c>
      <c r="F487">
        <v>74</v>
      </c>
      <c r="G487">
        <v>1960</v>
      </c>
      <c r="H487">
        <v>625</v>
      </c>
      <c r="I487">
        <v>0.65600000000000003</v>
      </c>
      <c r="J487">
        <v>19.134</v>
      </c>
      <c r="K487">
        <v>0</v>
      </c>
    </row>
    <row r="488" spans="1:11">
      <c r="A488">
        <v>12003</v>
      </c>
      <c r="B488" t="s">
        <v>794</v>
      </c>
      <c r="C488" t="s">
        <v>795</v>
      </c>
      <c r="E488" t="s">
        <v>1069</v>
      </c>
      <c r="F488">
        <v>28</v>
      </c>
      <c r="G488">
        <v>1948</v>
      </c>
      <c r="H488">
        <v>479</v>
      </c>
      <c r="I488">
        <v>3.7189999999999999</v>
      </c>
      <c r="J488">
        <v>111.821</v>
      </c>
      <c r="K488">
        <v>0</v>
      </c>
    </row>
    <row r="489" spans="1:11">
      <c r="A489">
        <v>20557</v>
      </c>
      <c r="B489" t="s">
        <v>1652</v>
      </c>
      <c r="C489" t="s">
        <v>507</v>
      </c>
      <c r="D489" t="s">
        <v>107</v>
      </c>
      <c r="E489" t="s">
        <v>1179</v>
      </c>
      <c r="F489">
        <v>79</v>
      </c>
      <c r="G489">
        <v>1968</v>
      </c>
      <c r="H489">
        <v>221</v>
      </c>
      <c r="I489">
        <v>8.0950000000000006</v>
      </c>
      <c r="J489">
        <v>601.07100000000003</v>
      </c>
      <c r="K489">
        <v>282</v>
      </c>
    </row>
    <row r="490" spans="1:11">
      <c r="A490">
        <v>20532</v>
      </c>
      <c r="B490" t="s">
        <v>1653</v>
      </c>
      <c r="C490" t="s">
        <v>1654</v>
      </c>
      <c r="E490" t="s">
        <v>1473</v>
      </c>
      <c r="F490">
        <v>87</v>
      </c>
      <c r="G490">
        <v>1951</v>
      </c>
      <c r="H490">
        <v>296</v>
      </c>
      <c r="I490">
        <v>8.9700000000000006</v>
      </c>
      <c r="J490">
        <v>351.101</v>
      </c>
      <c r="K490">
        <v>49</v>
      </c>
    </row>
    <row r="491" spans="1:11">
      <c r="A491">
        <v>19043</v>
      </c>
      <c r="B491" t="s">
        <v>1655</v>
      </c>
      <c r="C491" t="s">
        <v>503</v>
      </c>
      <c r="D491" t="s">
        <v>91</v>
      </c>
      <c r="E491" t="s">
        <v>493</v>
      </c>
      <c r="F491">
        <v>1</v>
      </c>
      <c r="G491">
        <v>2006</v>
      </c>
      <c r="H491">
        <v>382</v>
      </c>
      <c r="I491">
        <v>6</v>
      </c>
      <c r="J491">
        <v>220.85400000000001</v>
      </c>
      <c r="K491">
        <v>0</v>
      </c>
    </row>
    <row r="492" spans="1:11">
      <c r="A492">
        <v>15015</v>
      </c>
      <c r="B492" t="s">
        <v>1280</v>
      </c>
      <c r="C492" t="s">
        <v>1281</v>
      </c>
      <c r="E492" t="s">
        <v>472</v>
      </c>
      <c r="F492">
        <v>54</v>
      </c>
      <c r="G492">
        <v>1978</v>
      </c>
      <c r="H492">
        <v>822</v>
      </c>
      <c r="I492">
        <v>0</v>
      </c>
      <c r="J492">
        <v>0</v>
      </c>
      <c r="K492">
        <v>0</v>
      </c>
    </row>
    <row r="493" spans="1:11">
      <c r="A493">
        <v>99539</v>
      </c>
      <c r="B493" t="s">
        <v>796</v>
      </c>
      <c r="C493" t="s">
        <v>1510</v>
      </c>
      <c r="E493" t="s">
        <v>472</v>
      </c>
      <c r="F493">
        <v>54</v>
      </c>
      <c r="G493">
        <v>1974</v>
      </c>
      <c r="H493">
        <v>393</v>
      </c>
      <c r="I493">
        <v>2.6880000000000002</v>
      </c>
      <c r="J493">
        <v>208.976</v>
      </c>
      <c r="K493">
        <v>90</v>
      </c>
    </row>
    <row r="494" spans="1:11">
      <c r="A494">
        <v>20730</v>
      </c>
      <c r="B494" t="s">
        <v>796</v>
      </c>
      <c r="C494" t="s">
        <v>1511</v>
      </c>
      <c r="E494" t="s">
        <v>472</v>
      </c>
      <c r="F494">
        <v>54</v>
      </c>
      <c r="G494">
        <v>1952</v>
      </c>
      <c r="H494">
        <v>130</v>
      </c>
      <c r="I494">
        <v>16.72</v>
      </c>
      <c r="J494">
        <v>1152.893</v>
      </c>
      <c r="K494">
        <v>415</v>
      </c>
    </row>
    <row r="495" spans="1:11">
      <c r="A495">
        <v>99540</v>
      </c>
      <c r="B495" t="s">
        <v>796</v>
      </c>
      <c r="C495" t="s">
        <v>797</v>
      </c>
      <c r="E495" t="s">
        <v>472</v>
      </c>
      <c r="F495">
        <v>54</v>
      </c>
      <c r="G495">
        <v>1974</v>
      </c>
      <c r="H495">
        <v>394</v>
      </c>
      <c r="I495">
        <v>2.6880000000000002</v>
      </c>
      <c r="J495">
        <v>208.976</v>
      </c>
      <c r="K495">
        <v>90</v>
      </c>
    </row>
    <row r="496" spans="1:11">
      <c r="A496">
        <v>19052</v>
      </c>
      <c r="B496" t="s">
        <v>1656</v>
      </c>
      <c r="C496" t="s">
        <v>572</v>
      </c>
      <c r="D496" t="s">
        <v>107</v>
      </c>
      <c r="E496" t="s">
        <v>1477</v>
      </c>
      <c r="F496">
        <v>91</v>
      </c>
      <c r="G496">
        <v>1955</v>
      </c>
      <c r="H496">
        <v>324</v>
      </c>
      <c r="I496">
        <v>6.3140000000000001</v>
      </c>
      <c r="J496">
        <v>303.34300000000002</v>
      </c>
      <c r="K496">
        <v>46</v>
      </c>
    </row>
    <row r="497" spans="1:11">
      <c r="A497">
        <v>96216</v>
      </c>
      <c r="B497" t="s">
        <v>798</v>
      </c>
      <c r="C497" t="s">
        <v>799</v>
      </c>
      <c r="E497" t="s">
        <v>1078</v>
      </c>
      <c r="F497">
        <v>5</v>
      </c>
      <c r="G497">
        <v>1951</v>
      </c>
      <c r="H497">
        <v>446</v>
      </c>
      <c r="I497">
        <v>3.125</v>
      </c>
      <c r="J497">
        <v>145.11799999999999</v>
      </c>
      <c r="K497">
        <v>0</v>
      </c>
    </row>
    <row r="498" spans="1:11">
      <c r="A498">
        <v>25047</v>
      </c>
      <c r="B498" t="s">
        <v>798</v>
      </c>
      <c r="C498" t="s">
        <v>511</v>
      </c>
      <c r="E498" t="s">
        <v>1078</v>
      </c>
      <c r="F498">
        <v>5</v>
      </c>
      <c r="G498">
        <v>1995</v>
      </c>
      <c r="H498">
        <v>823</v>
      </c>
      <c r="I498">
        <v>0</v>
      </c>
      <c r="J498">
        <v>0</v>
      </c>
      <c r="K498">
        <v>0</v>
      </c>
    </row>
    <row r="499" spans="1:11">
      <c r="A499">
        <v>16030</v>
      </c>
      <c r="B499" t="s">
        <v>1282</v>
      </c>
      <c r="C499" t="s">
        <v>561</v>
      </c>
      <c r="E499" t="s">
        <v>484</v>
      </c>
      <c r="F499">
        <v>21</v>
      </c>
      <c r="G499">
        <v>1941</v>
      </c>
      <c r="H499">
        <v>824</v>
      </c>
      <c r="I499">
        <v>0</v>
      </c>
      <c r="J499">
        <v>0</v>
      </c>
      <c r="K499">
        <v>0</v>
      </c>
    </row>
    <row r="500" spans="1:11">
      <c r="A500">
        <v>17007</v>
      </c>
      <c r="B500" t="s">
        <v>1412</v>
      </c>
      <c r="C500" t="s">
        <v>538</v>
      </c>
      <c r="E500" t="s">
        <v>1401</v>
      </c>
      <c r="F500">
        <v>85</v>
      </c>
      <c r="G500">
        <v>1952</v>
      </c>
      <c r="H500">
        <v>825</v>
      </c>
      <c r="I500">
        <v>0</v>
      </c>
      <c r="J500">
        <v>0</v>
      </c>
      <c r="K500">
        <v>0</v>
      </c>
    </row>
    <row r="501" spans="1:11">
      <c r="A501">
        <v>15033</v>
      </c>
      <c r="B501" t="s">
        <v>1283</v>
      </c>
      <c r="C501" t="s">
        <v>550</v>
      </c>
      <c r="E501" t="s">
        <v>542</v>
      </c>
      <c r="F501">
        <v>73</v>
      </c>
      <c r="G501">
        <v>1945</v>
      </c>
      <c r="H501">
        <v>183</v>
      </c>
      <c r="I501">
        <v>14.281000000000001</v>
      </c>
      <c r="J501">
        <v>778.76099999999997</v>
      </c>
      <c r="K501">
        <v>220</v>
      </c>
    </row>
    <row r="502" spans="1:11">
      <c r="A502">
        <v>20535</v>
      </c>
      <c r="B502" t="s">
        <v>1657</v>
      </c>
      <c r="C502" t="s">
        <v>523</v>
      </c>
      <c r="D502" t="s">
        <v>107</v>
      </c>
      <c r="E502" t="s">
        <v>1473</v>
      </c>
      <c r="F502">
        <v>87</v>
      </c>
      <c r="G502">
        <v>1948</v>
      </c>
      <c r="H502">
        <v>392</v>
      </c>
      <c r="I502">
        <v>3.3769999999999998</v>
      </c>
      <c r="J502">
        <v>209.65899999999999</v>
      </c>
      <c r="K502">
        <v>92</v>
      </c>
    </row>
    <row r="503" spans="1:11">
      <c r="A503">
        <v>20601</v>
      </c>
      <c r="B503" t="s">
        <v>1658</v>
      </c>
      <c r="C503" t="s">
        <v>1659</v>
      </c>
      <c r="E503" t="s">
        <v>1578</v>
      </c>
      <c r="F503">
        <v>95</v>
      </c>
      <c r="G503">
        <v>1977</v>
      </c>
      <c r="H503">
        <v>826</v>
      </c>
      <c r="I503">
        <v>0</v>
      </c>
      <c r="J503">
        <v>0</v>
      </c>
      <c r="K503">
        <v>0</v>
      </c>
    </row>
    <row r="504" spans="1:11">
      <c r="A504">
        <v>17057</v>
      </c>
      <c r="B504" t="s">
        <v>1413</v>
      </c>
      <c r="C504" t="s">
        <v>517</v>
      </c>
      <c r="E504" t="s">
        <v>1393</v>
      </c>
      <c r="F504">
        <v>86</v>
      </c>
      <c r="G504">
        <v>2000</v>
      </c>
      <c r="H504">
        <v>827</v>
      </c>
      <c r="I504">
        <v>0</v>
      </c>
      <c r="J504">
        <v>0</v>
      </c>
      <c r="K504">
        <v>0</v>
      </c>
    </row>
    <row r="505" spans="1:11">
      <c r="A505">
        <v>20587</v>
      </c>
      <c r="B505" t="s">
        <v>1660</v>
      </c>
      <c r="C505" t="s">
        <v>1661</v>
      </c>
      <c r="D505" t="s">
        <v>91</v>
      </c>
      <c r="E505" t="s">
        <v>1578</v>
      </c>
      <c r="F505">
        <v>95</v>
      </c>
      <c r="G505">
        <v>2008</v>
      </c>
      <c r="H505">
        <v>828</v>
      </c>
      <c r="I505">
        <v>0</v>
      </c>
      <c r="J505">
        <v>0</v>
      </c>
      <c r="K505">
        <v>0</v>
      </c>
    </row>
    <row r="506" spans="1:11">
      <c r="A506">
        <v>18133</v>
      </c>
      <c r="B506" t="s">
        <v>1662</v>
      </c>
      <c r="C506" t="s">
        <v>513</v>
      </c>
      <c r="D506" t="s">
        <v>107</v>
      </c>
      <c r="E506" t="s">
        <v>1401</v>
      </c>
      <c r="F506">
        <v>85</v>
      </c>
      <c r="G506">
        <v>1992</v>
      </c>
      <c r="H506">
        <v>829</v>
      </c>
      <c r="I506">
        <v>0</v>
      </c>
      <c r="J506">
        <v>0</v>
      </c>
      <c r="K506">
        <v>0</v>
      </c>
    </row>
    <row r="507" spans="1:11">
      <c r="A507">
        <v>20570</v>
      </c>
      <c r="B507" t="s">
        <v>1663</v>
      </c>
      <c r="C507" t="s">
        <v>559</v>
      </c>
      <c r="E507" t="s">
        <v>1583</v>
      </c>
      <c r="F507">
        <v>92</v>
      </c>
      <c r="G507">
        <v>1959</v>
      </c>
      <c r="H507">
        <v>492</v>
      </c>
      <c r="I507">
        <v>1.3759999999999999</v>
      </c>
      <c r="J507">
        <v>102.24</v>
      </c>
      <c r="K507">
        <v>58</v>
      </c>
    </row>
    <row r="508" spans="1:11">
      <c r="A508">
        <v>18063</v>
      </c>
      <c r="B508" t="s">
        <v>1512</v>
      </c>
      <c r="C508" t="s">
        <v>557</v>
      </c>
      <c r="E508" t="s">
        <v>470</v>
      </c>
      <c r="F508">
        <v>20</v>
      </c>
      <c r="G508">
        <v>1988</v>
      </c>
      <c r="H508">
        <v>594</v>
      </c>
      <c r="I508">
        <v>0.81299999999999994</v>
      </c>
      <c r="J508">
        <v>37.787999999999997</v>
      </c>
      <c r="K508">
        <v>0</v>
      </c>
    </row>
    <row r="509" spans="1:11">
      <c r="A509">
        <v>19015</v>
      </c>
      <c r="B509" t="s">
        <v>1664</v>
      </c>
      <c r="C509" t="s">
        <v>553</v>
      </c>
      <c r="E509" t="s">
        <v>1393</v>
      </c>
      <c r="F509">
        <v>86</v>
      </c>
      <c r="G509">
        <v>1991</v>
      </c>
      <c r="H509">
        <v>335</v>
      </c>
      <c r="I509">
        <v>3.86</v>
      </c>
      <c r="J509">
        <v>283.572</v>
      </c>
      <c r="K509">
        <v>120</v>
      </c>
    </row>
    <row r="510" spans="1:11">
      <c r="A510">
        <v>18074</v>
      </c>
      <c r="B510" t="s">
        <v>1513</v>
      </c>
      <c r="C510" t="s">
        <v>501</v>
      </c>
      <c r="E510" t="s">
        <v>493</v>
      </c>
      <c r="F510">
        <v>1</v>
      </c>
      <c r="G510">
        <v>2006</v>
      </c>
      <c r="H510">
        <v>315</v>
      </c>
      <c r="I510">
        <v>6.47</v>
      </c>
      <c r="J510">
        <v>320.75</v>
      </c>
      <c r="K510">
        <v>74</v>
      </c>
    </row>
    <row r="511" spans="1:11">
      <c r="A511">
        <v>11001</v>
      </c>
      <c r="B511" t="s">
        <v>509</v>
      </c>
      <c r="C511" t="s">
        <v>538</v>
      </c>
      <c r="E511" t="s">
        <v>1284</v>
      </c>
      <c r="F511">
        <v>80</v>
      </c>
      <c r="G511">
        <v>1954</v>
      </c>
      <c r="H511">
        <v>32</v>
      </c>
      <c r="I511">
        <v>29.125</v>
      </c>
      <c r="J511">
        <v>2063.0189999999998</v>
      </c>
      <c r="K511">
        <v>835</v>
      </c>
    </row>
    <row r="512" spans="1:11">
      <c r="A512">
        <v>11039</v>
      </c>
      <c r="B512" t="s">
        <v>509</v>
      </c>
      <c r="C512" t="s">
        <v>700</v>
      </c>
      <c r="E512" t="s">
        <v>1284</v>
      </c>
      <c r="F512">
        <v>80</v>
      </c>
      <c r="G512">
        <v>1980</v>
      </c>
      <c r="H512">
        <v>8</v>
      </c>
      <c r="I512">
        <v>46.5</v>
      </c>
      <c r="J512">
        <v>3030.64</v>
      </c>
      <c r="K512">
        <v>972</v>
      </c>
    </row>
    <row r="513" spans="1:11">
      <c r="A513">
        <v>15002</v>
      </c>
      <c r="B513" t="s">
        <v>509</v>
      </c>
      <c r="C513" t="s">
        <v>807</v>
      </c>
      <c r="E513" t="s">
        <v>1284</v>
      </c>
      <c r="F513">
        <v>80</v>
      </c>
      <c r="G513">
        <v>1978</v>
      </c>
      <c r="H513">
        <v>830</v>
      </c>
      <c r="I513">
        <v>0</v>
      </c>
      <c r="J513">
        <v>0</v>
      </c>
      <c r="K513">
        <v>0</v>
      </c>
    </row>
    <row r="514" spans="1:11">
      <c r="A514">
        <v>11002</v>
      </c>
      <c r="B514" t="s">
        <v>800</v>
      </c>
      <c r="C514" t="s">
        <v>507</v>
      </c>
      <c r="D514" t="s">
        <v>107</v>
      </c>
      <c r="E514" t="s">
        <v>1284</v>
      </c>
      <c r="F514">
        <v>80</v>
      </c>
      <c r="G514">
        <v>1956</v>
      </c>
      <c r="H514">
        <v>27</v>
      </c>
      <c r="I514">
        <v>32.25</v>
      </c>
      <c r="J514">
        <v>2198.982</v>
      </c>
      <c r="K514">
        <v>835</v>
      </c>
    </row>
    <row r="515" spans="1:11">
      <c r="A515">
        <v>10095</v>
      </c>
      <c r="B515" t="s">
        <v>1285</v>
      </c>
      <c r="C515" t="s">
        <v>757</v>
      </c>
      <c r="D515" t="s">
        <v>107</v>
      </c>
      <c r="E515" t="s">
        <v>481</v>
      </c>
      <c r="F515">
        <v>69</v>
      </c>
      <c r="G515">
        <v>1956</v>
      </c>
      <c r="H515">
        <v>831</v>
      </c>
      <c r="I515">
        <v>0</v>
      </c>
      <c r="J515">
        <v>0</v>
      </c>
      <c r="K515">
        <v>0</v>
      </c>
    </row>
    <row r="516" spans="1:11">
      <c r="A516">
        <v>96130</v>
      </c>
      <c r="B516" t="s">
        <v>801</v>
      </c>
      <c r="C516" t="s">
        <v>802</v>
      </c>
      <c r="E516" t="s">
        <v>478</v>
      </c>
      <c r="F516">
        <v>7</v>
      </c>
      <c r="G516">
        <v>1958</v>
      </c>
      <c r="H516">
        <v>832</v>
      </c>
      <c r="I516">
        <v>0</v>
      </c>
      <c r="J516">
        <v>0</v>
      </c>
      <c r="K516">
        <v>0</v>
      </c>
    </row>
    <row r="517" spans="1:11">
      <c r="A517">
        <v>15052</v>
      </c>
      <c r="B517" t="s">
        <v>1286</v>
      </c>
      <c r="C517" t="s">
        <v>538</v>
      </c>
      <c r="E517" t="s">
        <v>216</v>
      </c>
      <c r="F517">
        <v>33</v>
      </c>
      <c r="G517">
        <v>1952</v>
      </c>
      <c r="H517">
        <v>333</v>
      </c>
      <c r="I517">
        <v>8.375</v>
      </c>
      <c r="J517">
        <v>288.91899999999998</v>
      </c>
      <c r="K517">
        <v>0</v>
      </c>
    </row>
    <row r="518" spans="1:11">
      <c r="A518">
        <v>21823</v>
      </c>
      <c r="B518" t="s">
        <v>803</v>
      </c>
      <c r="C518" t="s">
        <v>733</v>
      </c>
      <c r="E518" t="s">
        <v>220</v>
      </c>
      <c r="F518">
        <v>36</v>
      </c>
      <c r="G518">
        <v>1970</v>
      </c>
      <c r="H518">
        <v>833</v>
      </c>
      <c r="I518">
        <v>0</v>
      </c>
      <c r="J518">
        <v>0</v>
      </c>
      <c r="K518">
        <v>0</v>
      </c>
    </row>
    <row r="519" spans="1:11">
      <c r="A519">
        <v>25035</v>
      </c>
      <c r="B519" t="s">
        <v>805</v>
      </c>
      <c r="C519" t="s">
        <v>677</v>
      </c>
      <c r="E519" t="s">
        <v>1055</v>
      </c>
      <c r="F519">
        <v>44</v>
      </c>
      <c r="G519">
        <v>1971</v>
      </c>
      <c r="H519">
        <v>834</v>
      </c>
      <c r="I519">
        <v>0</v>
      </c>
      <c r="J519">
        <v>0</v>
      </c>
      <c r="K519">
        <v>0</v>
      </c>
    </row>
    <row r="520" spans="1:11">
      <c r="A520">
        <v>18122</v>
      </c>
      <c r="B520" t="s">
        <v>1514</v>
      </c>
      <c r="C520" t="s">
        <v>894</v>
      </c>
      <c r="D520" t="s">
        <v>107</v>
      </c>
      <c r="E520" t="s">
        <v>1467</v>
      </c>
      <c r="F520">
        <v>89</v>
      </c>
      <c r="G520">
        <v>1957</v>
      </c>
      <c r="H520">
        <v>438</v>
      </c>
      <c r="I520">
        <v>4.8129999999999997</v>
      </c>
      <c r="J520">
        <v>154.23699999999999</v>
      </c>
      <c r="K520">
        <v>0</v>
      </c>
    </row>
    <row r="521" spans="1:11">
      <c r="A521">
        <v>19068</v>
      </c>
      <c r="B521" t="s">
        <v>1665</v>
      </c>
      <c r="C521" t="s">
        <v>504</v>
      </c>
      <c r="E521" t="s">
        <v>156</v>
      </c>
      <c r="F521">
        <v>6</v>
      </c>
      <c r="G521">
        <v>1952</v>
      </c>
      <c r="H521">
        <v>374</v>
      </c>
      <c r="I521">
        <v>4.923</v>
      </c>
      <c r="J521">
        <v>231.87299999999999</v>
      </c>
      <c r="K521">
        <v>75</v>
      </c>
    </row>
    <row r="522" spans="1:11">
      <c r="A522">
        <v>13080</v>
      </c>
      <c r="B522" t="s">
        <v>1287</v>
      </c>
      <c r="C522" t="s">
        <v>503</v>
      </c>
      <c r="E522" t="s">
        <v>489</v>
      </c>
      <c r="F522">
        <v>51</v>
      </c>
      <c r="G522">
        <v>1951</v>
      </c>
      <c r="H522">
        <v>835</v>
      </c>
      <c r="I522">
        <v>0</v>
      </c>
      <c r="J522">
        <v>0</v>
      </c>
      <c r="K522">
        <v>0</v>
      </c>
    </row>
    <row r="523" spans="1:11">
      <c r="A523">
        <v>13081</v>
      </c>
      <c r="B523" t="s">
        <v>1288</v>
      </c>
      <c r="C523" t="s">
        <v>578</v>
      </c>
      <c r="D523" t="s">
        <v>107</v>
      </c>
      <c r="E523" t="s">
        <v>489</v>
      </c>
      <c r="F523">
        <v>51</v>
      </c>
      <c r="G523">
        <v>1958</v>
      </c>
      <c r="H523">
        <v>836</v>
      </c>
      <c r="I523">
        <v>0</v>
      </c>
      <c r="J523">
        <v>0</v>
      </c>
      <c r="K523">
        <v>0</v>
      </c>
    </row>
    <row r="524" spans="1:11">
      <c r="A524">
        <v>20511</v>
      </c>
      <c r="B524" t="s">
        <v>1666</v>
      </c>
      <c r="C524" t="s">
        <v>633</v>
      </c>
      <c r="E524" t="s">
        <v>1067</v>
      </c>
      <c r="F524">
        <v>66</v>
      </c>
      <c r="G524">
        <v>1969</v>
      </c>
      <c r="H524">
        <v>288</v>
      </c>
      <c r="I524">
        <v>7.532</v>
      </c>
      <c r="J524">
        <v>383.24</v>
      </c>
      <c r="K524">
        <v>122</v>
      </c>
    </row>
    <row r="525" spans="1:11">
      <c r="A525">
        <v>20572</v>
      </c>
      <c r="B525" t="s">
        <v>1666</v>
      </c>
      <c r="C525" t="s">
        <v>1667</v>
      </c>
      <c r="E525" t="s">
        <v>1067</v>
      </c>
      <c r="F525">
        <v>66</v>
      </c>
      <c r="G525">
        <v>1995</v>
      </c>
      <c r="H525">
        <v>837</v>
      </c>
      <c r="I525">
        <v>0</v>
      </c>
      <c r="J525">
        <v>0</v>
      </c>
      <c r="K525">
        <v>0</v>
      </c>
    </row>
    <row r="526" spans="1:11">
      <c r="A526">
        <v>12058</v>
      </c>
      <c r="B526" t="s">
        <v>1668</v>
      </c>
      <c r="C526" t="s">
        <v>578</v>
      </c>
      <c r="D526" t="s">
        <v>107</v>
      </c>
      <c r="E526" t="s">
        <v>493</v>
      </c>
      <c r="F526">
        <v>1</v>
      </c>
      <c r="G526">
        <v>1979</v>
      </c>
      <c r="H526">
        <v>420</v>
      </c>
      <c r="I526">
        <v>2.8439999999999999</v>
      </c>
      <c r="J526">
        <v>178.50800000000001</v>
      </c>
      <c r="K526">
        <v>68</v>
      </c>
    </row>
    <row r="527" spans="1:11">
      <c r="A527">
        <v>23034</v>
      </c>
      <c r="B527" t="s">
        <v>806</v>
      </c>
      <c r="C527" t="s">
        <v>554</v>
      </c>
      <c r="E527" t="s">
        <v>1055</v>
      </c>
      <c r="F527">
        <v>44</v>
      </c>
      <c r="G527">
        <v>1968</v>
      </c>
      <c r="H527">
        <v>838</v>
      </c>
      <c r="I527">
        <v>0</v>
      </c>
      <c r="J527">
        <v>0</v>
      </c>
      <c r="K527">
        <v>0</v>
      </c>
    </row>
    <row r="528" spans="1:11">
      <c r="A528">
        <v>13056</v>
      </c>
      <c r="B528" t="s">
        <v>1091</v>
      </c>
      <c r="C528" t="s">
        <v>586</v>
      </c>
      <c r="E528" t="s">
        <v>161</v>
      </c>
      <c r="F528">
        <v>30</v>
      </c>
      <c r="G528">
        <v>1978</v>
      </c>
      <c r="H528">
        <v>561</v>
      </c>
      <c r="I528">
        <v>2</v>
      </c>
      <c r="J528">
        <v>58.314</v>
      </c>
      <c r="K528">
        <v>0</v>
      </c>
    </row>
    <row r="529" spans="1:11">
      <c r="A529">
        <v>10071</v>
      </c>
      <c r="B529" t="s">
        <v>808</v>
      </c>
      <c r="C529" t="s">
        <v>541</v>
      </c>
      <c r="E529" t="s">
        <v>484</v>
      </c>
      <c r="F529">
        <v>21</v>
      </c>
      <c r="G529">
        <v>1958</v>
      </c>
      <c r="H529">
        <v>280</v>
      </c>
      <c r="I529">
        <v>5.0940000000000003</v>
      </c>
      <c r="J529">
        <v>410.97800000000001</v>
      </c>
      <c r="K529">
        <v>192</v>
      </c>
    </row>
    <row r="530" spans="1:11">
      <c r="A530">
        <v>12076</v>
      </c>
      <c r="B530" t="s">
        <v>1092</v>
      </c>
      <c r="C530" t="s">
        <v>804</v>
      </c>
      <c r="D530" t="s">
        <v>107</v>
      </c>
      <c r="E530" t="s">
        <v>484</v>
      </c>
      <c r="F530">
        <v>21</v>
      </c>
      <c r="G530">
        <v>1991</v>
      </c>
      <c r="H530">
        <v>839</v>
      </c>
      <c r="I530">
        <v>0</v>
      </c>
      <c r="J530">
        <v>0</v>
      </c>
      <c r="K530">
        <v>0</v>
      </c>
    </row>
    <row r="531" spans="1:11">
      <c r="A531">
        <v>23056</v>
      </c>
      <c r="B531" t="s">
        <v>809</v>
      </c>
      <c r="C531" t="s">
        <v>810</v>
      </c>
      <c r="D531" t="s">
        <v>107</v>
      </c>
      <c r="E531" t="s">
        <v>163</v>
      </c>
      <c r="F531">
        <v>43</v>
      </c>
      <c r="G531">
        <v>1981</v>
      </c>
      <c r="H531">
        <v>117</v>
      </c>
      <c r="I531">
        <v>21.157</v>
      </c>
      <c r="J531">
        <v>1275.318</v>
      </c>
      <c r="K531">
        <v>422</v>
      </c>
    </row>
    <row r="532" spans="1:11">
      <c r="A532">
        <v>16124</v>
      </c>
      <c r="B532" t="s">
        <v>809</v>
      </c>
      <c r="C532" t="s">
        <v>514</v>
      </c>
      <c r="D532" t="s">
        <v>107</v>
      </c>
      <c r="E532" t="s">
        <v>542</v>
      </c>
      <c r="F532">
        <v>73</v>
      </c>
      <c r="G532">
        <v>1987</v>
      </c>
      <c r="H532">
        <v>840</v>
      </c>
      <c r="I532">
        <v>0</v>
      </c>
      <c r="J532">
        <v>0</v>
      </c>
      <c r="K532">
        <v>0</v>
      </c>
    </row>
    <row r="533" spans="1:11">
      <c r="A533">
        <v>15073</v>
      </c>
      <c r="B533" t="s">
        <v>1289</v>
      </c>
      <c r="C533" t="s">
        <v>503</v>
      </c>
      <c r="E533" t="s">
        <v>489</v>
      </c>
      <c r="F533">
        <v>51</v>
      </c>
      <c r="G533">
        <v>1944</v>
      </c>
      <c r="H533">
        <v>591</v>
      </c>
      <c r="I533">
        <v>1.3440000000000001</v>
      </c>
      <c r="J533">
        <v>38.250999999999998</v>
      </c>
      <c r="K533">
        <v>0</v>
      </c>
    </row>
    <row r="534" spans="1:11">
      <c r="A534">
        <v>16122</v>
      </c>
      <c r="B534" t="s">
        <v>1289</v>
      </c>
      <c r="C534" t="s">
        <v>521</v>
      </c>
      <c r="E534" t="s">
        <v>164</v>
      </c>
      <c r="F534">
        <v>52</v>
      </c>
      <c r="G534">
        <v>1982</v>
      </c>
      <c r="H534">
        <v>468</v>
      </c>
      <c r="I534">
        <v>1.8120000000000001</v>
      </c>
      <c r="J534">
        <v>125.041</v>
      </c>
      <c r="K534">
        <v>54</v>
      </c>
    </row>
    <row r="535" spans="1:11">
      <c r="A535">
        <v>27088</v>
      </c>
      <c r="B535" t="s">
        <v>811</v>
      </c>
      <c r="C535" t="s">
        <v>812</v>
      </c>
      <c r="D535" t="s">
        <v>107</v>
      </c>
      <c r="E535" t="s">
        <v>1070</v>
      </c>
      <c r="F535">
        <v>42</v>
      </c>
      <c r="G535">
        <v>1970</v>
      </c>
      <c r="H535">
        <v>70</v>
      </c>
      <c r="I535">
        <v>22.876999999999999</v>
      </c>
      <c r="J535">
        <v>1676.347</v>
      </c>
      <c r="K535">
        <v>704</v>
      </c>
    </row>
    <row r="536" spans="1:11">
      <c r="A536">
        <v>20565</v>
      </c>
      <c r="B536" t="s">
        <v>1669</v>
      </c>
      <c r="C536" t="s">
        <v>1670</v>
      </c>
      <c r="E536" t="s">
        <v>1057</v>
      </c>
      <c r="F536">
        <v>2</v>
      </c>
      <c r="G536">
        <v>1980</v>
      </c>
      <c r="H536">
        <v>309</v>
      </c>
      <c r="I536">
        <v>7.75</v>
      </c>
      <c r="J536">
        <v>334.947</v>
      </c>
      <c r="K536">
        <v>143</v>
      </c>
    </row>
    <row r="537" spans="1:11">
      <c r="A537">
        <v>98482</v>
      </c>
      <c r="B537" t="s">
        <v>813</v>
      </c>
      <c r="C537" t="s">
        <v>557</v>
      </c>
      <c r="E537" t="s">
        <v>170</v>
      </c>
      <c r="F537">
        <v>14</v>
      </c>
      <c r="G537">
        <v>1970</v>
      </c>
      <c r="H537">
        <v>417</v>
      </c>
      <c r="I537">
        <v>4</v>
      </c>
      <c r="J537">
        <v>181.93100000000001</v>
      </c>
      <c r="K537">
        <v>0</v>
      </c>
    </row>
    <row r="538" spans="1:11">
      <c r="A538">
        <v>17021</v>
      </c>
      <c r="B538" t="s">
        <v>854</v>
      </c>
      <c r="C538" t="s">
        <v>1414</v>
      </c>
      <c r="D538" t="s">
        <v>91</v>
      </c>
      <c r="E538" t="s">
        <v>484</v>
      </c>
      <c r="F538">
        <v>21</v>
      </c>
      <c r="G538">
        <v>2009</v>
      </c>
      <c r="H538">
        <v>602</v>
      </c>
      <c r="I538">
        <v>0.875</v>
      </c>
      <c r="J538">
        <v>32.207999999999998</v>
      </c>
      <c r="K538">
        <v>0</v>
      </c>
    </row>
    <row r="539" spans="1:11">
      <c r="A539">
        <v>19010</v>
      </c>
      <c r="B539" t="s">
        <v>854</v>
      </c>
      <c r="C539" t="s">
        <v>511</v>
      </c>
      <c r="E539" t="s">
        <v>484</v>
      </c>
      <c r="F539">
        <v>21</v>
      </c>
      <c r="G539">
        <v>1976</v>
      </c>
      <c r="H539">
        <v>603</v>
      </c>
      <c r="I539">
        <v>0.875</v>
      </c>
      <c r="J539">
        <v>32.207999999999998</v>
      </c>
      <c r="K539">
        <v>0</v>
      </c>
    </row>
    <row r="540" spans="1:11">
      <c r="A540">
        <v>20537</v>
      </c>
      <c r="B540" t="s">
        <v>1671</v>
      </c>
      <c r="C540" t="s">
        <v>509</v>
      </c>
      <c r="E540" t="s">
        <v>1583</v>
      </c>
      <c r="F540">
        <v>92</v>
      </c>
      <c r="G540">
        <v>1984</v>
      </c>
      <c r="H540">
        <v>841</v>
      </c>
      <c r="I540">
        <v>0</v>
      </c>
      <c r="J540">
        <v>0</v>
      </c>
      <c r="K540">
        <v>0</v>
      </c>
    </row>
    <row r="541" spans="1:11">
      <c r="A541">
        <v>20538</v>
      </c>
      <c r="B541" t="s">
        <v>1672</v>
      </c>
      <c r="C541" t="s">
        <v>584</v>
      </c>
      <c r="D541" t="s">
        <v>107</v>
      </c>
      <c r="E541" t="s">
        <v>1583</v>
      </c>
      <c r="F541">
        <v>92</v>
      </c>
      <c r="G541">
        <v>1981</v>
      </c>
      <c r="H541">
        <v>842</v>
      </c>
      <c r="I541">
        <v>0</v>
      </c>
      <c r="J541">
        <v>0</v>
      </c>
      <c r="K541">
        <v>0</v>
      </c>
    </row>
    <row r="542" spans="1:11">
      <c r="A542">
        <v>18131</v>
      </c>
      <c r="B542" t="s">
        <v>1673</v>
      </c>
      <c r="C542" t="s">
        <v>1674</v>
      </c>
      <c r="D542" t="s">
        <v>107</v>
      </c>
      <c r="E542" t="s">
        <v>1188</v>
      </c>
      <c r="F542">
        <v>82</v>
      </c>
      <c r="G542">
        <v>1968</v>
      </c>
      <c r="H542">
        <v>213</v>
      </c>
      <c r="I542">
        <v>13.282999999999999</v>
      </c>
      <c r="J542">
        <v>637.79999999999995</v>
      </c>
      <c r="K542">
        <v>148</v>
      </c>
    </row>
    <row r="543" spans="1:11">
      <c r="A543">
        <v>29049</v>
      </c>
      <c r="B543" t="s">
        <v>814</v>
      </c>
      <c r="C543" t="s">
        <v>553</v>
      </c>
      <c r="E543" t="s">
        <v>487</v>
      </c>
      <c r="F543">
        <v>64</v>
      </c>
      <c r="G543">
        <v>1987</v>
      </c>
      <c r="H543">
        <v>3</v>
      </c>
      <c r="I543">
        <v>51</v>
      </c>
      <c r="J543">
        <v>3431.848</v>
      </c>
      <c r="K543">
        <v>1235</v>
      </c>
    </row>
    <row r="544" spans="1:11">
      <c r="A544">
        <v>16136</v>
      </c>
      <c r="B544" t="s">
        <v>1415</v>
      </c>
      <c r="C544" t="s">
        <v>1416</v>
      </c>
      <c r="D544" t="s">
        <v>610</v>
      </c>
      <c r="E544" t="s">
        <v>484</v>
      </c>
      <c r="F544">
        <v>21</v>
      </c>
      <c r="G544">
        <v>2006</v>
      </c>
      <c r="H544">
        <v>843</v>
      </c>
      <c r="I544">
        <v>0</v>
      </c>
      <c r="J544">
        <v>0</v>
      </c>
      <c r="K544">
        <v>0</v>
      </c>
    </row>
    <row r="545" spans="1:11">
      <c r="A545">
        <v>17031</v>
      </c>
      <c r="B545" t="s">
        <v>1417</v>
      </c>
      <c r="C545" t="s">
        <v>501</v>
      </c>
      <c r="D545" t="s">
        <v>91</v>
      </c>
      <c r="E545" t="s">
        <v>493</v>
      </c>
      <c r="F545">
        <v>1</v>
      </c>
      <c r="G545">
        <v>2004</v>
      </c>
      <c r="H545">
        <v>137</v>
      </c>
      <c r="I545">
        <v>16.890999999999998</v>
      </c>
      <c r="J545">
        <v>1058.672</v>
      </c>
      <c r="K545">
        <v>321</v>
      </c>
    </row>
    <row r="546" spans="1:11">
      <c r="A546">
        <v>27071</v>
      </c>
      <c r="B546" t="s">
        <v>815</v>
      </c>
      <c r="C546" t="s">
        <v>501</v>
      </c>
      <c r="E546" t="s">
        <v>1056</v>
      </c>
      <c r="F546">
        <v>61</v>
      </c>
      <c r="G546">
        <v>1986</v>
      </c>
      <c r="H546">
        <v>626</v>
      </c>
      <c r="I546">
        <v>0.65600000000000003</v>
      </c>
      <c r="J546">
        <v>19.134</v>
      </c>
      <c r="K546">
        <v>0</v>
      </c>
    </row>
    <row r="547" spans="1:11">
      <c r="A547">
        <v>27073</v>
      </c>
      <c r="B547" t="s">
        <v>815</v>
      </c>
      <c r="C547" t="s">
        <v>531</v>
      </c>
      <c r="E547" t="s">
        <v>1056</v>
      </c>
      <c r="F547">
        <v>61</v>
      </c>
      <c r="G547">
        <v>1988</v>
      </c>
      <c r="H547">
        <v>502</v>
      </c>
      <c r="I547">
        <v>3.25</v>
      </c>
      <c r="J547">
        <v>94.76</v>
      </c>
      <c r="K547">
        <v>0</v>
      </c>
    </row>
    <row r="548" spans="1:11">
      <c r="A548">
        <v>14046</v>
      </c>
      <c r="B548" t="s">
        <v>815</v>
      </c>
      <c r="C548" t="s">
        <v>557</v>
      </c>
      <c r="E548" t="s">
        <v>493</v>
      </c>
      <c r="F548">
        <v>1</v>
      </c>
      <c r="G548">
        <v>1953</v>
      </c>
      <c r="H548">
        <v>844</v>
      </c>
      <c r="I548">
        <v>0</v>
      </c>
      <c r="J548">
        <v>0</v>
      </c>
      <c r="K548">
        <v>0</v>
      </c>
    </row>
    <row r="549" spans="1:11">
      <c r="A549">
        <v>18001</v>
      </c>
      <c r="B549" t="s">
        <v>1515</v>
      </c>
      <c r="C549" t="s">
        <v>557</v>
      </c>
      <c r="E549" t="s">
        <v>1188</v>
      </c>
      <c r="F549">
        <v>82</v>
      </c>
      <c r="G549">
        <v>1988</v>
      </c>
      <c r="H549">
        <v>34</v>
      </c>
      <c r="I549">
        <v>38.25</v>
      </c>
      <c r="J549">
        <v>2040.9760000000001</v>
      </c>
      <c r="K549">
        <v>603</v>
      </c>
    </row>
    <row r="550" spans="1:11">
      <c r="A550">
        <v>20606</v>
      </c>
      <c r="B550" t="s">
        <v>1675</v>
      </c>
      <c r="C550" t="s">
        <v>968</v>
      </c>
      <c r="E550" t="s">
        <v>1578</v>
      </c>
      <c r="F550">
        <v>95</v>
      </c>
      <c r="G550">
        <v>1957</v>
      </c>
      <c r="H550">
        <v>845</v>
      </c>
      <c r="I550">
        <v>0</v>
      </c>
      <c r="J550">
        <v>0</v>
      </c>
      <c r="K550">
        <v>0</v>
      </c>
    </row>
    <row r="551" spans="1:11">
      <c r="A551">
        <v>13004</v>
      </c>
      <c r="B551" t="s">
        <v>1093</v>
      </c>
      <c r="C551" t="s">
        <v>504</v>
      </c>
      <c r="E551" t="s">
        <v>470</v>
      </c>
      <c r="F551">
        <v>20</v>
      </c>
      <c r="G551">
        <v>1965</v>
      </c>
      <c r="H551">
        <v>182</v>
      </c>
      <c r="I551">
        <v>11.94</v>
      </c>
      <c r="J551">
        <v>779.86900000000003</v>
      </c>
      <c r="K551">
        <v>277</v>
      </c>
    </row>
    <row r="552" spans="1:11">
      <c r="A552">
        <v>21821</v>
      </c>
      <c r="B552" t="s">
        <v>816</v>
      </c>
      <c r="C552" t="s">
        <v>554</v>
      </c>
      <c r="E552" t="s">
        <v>220</v>
      </c>
      <c r="F552">
        <v>36</v>
      </c>
      <c r="G552">
        <v>1960</v>
      </c>
      <c r="H552">
        <v>846</v>
      </c>
      <c r="I552">
        <v>0</v>
      </c>
      <c r="J552">
        <v>0</v>
      </c>
      <c r="K552">
        <v>0</v>
      </c>
    </row>
    <row r="553" spans="1:11">
      <c r="A553">
        <v>19041</v>
      </c>
      <c r="B553" t="s">
        <v>816</v>
      </c>
      <c r="C553" t="s">
        <v>519</v>
      </c>
      <c r="E553" t="s">
        <v>493</v>
      </c>
      <c r="F553">
        <v>1</v>
      </c>
      <c r="G553">
        <v>1969</v>
      </c>
      <c r="H553">
        <v>533</v>
      </c>
      <c r="I553">
        <v>2.125</v>
      </c>
      <c r="J553">
        <v>74.498000000000005</v>
      </c>
      <c r="K553">
        <v>0</v>
      </c>
    </row>
    <row r="554" spans="1:11">
      <c r="A554">
        <v>23054</v>
      </c>
      <c r="B554" t="s">
        <v>816</v>
      </c>
      <c r="C554" t="s">
        <v>504</v>
      </c>
      <c r="E554" t="s">
        <v>493</v>
      </c>
      <c r="F554">
        <v>1</v>
      </c>
      <c r="G554">
        <v>1978</v>
      </c>
      <c r="H554">
        <v>437</v>
      </c>
      <c r="I554">
        <v>6</v>
      </c>
      <c r="J554">
        <v>155.92699999999999</v>
      </c>
      <c r="K554">
        <v>0</v>
      </c>
    </row>
    <row r="555" spans="1:11">
      <c r="A555">
        <v>18097</v>
      </c>
      <c r="B555" t="s">
        <v>1516</v>
      </c>
      <c r="C555" t="s">
        <v>618</v>
      </c>
      <c r="D555" t="s">
        <v>610</v>
      </c>
      <c r="E555" t="s">
        <v>493</v>
      </c>
      <c r="F555">
        <v>1</v>
      </c>
      <c r="G555">
        <v>2008</v>
      </c>
      <c r="H555">
        <v>500</v>
      </c>
      <c r="I555">
        <v>2.625</v>
      </c>
      <c r="J555">
        <v>96.623999999999995</v>
      </c>
      <c r="K555">
        <v>0</v>
      </c>
    </row>
    <row r="556" spans="1:11">
      <c r="A556">
        <v>19025</v>
      </c>
      <c r="B556" t="s">
        <v>1676</v>
      </c>
      <c r="C556" t="s">
        <v>553</v>
      </c>
      <c r="E556" t="s">
        <v>1179</v>
      </c>
      <c r="F556">
        <v>79</v>
      </c>
      <c r="G556">
        <v>1967</v>
      </c>
      <c r="H556">
        <v>108</v>
      </c>
      <c r="I556">
        <v>20.689</v>
      </c>
      <c r="J556">
        <v>1325.6</v>
      </c>
      <c r="K556">
        <v>485</v>
      </c>
    </row>
    <row r="557" spans="1:11">
      <c r="A557">
        <v>18076</v>
      </c>
      <c r="B557" t="s">
        <v>817</v>
      </c>
      <c r="C557" t="s">
        <v>818</v>
      </c>
      <c r="E557" t="s">
        <v>1467</v>
      </c>
      <c r="F557">
        <v>89</v>
      </c>
      <c r="G557">
        <v>1960</v>
      </c>
      <c r="H557">
        <v>200</v>
      </c>
      <c r="I557">
        <v>16.094999999999999</v>
      </c>
      <c r="J557">
        <v>690.31299999999999</v>
      </c>
      <c r="K557">
        <v>129</v>
      </c>
    </row>
    <row r="558" spans="1:11">
      <c r="A558">
        <v>18077</v>
      </c>
      <c r="B558" t="s">
        <v>819</v>
      </c>
      <c r="C558" t="s">
        <v>820</v>
      </c>
      <c r="D558" t="s">
        <v>107</v>
      </c>
      <c r="E558" t="s">
        <v>1467</v>
      </c>
      <c r="F558">
        <v>89</v>
      </c>
      <c r="G558">
        <v>1965</v>
      </c>
      <c r="H558">
        <v>233</v>
      </c>
      <c r="I558">
        <v>9.5649999999999995</v>
      </c>
      <c r="J558">
        <v>536.65200000000004</v>
      </c>
      <c r="K558">
        <v>129</v>
      </c>
    </row>
    <row r="559" spans="1:11">
      <c r="A559">
        <v>16061</v>
      </c>
      <c r="B559" t="s">
        <v>1290</v>
      </c>
      <c r="C559" t="s">
        <v>550</v>
      </c>
      <c r="E559" t="s">
        <v>1236</v>
      </c>
      <c r="F559">
        <v>83</v>
      </c>
      <c r="G559">
        <v>1969</v>
      </c>
      <c r="H559">
        <v>847</v>
      </c>
      <c r="I559">
        <v>0</v>
      </c>
      <c r="J559">
        <v>0</v>
      </c>
      <c r="K559">
        <v>0</v>
      </c>
    </row>
    <row r="560" spans="1:11">
      <c r="A560">
        <v>10012</v>
      </c>
      <c r="B560" t="s">
        <v>821</v>
      </c>
      <c r="C560" t="s">
        <v>553</v>
      </c>
      <c r="E560" t="s">
        <v>1067</v>
      </c>
      <c r="F560">
        <v>66</v>
      </c>
      <c r="G560">
        <v>1975</v>
      </c>
      <c r="H560">
        <v>158</v>
      </c>
      <c r="I560">
        <v>17.687999999999999</v>
      </c>
      <c r="J560">
        <v>913.94299999999998</v>
      </c>
      <c r="K560">
        <v>248</v>
      </c>
    </row>
    <row r="561" spans="1:11">
      <c r="A561">
        <v>10011</v>
      </c>
      <c r="B561" t="s">
        <v>821</v>
      </c>
      <c r="C561" t="s">
        <v>504</v>
      </c>
      <c r="E561" t="s">
        <v>1067</v>
      </c>
      <c r="F561">
        <v>66</v>
      </c>
      <c r="G561">
        <v>1976</v>
      </c>
      <c r="H561">
        <v>156</v>
      </c>
      <c r="I561">
        <v>18.969000000000001</v>
      </c>
      <c r="J561">
        <v>948.73900000000003</v>
      </c>
      <c r="K561">
        <v>233</v>
      </c>
    </row>
    <row r="562" spans="1:11">
      <c r="A562">
        <v>19011</v>
      </c>
      <c r="B562" t="s">
        <v>1677</v>
      </c>
      <c r="C562" t="s">
        <v>1678</v>
      </c>
      <c r="D562" t="s">
        <v>91</v>
      </c>
      <c r="E562" t="s">
        <v>484</v>
      </c>
      <c r="F562">
        <v>21</v>
      </c>
      <c r="G562">
        <v>2003</v>
      </c>
      <c r="H562">
        <v>522</v>
      </c>
      <c r="I562">
        <v>2.25</v>
      </c>
      <c r="J562">
        <v>82.82</v>
      </c>
      <c r="K562">
        <v>0</v>
      </c>
    </row>
    <row r="563" spans="1:11">
      <c r="A563">
        <v>19012</v>
      </c>
      <c r="B563" t="s">
        <v>1677</v>
      </c>
      <c r="C563" t="s">
        <v>1405</v>
      </c>
      <c r="D563" t="s">
        <v>91</v>
      </c>
      <c r="E563" t="s">
        <v>484</v>
      </c>
      <c r="F563">
        <v>21</v>
      </c>
      <c r="G563">
        <v>2007</v>
      </c>
      <c r="H563">
        <v>606</v>
      </c>
      <c r="I563">
        <v>0.84399999999999997</v>
      </c>
      <c r="J563">
        <v>31.058</v>
      </c>
      <c r="K563">
        <v>0</v>
      </c>
    </row>
    <row r="564" spans="1:11">
      <c r="A564">
        <v>16128</v>
      </c>
      <c r="B564" t="s">
        <v>1418</v>
      </c>
      <c r="C564" t="s">
        <v>1419</v>
      </c>
      <c r="D564" t="s">
        <v>91</v>
      </c>
      <c r="E564" t="s">
        <v>1057</v>
      </c>
      <c r="F564">
        <v>2</v>
      </c>
      <c r="G564">
        <v>2009</v>
      </c>
      <c r="H564">
        <v>848</v>
      </c>
      <c r="I564">
        <v>0</v>
      </c>
      <c r="J564">
        <v>0</v>
      </c>
      <c r="K564">
        <v>0</v>
      </c>
    </row>
    <row r="565" spans="1:11">
      <c r="A565">
        <v>18099</v>
      </c>
      <c r="B565" t="s">
        <v>1418</v>
      </c>
      <c r="C565" t="s">
        <v>509</v>
      </c>
      <c r="E565" t="s">
        <v>1057</v>
      </c>
      <c r="F565">
        <v>2</v>
      </c>
      <c r="G565">
        <v>1974</v>
      </c>
      <c r="H565">
        <v>322</v>
      </c>
      <c r="I565">
        <v>8.3759999999999994</v>
      </c>
      <c r="J565">
        <v>305.392</v>
      </c>
      <c r="K565">
        <v>0</v>
      </c>
    </row>
    <row r="566" spans="1:11">
      <c r="A566">
        <v>16129</v>
      </c>
      <c r="B566" t="s">
        <v>1420</v>
      </c>
      <c r="C566" t="s">
        <v>1421</v>
      </c>
      <c r="D566" t="s">
        <v>610</v>
      </c>
      <c r="E566" t="s">
        <v>1057</v>
      </c>
      <c r="F566">
        <v>2</v>
      </c>
      <c r="G566">
        <v>2007</v>
      </c>
      <c r="H566">
        <v>849</v>
      </c>
      <c r="I566">
        <v>0</v>
      </c>
      <c r="J566">
        <v>0</v>
      </c>
      <c r="K566">
        <v>0</v>
      </c>
    </row>
    <row r="567" spans="1:11">
      <c r="A567">
        <v>20567</v>
      </c>
      <c r="B567" t="s">
        <v>1420</v>
      </c>
      <c r="C567" t="s">
        <v>1679</v>
      </c>
      <c r="D567" t="s">
        <v>610</v>
      </c>
      <c r="E567" t="s">
        <v>1057</v>
      </c>
      <c r="F567">
        <v>2</v>
      </c>
      <c r="G567">
        <v>2014</v>
      </c>
      <c r="H567">
        <v>850</v>
      </c>
      <c r="I567">
        <v>0</v>
      </c>
      <c r="J567">
        <v>0</v>
      </c>
      <c r="K567">
        <v>0</v>
      </c>
    </row>
    <row r="568" spans="1:11">
      <c r="A568">
        <v>20552</v>
      </c>
      <c r="B568" t="s">
        <v>822</v>
      </c>
      <c r="C568" t="s">
        <v>531</v>
      </c>
      <c r="E568" t="s">
        <v>216</v>
      </c>
      <c r="F568">
        <v>33</v>
      </c>
      <c r="G568">
        <v>1956</v>
      </c>
      <c r="H568">
        <v>595</v>
      </c>
      <c r="I568">
        <v>0.875</v>
      </c>
      <c r="J568">
        <v>37.436999999999998</v>
      </c>
      <c r="K568">
        <v>0</v>
      </c>
    </row>
    <row r="569" spans="1:11">
      <c r="A569">
        <v>20502</v>
      </c>
      <c r="B569" t="s">
        <v>1094</v>
      </c>
      <c r="C569" t="s">
        <v>553</v>
      </c>
      <c r="D569" t="s">
        <v>91</v>
      </c>
      <c r="E569" t="s">
        <v>493</v>
      </c>
      <c r="F569">
        <v>1</v>
      </c>
      <c r="G569">
        <v>2007</v>
      </c>
      <c r="H569">
        <v>537</v>
      </c>
      <c r="I569">
        <v>1.9379999999999999</v>
      </c>
      <c r="J569">
        <v>71.316999999999993</v>
      </c>
      <c r="K569">
        <v>0</v>
      </c>
    </row>
    <row r="570" spans="1:11">
      <c r="A570">
        <v>13064</v>
      </c>
      <c r="B570" t="s">
        <v>1094</v>
      </c>
      <c r="C570" t="s">
        <v>509</v>
      </c>
      <c r="E570" t="s">
        <v>493</v>
      </c>
      <c r="F570">
        <v>1</v>
      </c>
      <c r="G570">
        <v>1998</v>
      </c>
      <c r="H570">
        <v>19</v>
      </c>
      <c r="I570">
        <v>35</v>
      </c>
      <c r="J570">
        <v>2424.5549999999998</v>
      </c>
      <c r="K570">
        <v>873</v>
      </c>
    </row>
    <row r="571" spans="1:11">
      <c r="A571">
        <v>28029</v>
      </c>
      <c r="B571" t="s">
        <v>823</v>
      </c>
      <c r="C571" t="s">
        <v>507</v>
      </c>
      <c r="D571" t="s">
        <v>107</v>
      </c>
      <c r="E571" t="s">
        <v>602</v>
      </c>
      <c r="F571">
        <v>62</v>
      </c>
      <c r="G571">
        <v>1968</v>
      </c>
      <c r="H571">
        <v>350</v>
      </c>
      <c r="I571">
        <v>3.8130000000000002</v>
      </c>
      <c r="J571">
        <v>257.94</v>
      </c>
      <c r="K571">
        <v>107</v>
      </c>
    </row>
    <row r="572" spans="1:11">
      <c r="A572">
        <v>28030</v>
      </c>
      <c r="B572" t="s">
        <v>824</v>
      </c>
      <c r="C572" t="s">
        <v>531</v>
      </c>
      <c r="E572" t="s">
        <v>602</v>
      </c>
      <c r="F572">
        <v>62</v>
      </c>
      <c r="G572">
        <v>1967</v>
      </c>
      <c r="H572">
        <v>196</v>
      </c>
      <c r="I572">
        <v>15.000999999999999</v>
      </c>
      <c r="J572">
        <v>705.78800000000001</v>
      </c>
      <c r="K572">
        <v>187</v>
      </c>
    </row>
    <row r="573" spans="1:11">
      <c r="A573">
        <v>13069</v>
      </c>
      <c r="B573" t="s">
        <v>824</v>
      </c>
      <c r="C573" t="s">
        <v>606</v>
      </c>
      <c r="D573" t="s">
        <v>91</v>
      </c>
      <c r="E573" t="s">
        <v>602</v>
      </c>
      <c r="F573">
        <v>62</v>
      </c>
      <c r="G573">
        <v>2003</v>
      </c>
      <c r="H573">
        <v>650</v>
      </c>
      <c r="I573">
        <v>0.25</v>
      </c>
      <c r="J573">
        <v>7.9619999999999997</v>
      </c>
      <c r="K573">
        <v>0</v>
      </c>
    </row>
    <row r="574" spans="1:11">
      <c r="A574">
        <v>99532</v>
      </c>
      <c r="B574" t="s">
        <v>825</v>
      </c>
      <c r="C574" t="s">
        <v>643</v>
      </c>
      <c r="E574" t="s">
        <v>198</v>
      </c>
      <c r="F574">
        <v>17</v>
      </c>
      <c r="G574">
        <v>1965</v>
      </c>
      <c r="H574">
        <v>2</v>
      </c>
      <c r="I574">
        <v>54.75</v>
      </c>
      <c r="J574">
        <v>3466.8180000000002</v>
      </c>
      <c r="K574">
        <v>1126</v>
      </c>
    </row>
    <row r="575" spans="1:11">
      <c r="A575">
        <v>21775</v>
      </c>
      <c r="B575" t="s">
        <v>825</v>
      </c>
      <c r="C575" t="s">
        <v>553</v>
      </c>
      <c r="E575" t="s">
        <v>198</v>
      </c>
      <c r="F575">
        <v>17</v>
      </c>
      <c r="G575">
        <v>1991</v>
      </c>
      <c r="H575">
        <v>122</v>
      </c>
      <c r="I575">
        <v>17.5</v>
      </c>
      <c r="J575">
        <v>1228.317</v>
      </c>
      <c r="K575">
        <v>431</v>
      </c>
    </row>
    <row r="576" spans="1:11">
      <c r="A576">
        <v>21774</v>
      </c>
      <c r="B576" t="s">
        <v>825</v>
      </c>
      <c r="C576" t="s">
        <v>521</v>
      </c>
      <c r="E576" t="s">
        <v>198</v>
      </c>
      <c r="F576">
        <v>17</v>
      </c>
      <c r="G576">
        <v>1994</v>
      </c>
      <c r="H576">
        <v>6</v>
      </c>
      <c r="I576">
        <v>54</v>
      </c>
      <c r="J576">
        <v>3212.4870000000001</v>
      </c>
      <c r="K576">
        <v>976</v>
      </c>
    </row>
    <row r="577" spans="1:11">
      <c r="A577">
        <v>20702</v>
      </c>
      <c r="B577" t="s">
        <v>826</v>
      </c>
      <c r="C577" t="s">
        <v>827</v>
      </c>
      <c r="D577" t="s">
        <v>107</v>
      </c>
      <c r="E577" t="s">
        <v>198</v>
      </c>
      <c r="F577">
        <v>17</v>
      </c>
      <c r="G577">
        <v>1969</v>
      </c>
      <c r="H577">
        <v>118</v>
      </c>
      <c r="I577">
        <v>24.375</v>
      </c>
      <c r="J577">
        <v>1269.731</v>
      </c>
      <c r="K577">
        <v>293</v>
      </c>
    </row>
    <row r="578" spans="1:11">
      <c r="A578">
        <v>15076</v>
      </c>
      <c r="B578" t="s">
        <v>1291</v>
      </c>
      <c r="C578" t="s">
        <v>659</v>
      </c>
      <c r="E578" t="s">
        <v>483</v>
      </c>
      <c r="F578">
        <v>13</v>
      </c>
      <c r="G578">
        <v>1984</v>
      </c>
      <c r="H578">
        <v>851</v>
      </c>
      <c r="I578">
        <v>0</v>
      </c>
      <c r="J578">
        <v>0</v>
      </c>
      <c r="K578">
        <v>0</v>
      </c>
    </row>
    <row r="579" spans="1:11">
      <c r="A579">
        <v>26060</v>
      </c>
      <c r="B579" t="s">
        <v>828</v>
      </c>
      <c r="C579" t="s">
        <v>553</v>
      </c>
      <c r="E579" t="s">
        <v>475</v>
      </c>
      <c r="F579">
        <v>27</v>
      </c>
      <c r="G579">
        <v>1953</v>
      </c>
      <c r="H579">
        <v>498</v>
      </c>
      <c r="I579">
        <v>2.375</v>
      </c>
      <c r="J579">
        <v>99.307000000000002</v>
      </c>
      <c r="K579">
        <v>0</v>
      </c>
    </row>
    <row r="580" spans="1:11">
      <c r="A580">
        <v>18126</v>
      </c>
      <c r="B580" t="s">
        <v>1680</v>
      </c>
      <c r="C580" t="s">
        <v>586</v>
      </c>
      <c r="E580" t="s">
        <v>1393</v>
      </c>
      <c r="F580">
        <v>86</v>
      </c>
      <c r="G580">
        <v>1992</v>
      </c>
      <c r="H580">
        <v>852</v>
      </c>
      <c r="I580">
        <v>0</v>
      </c>
      <c r="J580">
        <v>0</v>
      </c>
      <c r="K580">
        <v>0</v>
      </c>
    </row>
    <row r="581" spans="1:11">
      <c r="A581">
        <v>15047</v>
      </c>
      <c r="B581" t="s">
        <v>1292</v>
      </c>
      <c r="C581" t="s">
        <v>519</v>
      </c>
      <c r="E581" t="s">
        <v>472</v>
      </c>
      <c r="F581">
        <v>54</v>
      </c>
      <c r="G581">
        <v>1978</v>
      </c>
      <c r="H581">
        <v>294</v>
      </c>
      <c r="I581">
        <v>4.8129999999999997</v>
      </c>
      <c r="J581">
        <v>357.50400000000002</v>
      </c>
      <c r="K581">
        <v>121</v>
      </c>
    </row>
    <row r="582" spans="1:11">
      <c r="A582">
        <v>24225</v>
      </c>
      <c r="B582" t="s">
        <v>829</v>
      </c>
      <c r="C582" t="s">
        <v>519</v>
      </c>
      <c r="E582" t="s">
        <v>489</v>
      </c>
      <c r="F582">
        <v>51</v>
      </c>
      <c r="G582">
        <v>1945</v>
      </c>
      <c r="H582">
        <v>853</v>
      </c>
      <c r="I582">
        <v>0</v>
      </c>
      <c r="J582">
        <v>0</v>
      </c>
      <c r="K582">
        <v>0</v>
      </c>
    </row>
    <row r="583" spans="1:11">
      <c r="A583">
        <v>12085</v>
      </c>
      <c r="B583" t="s">
        <v>1095</v>
      </c>
      <c r="C583" t="s">
        <v>506</v>
      </c>
      <c r="D583" t="s">
        <v>107</v>
      </c>
      <c r="E583" t="s">
        <v>542</v>
      </c>
      <c r="F583">
        <v>73</v>
      </c>
      <c r="G583">
        <v>1949</v>
      </c>
      <c r="H583">
        <v>99</v>
      </c>
      <c r="I583">
        <v>19.939</v>
      </c>
      <c r="J583">
        <v>1403.7729999999999</v>
      </c>
      <c r="K583">
        <v>641</v>
      </c>
    </row>
    <row r="584" spans="1:11">
      <c r="A584">
        <v>29037</v>
      </c>
      <c r="B584" t="s">
        <v>830</v>
      </c>
      <c r="C584" t="s">
        <v>831</v>
      </c>
      <c r="E584" t="s">
        <v>198</v>
      </c>
      <c r="F584">
        <v>17</v>
      </c>
      <c r="G584">
        <v>1974</v>
      </c>
      <c r="H584">
        <v>544</v>
      </c>
      <c r="I584">
        <v>1.5940000000000001</v>
      </c>
      <c r="J584">
        <v>67.09</v>
      </c>
      <c r="K584">
        <v>0</v>
      </c>
    </row>
    <row r="585" spans="1:11">
      <c r="A585">
        <v>15014</v>
      </c>
      <c r="B585" t="s">
        <v>832</v>
      </c>
      <c r="C585" t="s">
        <v>1293</v>
      </c>
      <c r="D585" t="s">
        <v>610</v>
      </c>
      <c r="E585" t="s">
        <v>198</v>
      </c>
      <c r="F585">
        <v>17</v>
      </c>
      <c r="G585">
        <v>2006</v>
      </c>
      <c r="H585">
        <v>854</v>
      </c>
      <c r="I585">
        <v>0</v>
      </c>
      <c r="J585">
        <v>0</v>
      </c>
      <c r="K585">
        <v>0</v>
      </c>
    </row>
    <row r="586" spans="1:11">
      <c r="A586">
        <v>24330</v>
      </c>
      <c r="B586" t="s">
        <v>832</v>
      </c>
      <c r="C586" t="s">
        <v>638</v>
      </c>
      <c r="D586" t="s">
        <v>107</v>
      </c>
      <c r="E586" t="s">
        <v>198</v>
      </c>
      <c r="F586">
        <v>17</v>
      </c>
      <c r="G586">
        <v>1979</v>
      </c>
      <c r="H586">
        <v>545</v>
      </c>
      <c r="I586">
        <v>1.5629999999999999</v>
      </c>
      <c r="J586">
        <v>65.972999999999999</v>
      </c>
      <c r="K586">
        <v>0</v>
      </c>
    </row>
    <row r="587" spans="1:11">
      <c r="A587">
        <v>98446</v>
      </c>
      <c r="B587" t="s">
        <v>1294</v>
      </c>
      <c r="C587" t="s">
        <v>538</v>
      </c>
      <c r="E587" t="s">
        <v>470</v>
      </c>
      <c r="F587">
        <v>20</v>
      </c>
      <c r="G587">
        <v>1969</v>
      </c>
      <c r="H587">
        <v>17</v>
      </c>
      <c r="I587">
        <v>39.375</v>
      </c>
      <c r="J587">
        <v>2491.9490000000001</v>
      </c>
      <c r="K587">
        <v>877</v>
      </c>
    </row>
    <row r="588" spans="1:11">
      <c r="A588">
        <v>19019</v>
      </c>
      <c r="B588" t="s">
        <v>1681</v>
      </c>
      <c r="C588" t="s">
        <v>561</v>
      </c>
      <c r="E588" t="s">
        <v>170</v>
      </c>
      <c r="F588">
        <v>14</v>
      </c>
      <c r="G588">
        <v>1986</v>
      </c>
      <c r="H588">
        <v>95</v>
      </c>
      <c r="I588">
        <v>23.094999999999999</v>
      </c>
      <c r="J588">
        <v>1439.38</v>
      </c>
      <c r="K588">
        <v>528</v>
      </c>
    </row>
    <row r="589" spans="1:11">
      <c r="A589">
        <v>16001</v>
      </c>
      <c r="B589" t="s">
        <v>833</v>
      </c>
      <c r="C589" t="s">
        <v>574</v>
      </c>
      <c r="E589" t="s">
        <v>1070</v>
      </c>
      <c r="F589">
        <v>42</v>
      </c>
      <c r="G589">
        <v>1981</v>
      </c>
      <c r="H589">
        <v>467</v>
      </c>
      <c r="I589">
        <v>2.282</v>
      </c>
      <c r="J589">
        <v>125.16800000000001</v>
      </c>
      <c r="K589">
        <v>33</v>
      </c>
    </row>
    <row r="590" spans="1:11">
      <c r="A590">
        <v>17074</v>
      </c>
      <c r="B590" t="s">
        <v>1422</v>
      </c>
      <c r="C590" t="s">
        <v>894</v>
      </c>
      <c r="D590" t="s">
        <v>107</v>
      </c>
      <c r="E590" t="s">
        <v>1060</v>
      </c>
      <c r="F590">
        <v>70</v>
      </c>
      <c r="G590">
        <v>1938</v>
      </c>
      <c r="H590">
        <v>855</v>
      </c>
      <c r="I590">
        <v>0</v>
      </c>
      <c r="J590">
        <v>0</v>
      </c>
      <c r="K590">
        <v>0</v>
      </c>
    </row>
    <row r="591" spans="1:11">
      <c r="A591">
        <v>19045</v>
      </c>
      <c r="B591" t="s">
        <v>1682</v>
      </c>
      <c r="C591" t="s">
        <v>503</v>
      </c>
      <c r="E591" t="s">
        <v>493</v>
      </c>
      <c r="F591">
        <v>1</v>
      </c>
      <c r="G591">
        <v>1974</v>
      </c>
      <c r="H591">
        <v>349</v>
      </c>
      <c r="I591">
        <v>2.5939999999999999</v>
      </c>
      <c r="J591">
        <v>263.37200000000001</v>
      </c>
      <c r="K591">
        <v>157</v>
      </c>
    </row>
    <row r="592" spans="1:11">
      <c r="A592">
        <v>96151</v>
      </c>
      <c r="B592" t="s">
        <v>1683</v>
      </c>
      <c r="C592" t="s">
        <v>658</v>
      </c>
      <c r="D592" t="s">
        <v>107</v>
      </c>
      <c r="E592" t="s">
        <v>688</v>
      </c>
      <c r="F592">
        <v>10</v>
      </c>
      <c r="G592">
        <v>1989</v>
      </c>
      <c r="H592">
        <v>856</v>
      </c>
      <c r="I592">
        <v>0</v>
      </c>
      <c r="J592">
        <v>0</v>
      </c>
      <c r="K592">
        <v>0</v>
      </c>
    </row>
    <row r="593" spans="1:11">
      <c r="A593">
        <v>27062</v>
      </c>
      <c r="B593" t="s">
        <v>834</v>
      </c>
      <c r="C593" t="s">
        <v>554</v>
      </c>
      <c r="E593" t="s">
        <v>582</v>
      </c>
      <c r="F593">
        <v>45</v>
      </c>
      <c r="G593">
        <v>1954</v>
      </c>
      <c r="H593">
        <v>153</v>
      </c>
      <c r="I593">
        <v>23.69</v>
      </c>
      <c r="J593">
        <v>960.24800000000005</v>
      </c>
      <c r="K593">
        <v>203</v>
      </c>
    </row>
    <row r="594" spans="1:11">
      <c r="A594">
        <v>27063</v>
      </c>
      <c r="B594" t="s">
        <v>1518</v>
      </c>
      <c r="C594" t="s">
        <v>507</v>
      </c>
      <c r="D594" t="s">
        <v>107</v>
      </c>
      <c r="E594" t="s">
        <v>582</v>
      </c>
      <c r="F594">
        <v>45</v>
      </c>
      <c r="G594">
        <v>1956</v>
      </c>
      <c r="H594">
        <v>390</v>
      </c>
      <c r="I594">
        <v>7.9690000000000003</v>
      </c>
      <c r="J594">
        <v>210.68600000000001</v>
      </c>
      <c r="K594">
        <v>0</v>
      </c>
    </row>
    <row r="595" spans="1:11">
      <c r="A595">
        <v>16003</v>
      </c>
      <c r="B595" t="s">
        <v>1295</v>
      </c>
      <c r="C595" t="s">
        <v>570</v>
      </c>
      <c r="D595" t="s">
        <v>91</v>
      </c>
      <c r="E595" t="s">
        <v>474</v>
      </c>
      <c r="F595">
        <v>63</v>
      </c>
      <c r="G595">
        <v>2007</v>
      </c>
      <c r="H595">
        <v>564</v>
      </c>
      <c r="I595">
        <v>1.7509999999999999</v>
      </c>
      <c r="J595">
        <v>58.124000000000002</v>
      </c>
      <c r="K595">
        <v>0</v>
      </c>
    </row>
    <row r="596" spans="1:11">
      <c r="A596">
        <v>25014</v>
      </c>
      <c r="B596" t="s">
        <v>835</v>
      </c>
      <c r="C596" t="s">
        <v>580</v>
      </c>
      <c r="E596" t="s">
        <v>1063</v>
      </c>
      <c r="F596">
        <v>55</v>
      </c>
      <c r="G596">
        <v>1959</v>
      </c>
      <c r="H596">
        <v>105</v>
      </c>
      <c r="I596">
        <v>16.891999999999999</v>
      </c>
      <c r="J596">
        <v>1355.441</v>
      </c>
      <c r="K596">
        <v>643</v>
      </c>
    </row>
    <row r="597" spans="1:11">
      <c r="A597">
        <v>12070</v>
      </c>
      <c r="B597" t="s">
        <v>1096</v>
      </c>
      <c r="C597" t="s">
        <v>538</v>
      </c>
      <c r="E597" t="s">
        <v>200</v>
      </c>
      <c r="F597">
        <v>19</v>
      </c>
      <c r="G597">
        <v>1968</v>
      </c>
      <c r="H597">
        <v>86</v>
      </c>
      <c r="I597">
        <v>24.939</v>
      </c>
      <c r="J597">
        <v>1502.655</v>
      </c>
      <c r="K597">
        <v>551</v>
      </c>
    </row>
    <row r="598" spans="1:11">
      <c r="A598">
        <v>29002</v>
      </c>
      <c r="B598" t="s">
        <v>836</v>
      </c>
      <c r="C598" t="s">
        <v>812</v>
      </c>
      <c r="D598" t="s">
        <v>107</v>
      </c>
      <c r="E598" t="s">
        <v>200</v>
      </c>
      <c r="F598">
        <v>19</v>
      </c>
      <c r="G598">
        <v>1975</v>
      </c>
      <c r="H598">
        <v>30</v>
      </c>
      <c r="I598">
        <v>36.125</v>
      </c>
      <c r="J598">
        <v>2100.4850000000001</v>
      </c>
      <c r="K598">
        <v>702</v>
      </c>
    </row>
    <row r="599" spans="1:11">
      <c r="A599">
        <v>12073</v>
      </c>
      <c r="B599" t="s">
        <v>837</v>
      </c>
      <c r="C599" t="s">
        <v>1108</v>
      </c>
      <c r="D599" t="s">
        <v>107</v>
      </c>
      <c r="E599" t="s">
        <v>1063</v>
      </c>
      <c r="F599">
        <v>55</v>
      </c>
      <c r="G599">
        <v>1975</v>
      </c>
      <c r="H599">
        <v>178</v>
      </c>
      <c r="I599">
        <v>10.891</v>
      </c>
      <c r="J599">
        <v>797.798</v>
      </c>
      <c r="K599">
        <v>364</v>
      </c>
    </row>
    <row r="600" spans="1:11">
      <c r="A600">
        <v>25015</v>
      </c>
      <c r="B600" t="s">
        <v>837</v>
      </c>
      <c r="C600" t="s">
        <v>523</v>
      </c>
      <c r="D600" t="s">
        <v>107</v>
      </c>
      <c r="E600" t="s">
        <v>1063</v>
      </c>
      <c r="F600">
        <v>55</v>
      </c>
      <c r="G600">
        <v>1960</v>
      </c>
      <c r="H600">
        <v>206</v>
      </c>
      <c r="I600">
        <v>7.7510000000000003</v>
      </c>
      <c r="J600">
        <v>661.25400000000002</v>
      </c>
      <c r="K600">
        <v>312</v>
      </c>
    </row>
    <row r="601" spans="1:11">
      <c r="A601">
        <v>20614</v>
      </c>
      <c r="B601" t="s">
        <v>1684</v>
      </c>
      <c r="C601" t="s">
        <v>595</v>
      </c>
      <c r="D601" t="s">
        <v>107</v>
      </c>
      <c r="E601" t="s">
        <v>1473</v>
      </c>
      <c r="F601">
        <v>87</v>
      </c>
      <c r="G601">
        <v>1950</v>
      </c>
      <c r="H601">
        <v>517</v>
      </c>
      <c r="I601">
        <v>1.97</v>
      </c>
      <c r="J601">
        <v>84.409000000000006</v>
      </c>
      <c r="K601">
        <v>20</v>
      </c>
    </row>
    <row r="602" spans="1:11">
      <c r="A602">
        <v>18091</v>
      </c>
      <c r="B602" t="s">
        <v>838</v>
      </c>
      <c r="C602" t="s">
        <v>553</v>
      </c>
      <c r="E602" t="s">
        <v>1612</v>
      </c>
      <c r="F602">
        <v>90</v>
      </c>
      <c r="G602">
        <v>1985</v>
      </c>
      <c r="H602">
        <v>859</v>
      </c>
      <c r="I602">
        <v>0</v>
      </c>
      <c r="J602">
        <v>0</v>
      </c>
      <c r="K602">
        <v>0</v>
      </c>
    </row>
    <row r="603" spans="1:11">
      <c r="A603">
        <v>18087</v>
      </c>
      <c r="B603" t="s">
        <v>838</v>
      </c>
      <c r="C603" t="s">
        <v>503</v>
      </c>
      <c r="E603" t="s">
        <v>1612</v>
      </c>
      <c r="F603">
        <v>90</v>
      </c>
      <c r="G603">
        <v>1960</v>
      </c>
      <c r="H603">
        <v>630</v>
      </c>
      <c r="I603">
        <v>0.40600000000000003</v>
      </c>
      <c r="J603">
        <v>18.893999999999998</v>
      </c>
      <c r="K603">
        <v>0</v>
      </c>
    </row>
    <row r="604" spans="1:11">
      <c r="A604">
        <v>18090</v>
      </c>
      <c r="B604" t="s">
        <v>838</v>
      </c>
      <c r="C604" t="s">
        <v>511</v>
      </c>
      <c r="E604" t="s">
        <v>1612</v>
      </c>
      <c r="F604">
        <v>90</v>
      </c>
      <c r="G604">
        <v>1990</v>
      </c>
      <c r="H604">
        <v>858</v>
      </c>
      <c r="I604">
        <v>0</v>
      </c>
      <c r="J604">
        <v>0</v>
      </c>
      <c r="K604">
        <v>0</v>
      </c>
    </row>
    <row r="605" spans="1:11">
      <c r="A605">
        <v>18089</v>
      </c>
      <c r="B605" t="s">
        <v>838</v>
      </c>
      <c r="C605" t="s">
        <v>504</v>
      </c>
      <c r="D605" t="s">
        <v>91</v>
      </c>
      <c r="E605" t="s">
        <v>1612</v>
      </c>
      <c r="F605">
        <v>90</v>
      </c>
      <c r="G605">
        <v>2004</v>
      </c>
      <c r="H605">
        <v>857</v>
      </c>
      <c r="I605">
        <v>0</v>
      </c>
      <c r="J605">
        <v>0</v>
      </c>
      <c r="K605">
        <v>0</v>
      </c>
    </row>
    <row r="606" spans="1:11">
      <c r="A606">
        <v>18088</v>
      </c>
      <c r="B606" t="s">
        <v>1519</v>
      </c>
      <c r="C606" t="s">
        <v>785</v>
      </c>
      <c r="D606" t="s">
        <v>107</v>
      </c>
      <c r="E606" t="s">
        <v>1612</v>
      </c>
      <c r="F606">
        <v>90</v>
      </c>
      <c r="G606">
        <v>1965</v>
      </c>
      <c r="H606">
        <v>860</v>
      </c>
      <c r="I606">
        <v>0</v>
      </c>
      <c r="J606">
        <v>0</v>
      </c>
      <c r="K606">
        <v>0</v>
      </c>
    </row>
    <row r="607" spans="1:11">
      <c r="A607">
        <v>98457</v>
      </c>
      <c r="B607" t="s">
        <v>839</v>
      </c>
      <c r="C607" t="s">
        <v>550</v>
      </c>
      <c r="E607" t="s">
        <v>470</v>
      </c>
      <c r="F607">
        <v>20</v>
      </c>
      <c r="G607">
        <v>1960</v>
      </c>
      <c r="H607">
        <v>534</v>
      </c>
      <c r="I607">
        <v>1.5629999999999999</v>
      </c>
      <c r="J607">
        <v>73.081999999999994</v>
      </c>
      <c r="K607">
        <v>0</v>
      </c>
    </row>
    <row r="608" spans="1:11">
      <c r="A608">
        <v>98458</v>
      </c>
      <c r="B608" t="s">
        <v>840</v>
      </c>
      <c r="C608" t="s">
        <v>841</v>
      </c>
      <c r="D608" t="s">
        <v>107</v>
      </c>
      <c r="E608" t="s">
        <v>470</v>
      </c>
      <c r="F608">
        <v>20</v>
      </c>
      <c r="G608">
        <v>1962</v>
      </c>
      <c r="H608">
        <v>363</v>
      </c>
      <c r="I608">
        <v>5.125</v>
      </c>
      <c r="J608">
        <v>242.26300000000001</v>
      </c>
      <c r="K608">
        <v>0</v>
      </c>
    </row>
    <row r="609" spans="1:11">
      <c r="A609">
        <v>21757</v>
      </c>
      <c r="B609" t="s">
        <v>842</v>
      </c>
      <c r="C609" t="s">
        <v>520</v>
      </c>
      <c r="E609" t="s">
        <v>488</v>
      </c>
      <c r="F609">
        <v>31</v>
      </c>
      <c r="G609">
        <v>1973</v>
      </c>
      <c r="H609">
        <v>861</v>
      </c>
      <c r="I609">
        <v>0</v>
      </c>
      <c r="J609">
        <v>0</v>
      </c>
      <c r="K609">
        <v>0</v>
      </c>
    </row>
    <row r="610" spans="1:11">
      <c r="A610">
        <v>23069</v>
      </c>
      <c r="B610" t="s">
        <v>1520</v>
      </c>
      <c r="C610" t="s">
        <v>511</v>
      </c>
      <c r="E610" t="s">
        <v>200</v>
      </c>
      <c r="F610">
        <v>19</v>
      </c>
      <c r="G610">
        <v>1969</v>
      </c>
      <c r="H610">
        <v>862</v>
      </c>
      <c r="I610">
        <v>0</v>
      </c>
      <c r="J610">
        <v>0</v>
      </c>
      <c r="K610">
        <v>0</v>
      </c>
    </row>
    <row r="611" spans="1:11">
      <c r="A611">
        <v>18045</v>
      </c>
      <c r="B611" t="s">
        <v>1521</v>
      </c>
      <c r="C611" t="s">
        <v>1522</v>
      </c>
      <c r="D611" t="s">
        <v>107</v>
      </c>
      <c r="E611" t="s">
        <v>161</v>
      </c>
      <c r="F611">
        <v>30</v>
      </c>
      <c r="G611">
        <v>1977</v>
      </c>
      <c r="H611">
        <v>607</v>
      </c>
      <c r="I611">
        <v>0.78100000000000003</v>
      </c>
      <c r="J611">
        <v>30.027999999999999</v>
      </c>
      <c r="K611">
        <v>0</v>
      </c>
    </row>
    <row r="612" spans="1:11">
      <c r="A612">
        <v>16110</v>
      </c>
      <c r="B612" t="s">
        <v>1296</v>
      </c>
      <c r="C612" t="s">
        <v>553</v>
      </c>
      <c r="E612" t="s">
        <v>1393</v>
      </c>
      <c r="F612">
        <v>86</v>
      </c>
      <c r="G612">
        <v>1989</v>
      </c>
      <c r="H612">
        <v>578</v>
      </c>
      <c r="I612">
        <v>1.0309999999999999</v>
      </c>
      <c r="J612">
        <v>49.274000000000001</v>
      </c>
      <c r="K612">
        <v>0</v>
      </c>
    </row>
    <row r="613" spans="1:11">
      <c r="A613">
        <v>15022</v>
      </c>
      <c r="B613" t="s">
        <v>1297</v>
      </c>
      <c r="C613" t="s">
        <v>637</v>
      </c>
      <c r="D613" t="s">
        <v>107</v>
      </c>
      <c r="E613" t="s">
        <v>1183</v>
      </c>
      <c r="F613">
        <v>81</v>
      </c>
      <c r="G613">
        <v>1995</v>
      </c>
      <c r="H613">
        <v>399</v>
      </c>
      <c r="I613">
        <v>2.4380000000000002</v>
      </c>
      <c r="J613">
        <v>200.30600000000001</v>
      </c>
      <c r="K613">
        <v>105</v>
      </c>
    </row>
    <row r="614" spans="1:11">
      <c r="A614">
        <v>15021</v>
      </c>
      <c r="B614" t="s">
        <v>1297</v>
      </c>
      <c r="C614" t="s">
        <v>1298</v>
      </c>
      <c r="E614" t="s">
        <v>1183</v>
      </c>
      <c r="F614">
        <v>81</v>
      </c>
      <c r="G614">
        <v>1970</v>
      </c>
      <c r="H614">
        <v>321</v>
      </c>
      <c r="I614">
        <v>3.8439999999999999</v>
      </c>
      <c r="J614">
        <v>306.75799999999998</v>
      </c>
      <c r="K614">
        <v>145</v>
      </c>
    </row>
    <row r="615" spans="1:11">
      <c r="A615">
        <v>11048</v>
      </c>
      <c r="B615" t="s">
        <v>843</v>
      </c>
      <c r="C615" t="s">
        <v>566</v>
      </c>
      <c r="E615" t="s">
        <v>487</v>
      </c>
      <c r="F615">
        <v>64</v>
      </c>
      <c r="G615">
        <v>1977</v>
      </c>
      <c r="H615">
        <v>627</v>
      </c>
      <c r="I615">
        <v>0.65600000000000003</v>
      </c>
      <c r="J615">
        <v>19.134</v>
      </c>
      <c r="K615">
        <v>0</v>
      </c>
    </row>
    <row r="616" spans="1:11">
      <c r="A616">
        <v>12053</v>
      </c>
      <c r="B616" t="s">
        <v>844</v>
      </c>
      <c r="C616" t="s">
        <v>643</v>
      </c>
      <c r="E616" t="s">
        <v>1045</v>
      </c>
      <c r="F616">
        <v>56</v>
      </c>
      <c r="G616">
        <v>1970</v>
      </c>
      <c r="H616">
        <v>863</v>
      </c>
      <c r="I616">
        <v>0</v>
      </c>
      <c r="J616">
        <v>0</v>
      </c>
      <c r="K616">
        <v>0</v>
      </c>
    </row>
    <row r="617" spans="1:11">
      <c r="A617">
        <v>20508</v>
      </c>
      <c r="B617" t="s">
        <v>845</v>
      </c>
      <c r="C617" t="s">
        <v>677</v>
      </c>
      <c r="E617" t="s">
        <v>216</v>
      </c>
      <c r="F617">
        <v>33</v>
      </c>
      <c r="G617">
        <v>1979</v>
      </c>
      <c r="H617">
        <v>865</v>
      </c>
      <c r="I617">
        <v>0</v>
      </c>
      <c r="J617">
        <v>0</v>
      </c>
      <c r="K617">
        <v>0</v>
      </c>
    </row>
    <row r="618" spans="1:11">
      <c r="A618">
        <v>12026</v>
      </c>
      <c r="B618" t="s">
        <v>845</v>
      </c>
      <c r="C618" t="s">
        <v>519</v>
      </c>
      <c r="E618" t="s">
        <v>1060</v>
      </c>
      <c r="F618">
        <v>70</v>
      </c>
      <c r="G618">
        <v>1945</v>
      </c>
      <c r="H618">
        <v>864</v>
      </c>
      <c r="I618">
        <v>0</v>
      </c>
      <c r="J618">
        <v>0</v>
      </c>
      <c r="K618">
        <v>0</v>
      </c>
    </row>
    <row r="619" spans="1:11">
      <c r="A619">
        <v>13011</v>
      </c>
      <c r="B619" t="s">
        <v>845</v>
      </c>
      <c r="C619" t="s">
        <v>538</v>
      </c>
      <c r="E619" t="s">
        <v>1046</v>
      </c>
      <c r="F619">
        <v>75</v>
      </c>
      <c r="G619">
        <v>1958</v>
      </c>
      <c r="H619">
        <v>412</v>
      </c>
      <c r="I619">
        <v>4.0940000000000003</v>
      </c>
      <c r="J619">
        <v>188.012</v>
      </c>
      <c r="K619">
        <v>31</v>
      </c>
    </row>
    <row r="620" spans="1:11">
      <c r="A620">
        <v>16009</v>
      </c>
      <c r="B620" t="s">
        <v>846</v>
      </c>
      <c r="C620" t="s">
        <v>588</v>
      </c>
      <c r="D620" t="s">
        <v>107</v>
      </c>
      <c r="E620" t="s">
        <v>483</v>
      </c>
      <c r="F620">
        <v>13</v>
      </c>
      <c r="G620">
        <v>1989</v>
      </c>
      <c r="H620">
        <v>866</v>
      </c>
      <c r="I620">
        <v>0</v>
      </c>
      <c r="J620">
        <v>0</v>
      </c>
      <c r="K620">
        <v>0</v>
      </c>
    </row>
    <row r="621" spans="1:11">
      <c r="A621">
        <v>16058</v>
      </c>
      <c r="B621" t="s">
        <v>1299</v>
      </c>
      <c r="C621" t="s">
        <v>550</v>
      </c>
      <c r="E621" t="s">
        <v>1236</v>
      </c>
      <c r="F621">
        <v>83</v>
      </c>
      <c r="G621">
        <v>1975</v>
      </c>
      <c r="H621">
        <v>323</v>
      </c>
      <c r="I621">
        <v>8.25</v>
      </c>
      <c r="J621">
        <v>304.964</v>
      </c>
      <c r="K621">
        <v>0</v>
      </c>
    </row>
    <row r="622" spans="1:11">
      <c r="A622">
        <v>24310</v>
      </c>
      <c r="B622" t="s">
        <v>847</v>
      </c>
      <c r="C622" t="s">
        <v>760</v>
      </c>
      <c r="E622" t="s">
        <v>1573</v>
      </c>
      <c r="F622">
        <v>16</v>
      </c>
      <c r="G622">
        <v>1990</v>
      </c>
      <c r="H622">
        <v>23</v>
      </c>
      <c r="I622">
        <v>41.125</v>
      </c>
      <c r="J622">
        <v>2307.4690000000001</v>
      </c>
      <c r="K622">
        <v>704</v>
      </c>
    </row>
    <row r="623" spans="1:11">
      <c r="A623">
        <v>20530</v>
      </c>
      <c r="B623" t="s">
        <v>1685</v>
      </c>
      <c r="C623" t="s">
        <v>507</v>
      </c>
      <c r="D623" t="s">
        <v>107</v>
      </c>
      <c r="E623" t="s">
        <v>1393</v>
      </c>
      <c r="F623">
        <v>86</v>
      </c>
      <c r="G623">
        <v>1980</v>
      </c>
      <c r="H623">
        <v>867</v>
      </c>
      <c r="I623">
        <v>0</v>
      </c>
      <c r="J623">
        <v>0</v>
      </c>
      <c r="K623">
        <v>0</v>
      </c>
    </row>
    <row r="624" spans="1:11">
      <c r="A624">
        <v>20576</v>
      </c>
      <c r="B624" t="s">
        <v>1686</v>
      </c>
      <c r="C624" t="s">
        <v>1596</v>
      </c>
      <c r="D624" t="s">
        <v>610</v>
      </c>
      <c r="E624" t="s">
        <v>493</v>
      </c>
      <c r="F624">
        <v>1</v>
      </c>
      <c r="G624">
        <v>2012</v>
      </c>
      <c r="H624">
        <v>868</v>
      </c>
      <c r="I624">
        <v>0</v>
      </c>
      <c r="J624">
        <v>0</v>
      </c>
      <c r="K624">
        <v>0</v>
      </c>
    </row>
    <row r="625" spans="1:11">
      <c r="A625">
        <v>10026</v>
      </c>
      <c r="B625" t="s">
        <v>848</v>
      </c>
      <c r="C625" t="s">
        <v>520</v>
      </c>
      <c r="E625" t="s">
        <v>548</v>
      </c>
      <c r="F625">
        <v>67</v>
      </c>
      <c r="G625">
        <v>1962</v>
      </c>
      <c r="H625">
        <v>460</v>
      </c>
      <c r="I625">
        <v>1.9379999999999999</v>
      </c>
      <c r="J625">
        <v>130.84700000000001</v>
      </c>
      <c r="K625">
        <v>49</v>
      </c>
    </row>
    <row r="626" spans="1:11">
      <c r="A626">
        <v>17063</v>
      </c>
      <c r="B626" t="s">
        <v>848</v>
      </c>
      <c r="C626" t="s">
        <v>1423</v>
      </c>
      <c r="D626" t="s">
        <v>91</v>
      </c>
      <c r="E626" t="s">
        <v>1574</v>
      </c>
      <c r="F626">
        <v>94</v>
      </c>
      <c r="G626">
        <v>2004</v>
      </c>
      <c r="H626">
        <v>869</v>
      </c>
      <c r="I626">
        <v>0</v>
      </c>
      <c r="J626">
        <v>0</v>
      </c>
      <c r="K626">
        <v>0</v>
      </c>
    </row>
    <row r="627" spans="1:11">
      <c r="A627">
        <v>15093</v>
      </c>
      <c r="B627" t="s">
        <v>848</v>
      </c>
      <c r="C627" t="s">
        <v>557</v>
      </c>
      <c r="E627" t="s">
        <v>470</v>
      </c>
      <c r="F627">
        <v>20</v>
      </c>
      <c r="G627">
        <v>1969</v>
      </c>
      <c r="H627">
        <v>466</v>
      </c>
      <c r="I627">
        <v>2.6720000000000002</v>
      </c>
      <c r="J627">
        <v>125.386</v>
      </c>
      <c r="K627">
        <v>0</v>
      </c>
    </row>
    <row r="628" spans="1:11">
      <c r="A628">
        <v>17024</v>
      </c>
      <c r="B628" t="s">
        <v>849</v>
      </c>
      <c r="C628" t="s">
        <v>1424</v>
      </c>
      <c r="E628" t="s">
        <v>1188</v>
      </c>
      <c r="F628">
        <v>82</v>
      </c>
      <c r="G628">
        <v>1967</v>
      </c>
      <c r="H628">
        <v>870</v>
      </c>
      <c r="I628">
        <v>0</v>
      </c>
      <c r="J628">
        <v>0</v>
      </c>
      <c r="K628">
        <v>0</v>
      </c>
    </row>
    <row r="629" spans="1:11">
      <c r="A629">
        <v>21829</v>
      </c>
      <c r="B629" t="s">
        <v>850</v>
      </c>
      <c r="C629" t="s">
        <v>545</v>
      </c>
      <c r="D629" t="s">
        <v>107</v>
      </c>
      <c r="E629" t="s">
        <v>220</v>
      </c>
      <c r="F629">
        <v>36</v>
      </c>
      <c r="G629">
        <v>1954</v>
      </c>
      <c r="H629">
        <v>871</v>
      </c>
      <c r="I629">
        <v>0</v>
      </c>
      <c r="J629">
        <v>0</v>
      </c>
      <c r="K629">
        <v>0</v>
      </c>
    </row>
    <row r="630" spans="1:11">
      <c r="A630">
        <v>16043</v>
      </c>
      <c r="B630" t="s">
        <v>1300</v>
      </c>
      <c r="C630" t="s">
        <v>711</v>
      </c>
      <c r="D630" t="s">
        <v>107</v>
      </c>
      <c r="E630" t="s">
        <v>1060</v>
      </c>
      <c r="F630">
        <v>70</v>
      </c>
      <c r="G630">
        <v>1939</v>
      </c>
      <c r="H630">
        <v>872</v>
      </c>
      <c r="I630">
        <v>0</v>
      </c>
      <c r="J630">
        <v>0</v>
      </c>
      <c r="K630">
        <v>0</v>
      </c>
    </row>
    <row r="631" spans="1:11">
      <c r="A631">
        <v>11018</v>
      </c>
      <c r="B631" t="s">
        <v>851</v>
      </c>
      <c r="C631" t="s">
        <v>531</v>
      </c>
      <c r="E631" t="s">
        <v>582</v>
      </c>
      <c r="F631">
        <v>45</v>
      </c>
      <c r="G631">
        <v>1947</v>
      </c>
      <c r="H631">
        <v>246</v>
      </c>
      <c r="I631">
        <v>12.032</v>
      </c>
      <c r="J631">
        <v>485.77699999999999</v>
      </c>
      <c r="K631">
        <v>71</v>
      </c>
    </row>
    <row r="632" spans="1:11">
      <c r="A632">
        <v>15061</v>
      </c>
      <c r="B632" t="s">
        <v>851</v>
      </c>
      <c r="C632" t="s">
        <v>538</v>
      </c>
      <c r="E632" t="s">
        <v>478</v>
      </c>
      <c r="F632">
        <v>7</v>
      </c>
      <c r="G632">
        <v>1972</v>
      </c>
      <c r="H632">
        <v>873</v>
      </c>
      <c r="I632">
        <v>0</v>
      </c>
      <c r="J632">
        <v>0</v>
      </c>
      <c r="K632">
        <v>0</v>
      </c>
    </row>
    <row r="633" spans="1:11">
      <c r="A633">
        <v>27014</v>
      </c>
      <c r="B633" t="s">
        <v>851</v>
      </c>
      <c r="C633" t="s">
        <v>557</v>
      </c>
      <c r="E633" t="s">
        <v>1057</v>
      </c>
      <c r="F633">
        <v>2</v>
      </c>
      <c r="G633">
        <v>1953</v>
      </c>
      <c r="H633">
        <v>874</v>
      </c>
      <c r="I633">
        <v>0</v>
      </c>
      <c r="J633">
        <v>0</v>
      </c>
      <c r="K633">
        <v>0</v>
      </c>
    </row>
    <row r="634" spans="1:11">
      <c r="A634">
        <v>18053</v>
      </c>
      <c r="B634" t="s">
        <v>1523</v>
      </c>
      <c r="C634" t="s">
        <v>1018</v>
      </c>
      <c r="D634" t="s">
        <v>107</v>
      </c>
      <c r="E634" t="s">
        <v>1045</v>
      </c>
      <c r="F634">
        <v>56</v>
      </c>
      <c r="G634">
        <v>1967</v>
      </c>
      <c r="H634">
        <v>414</v>
      </c>
      <c r="I634">
        <v>5.4379999999999997</v>
      </c>
      <c r="J634">
        <v>183.107</v>
      </c>
      <c r="K634">
        <v>0</v>
      </c>
    </row>
    <row r="635" spans="1:11">
      <c r="A635">
        <v>16125</v>
      </c>
      <c r="B635" t="s">
        <v>1425</v>
      </c>
      <c r="C635" t="s">
        <v>891</v>
      </c>
      <c r="E635" t="s">
        <v>493</v>
      </c>
      <c r="F635">
        <v>1</v>
      </c>
      <c r="G635">
        <v>1996</v>
      </c>
      <c r="H635">
        <v>452</v>
      </c>
      <c r="I635">
        <v>4.2809999999999997</v>
      </c>
      <c r="J635">
        <v>140.22499999999999</v>
      </c>
      <c r="K635">
        <v>0</v>
      </c>
    </row>
    <row r="636" spans="1:11">
      <c r="A636">
        <v>19040</v>
      </c>
      <c r="B636" t="s">
        <v>1687</v>
      </c>
      <c r="C636" t="s">
        <v>521</v>
      </c>
      <c r="E636" t="s">
        <v>1188</v>
      </c>
      <c r="F636">
        <v>82</v>
      </c>
      <c r="G636">
        <v>1975</v>
      </c>
      <c r="H636">
        <v>229</v>
      </c>
      <c r="I636">
        <v>15.688000000000001</v>
      </c>
      <c r="J636">
        <v>555.39400000000001</v>
      </c>
      <c r="K636">
        <v>43</v>
      </c>
    </row>
    <row r="637" spans="1:11">
      <c r="A637">
        <v>10058</v>
      </c>
      <c r="B637" t="s">
        <v>853</v>
      </c>
      <c r="C637" t="s">
        <v>854</v>
      </c>
      <c r="E637" t="s">
        <v>161</v>
      </c>
      <c r="F637">
        <v>30</v>
      </c>
      <c r="G637">
        <v>1977</v>
      </c>
      <c r="H637">
        <v>165</v>
      </c>
      <c r="I637">
        <v>22.625</v>
      </c>
      <c r="J637">
        <v>866.11699999999996</v>
      </c>
      <c r="K637">
        <v>91</v>
      </c>
    </row>
    <row r="638" spans="1:11">
      <c r="A638">
        <v>20561</v>
      </c>
      <c r="B638" t="s">
        <v>1097</v>
      </c>
      <c r="C638" t="s">
        <v>1661</v>
      </c>
      <c r="D638" t="s">
        <v>91</v>
      </c>
      <c r="E638" t="s">
        <v>1574</v>
      </c>
      <c r="F638">
        <v>94</v>
      </c>
      <c r="G638">
        <v>2008</v>
      </c>
      <c r="H638">
        <v>875</v>
      </c>
      <c r="I638">
        <v>0</v>
      </c>
      <c r="J638">
        <v>0</v>
      </c>
      <c r="K638">
        <v>0</v>
      </c>
    </row>
    <row r="639" spans="1:11">
      <c r="A639">
        <v>13066</v>
      </c>
      <c r="B639" t="s">
        <v>1097</v>
      </c>
      <c r="C639" t="s">
        <v>504</v>
      </c>
      <c r="E639" t="s">
        <v>1045</v>
      </c>
      <c r="F639">
        <v>56</v>
      </c>
      <c r="G639">
        <v>1967</v>
      </c>
      <c r="H639">
        <v>379</v>
      </c>
      <c r="I639">
        <v>6.125</v>
      </c>
      <c r="J639">
        <v>227.49100000000001</v>
      </c>
      <c r="K639">
        <v>0</v>
      </c>
    </row>
    <row r="640" spans="1:11">
      <c r="A640">
        <v>18066</v>
      </c>
      <c r="B640" t="s">
        <v>1524</v>
      </c>
      <c r="C640" t="s">
        <v>503</v>
      </c>
      <c r="E640" t="s">
        <v>1488</v>
      </c>
      <c r="F640">
        <v>88</v>
      </c>
      <c r="G640">
        <v>1969</v>
      </c>
      <c r="H640">
        <v>242</v>
      </c>
      <c r="I640">
        <v>13.000999999999999</v>
      </c>
      <c r="J640">
        <v>494.613</v>
      </c>
      <c r="K640">
        <v>49</v>
      </c>
    </row>
    <row r="641" spans="1:11">
      <c r="A641">
        <v>18072</v>
      </c>
      <c r="B641" t="s">
        <v>1524</v>
      </c>
      <c r="C641" t="s">
        <v>509</v>
      </c>
      <c r="D641" t="s">
        <v>91</v>
      </c>
      <c r="E641" t="s">
        <v>1488</v>
      </c>
      <c r="F641">
        <v>88</v>
      </c>
      <c r="G641">
        <v>2005</v>
      </c>
      <c r="H641">
        <v>307</v>
      </c>
      <c r="I641">
        <v>9.532</v>
      </c>
      <c r="J641">
        <v>337.101</v>
      </c>
      <c r="K641">
        <v>15</v>
      </c>
    </row>
    <row r="642" spans="1:11">
      <c r="A642">
        <v>23021</v>
      </c>
      <c r="B642" t="s">
        <v>855</v>
      </c>
      <c r="C642" t="s">
        <v>531</v>
      </c>
      <c r="E642" t="s">
        <v>163</v>
      </c>
      <c r="F642">
        <v>43</v>
      </c>
      <c r="G642">
        <v>1958</v>
      </c>
      <c r="H642">
        <v>9</v>
      </c>
      <c r="I642">
        <v>38.125</v>
      </c>
      <c r="J642">
        <v>2871.0140000000001</v>
      </c>
      <c r="K642">
        <v>1095</v>
      </c>
    </row>
    <row r="643" spans="1:11">
      <c r="A643">
        <v>96022</v>
      </c>
      <c r="B643" t="s">
        <v>856</v>
      </c>
      <c r="C643" t="s">
        <v>857</v>
      </c>
      <c r="E643" t="s">
        <v>688</v>
      </c>
      <c r="F643">
        <v>10</v>
      </c>
      <c r="G643">
        <v>1950</v>
      </c>
      <c r="H643">
        <v>647</v>
      </c>
      <c r="I643">
        <v>0.375</v>
      </c>
      <c r="J643">
        <v>11.943</v>
      </c>
      <c r="K643">
        <v>0</v>
      </c>
    </row>
    <row r="644" spans="1:11">
      <c r="A644">
        <v>96021</v>
      </c>
      <c r="B644" t="s">
        <v>858</v>
      </c>
      <c r="C644" t="s">
        <v>859</v>
      </c>
      <c r="D644" t="s">
        <v>107</v>
      </c>
      <c r="E644" t="s">
        <v>688</v>
      </c>
      <c r="F644">
        <v>10</v>
      </c>
      <c r="G644">
        <v>1954</v>
      </c>
      <c r="H644">
        <v>636</v>
      </c>
      <c r="I644">
        <v>0.5</v>
      </c>
      <c r="J644">
        <v>15.923999999999999</v>
      </c>
      <c r="K644">
        <v>0</v>
      </c>
    </row>
    <row r="645" spans="1:11">
      <c r="A645">
        <v>12010</v>
      </c>
      <c r="B645" t="s">
        <v>860</v>
      </c>
      <c r="C645" t="s">
        <v>504</v>
      </c>
      <c r="E645" t="s">
        <v>1617</v>
      </c>
      <c r="F645">
        <v>93</v>
      </c>
      <c r="G645">
        <v>1946</v>
      </c>
      <c r="H645">
        <v>135</v>
      </c>
      <c r="I645">
        <v>19.594999999999999</v>
      </c>
      <c r="J645">
        <v>1104.9079999999999</v>
      </c>
      <c r="K645">
        <v>333</v>
      </c>
    </row>
    <row r="646" spans="1:11">
      <c r="A646">
        <v>25073</v>
      </c>
      <c r="B646" t="s">
        <v>861</v>
      </c>
      <c r="C646" t="s">
        <v>566</v>
      </c>
      <c r="E646" t="s">
        <v>200</v>
      </c>
      <c r="F646">
        <v>19</v>
      </c>
      <c r="G646">
        <v>1980</v>
      </c>
      <c r="H646">
        <v>876</v>
      </c>
      <c r="I646">
        <v>0</v>
      </c>
      <c r="J646">
        <v>0</v>
      </c>
      <c r="K646">
        <v>0</v>
      </c>
    </row>
    <row r="647" spans="1:11">
      <c r="A647">
        <v>15065</v>
      </c>
      <c r="B647" t="s">
        <v>1301</v>
      </c>
      <c r="C647" t="s">
        <v>504</v>
      </c>
      <c r="E647" t="s">
        <v>489</v>
      </c>
      <c r="F647">
        <v>51</v>
      </c>
      <c r="G647">
        <v>1963</v>
      </c>
      <c r="H647">
        <v>104</v>
      </c>
      <c r="I647">
        <v>25.562999999999999</v>
      </c>
      <c r="J647">
        <v>1361.93</v>
      </c>
      <c r="K647">
        <v>469</v>
      </c>
    </row>
    <row r="648" spans="1:11">
      <c r="A648">
        <v>14024</v>
      </c>
      <c r="B648" t="s">
        <v>1302</v>
      </c>
      <c r="C648" t="s">
        <v>618</v>
      </c>
      <c r="D648" t="s">
        <v>107</v>
      </c>
      <c r="E648" t="s">
        <v>1284</v>
      </c>
      <c r="F648">
        <v>80</v>
      </c>
      <c r="G648">
        <v>1973</v>
      </c>
      <c r="H648">
        <v>12</v>
      </c>
      <c r="I648">
        <v>37.75</v>
      </c>
      <c r="J648">
        <v>2683.8530000000001</v>
      </c>
      <c r="K648">
        <v>1014</v>
      </c>
    </row>
    <row r="649" spans="1:11">
      <c r="A649">
        <v>19046</v>
      </c>
      <c r="B649" t="s">
        <v>1688</v>
      </c>
      <c r="C649" t="s">
        <v>1466</v>
      </c>
      <c r="E649" t="s">
        <v>1045</v>
      </c>
      <c r="F649">
        <v>56</v>
      </c>
      <c r="G649">
        <v>1996</v>
      </c>
      <c r="H649">
        <v>556</v>
      </c>
      <c r="I649">
        <v>1.7809999999999999</v>
      </c>
      <c r="J649">
        <v>60.91</v>
      </c>
      <c r="K649">
        <v>0</v>
      </c>
    </row>
    <row r="650" spans="1:11">
      <c r="A650">
        <v>20615</v>
      </c>
      <c r="B650" t="s">
        <v>1689</v>
      </c>
      <c r="C650" t="s">
        <v>1414</v>
      </c>
      <c r="D650" t="s">
        <v>91</v>
      </c>
      <c r="E650" t="s">
        <v>1574</v>
      </c>
      <c r="F650">
        <v>94</v>
      </c>
      <c r="G650">
        <v>2006</v>
      </c>
      <c r="H650">
        <v>877</v>
      </c>
      <c r="I650">
        <v>0</v>
      </c>
      <c r="J650">
        <v>0</v>
      </c>
      <c r="K650">
        <v>0</v>
      </c>
    </row>
    <row r="651" spans="1:11">
      <c r="A651">
        <v>16082</v>
      </c>
      <c r="B651" t="s">
        <v>1303</v>
      </c>
      <c r="C651" t="s">
        <v>550</v>
      </c>
      <c r="E651" t="s">
        <v>1473</v>
      </c>
      <c r="F651">
        <v>87</v>
      </c>
      <c r="G651">
        <v>1946</v>
      </c>
      <c r="H651">
        <v>45</v>
      </c>
      <c r="I651">
        <v>29.937999999999999</v>
      </c>
      <c r="J651">
        <v>1907.413</v>
      </c>
      <c r="K651">
        <v>796</v>
      </c>
    </row>
    <row r="652" spans="1:11">
      <c r="A652">
        <v>16083</v>
      </c>
      <c r="B652" t="s">
        <v>1304</v>
      </c>
      <c r="C652" t="s">
        <v>523</v>
      </c>
      <c r="D652" t="s">
        <v>107</v>
      </c>
      <c r="E652" t="s">
        <v>1473</v>
      </c>
      <c r="F652">
        <v>87</v>
      </c>
      <c r="G652">
        <v>1946</v>
      </c>
      <c r="H652">
        <v>345</v>
      </c>
      <c r="I652">
        <v>2.484</v>
      </c>
      <c r="J652">
        <v>270.48</v>
      </c>
      <c r="K652">
        <v>159</v>
      </c>
    </row>
    <row r="653" spans="1:11">
      <c r="A653">
        <v>18073</v>
      </c>
      <c r="B653" t="s">
        <v>1525</v>
      </c>
      <c r="C653" t="s">
        <v>586</v>
      </c>
      <c r="E653" t="s">
        <v>1488</v>
      </c>
      <c r="F653">
        <v>88</v>
      </c>
      <c r="G653">
        <v>1982</v>
      </c>
      <c r="H653">
        <v>878</v>
      </c>
      <c r="I653">
        <v>0</v>
      </c>
      <c r="J653">
        <v>0</v>
      </c>
      <c r="K653">
        <v>0</v>
      </c>
    </row>
    <row r="654" spans="1:11">
      <c r="A654">
        <v>18101</v>
      </c>
      <c r="B654" t="s">
        <v>1690</v>
      </c>
      <c r="C654" t="s">
        <v>588</v>
      </c>
      <c r="D654" t="s">
        <v>107</v>
      </c>
      <c r="E654" t="s">
        <v>1488</v>
      </c>
      <c r="F654">
        <v>88</v>
      </c>
      <c r="G654">
        <v>1984</v>
      </c>
      <c r="H654">
        <v>879</v>
      </c>
      <c r="I654">
        <v>0</v>
      </c>
      <c r="J654">
        <v>0</v>
      </c>
      <c r="K654">
        <v>0</v>
      </c>
    </row>
    <row r="655" spans="1:11">
      <c r="A655">
        <v>16044</v>
      </c>
      <c r="B655" t="s">
        <v>1305</v>
      </c>
      <c r="C655" t="s">
        <v>595</v>
      </c>
      <c r="D655" t="s">
        <v>107</v>
      </c>
      <c r="E655" t="s">
        <v>1060</v>
      </c>
      <c r="F655">
        <v>70</v>
      </c>
      <c r="G655">
        <v>1947</v>
      </c>
      <c r="H655">
        <v>880</v>
      </c>
      <c r="I655">
        <v>0</v>
      </c>
      <c r="J655">
        <v>0</v>
      </c>
      <c r="K655">
        <v>0</v>
      </c>
    </row>
    <row r="656" spans="1:11">
      <c r="A656">
        <v>29052</v>
      </c>
      <c r="B656" t="s">
        <v>862</v>
      </c>
      <c r="C656" t="s">
        <v>553</v>
      </c>
      <c r="E656" t="s">
        <v>487</v>
      </c>
      <c r="F656">
        <v>64</v>
      </c>
      <c r="G656">
        <v>1973</v>
      </c>
      <c r="H656">
        <v>547</v>
      </c>
      <c r="I656">
        <v>0.75</v>
      </c>
      <c r="J656">
        <v>65.924000000000007</v>
      </c>
      <c r="K656">
        <v>30</v>
      </c>
    </row>
    <row r="657" spans="1:11">
      <c r="A657">
        <v>19008</v>
      </c>
      <c r="B657" t="s">
        <v>1691</v>
      </c>
      <c r="C657" t="s">
        <v>509</v>
      </c>
      <c r="E657" t="s">
        <v>1183</v>
      </c>
      <c r="F657">
        <v>81</v>
      </c>
      <c r="G657">
        <v>1981</v>
      </c>
      <c r="H657">
        <v>881</v>
      </c>
      <c r="I657">
        <v>0</v>
      </c>
      <c r="J657">
        <v>0</v>
      </c>
      <c r="K657">
        <v>0</v>
      </c>
    </row>
    <row r="658" spans="1:11">
      <c r="A658">
        <v>20599</v>
      </c>
      <c r="B658" t="s">
        <v>864</v>
      </c>
      <c r="C658" t="s">
        <v>1692</v>
      </c>
      <c r="E658" t="s">
        <v>1578</v>
      </c>
      <c r="F658">
        <v>95</v>
      </c>
      <c r="G658">
        <v>1970</v>
      </c>
      <c r="H658">
        <v>883</v>
      </c>
      <c r="I658">
        <v>0</v>
      </c>
      <c r="J658">
        <v>0</v>
      </c>
      <c r="K658">
        <v>0</v>
      </c>
    </row>
    <row r="659" spans="1:11">
      <c r="A659">
        <v>20598</v>
      </c>
      <c r="B659" t="s">
        <v>864</v>
      </c>
      <c r="C659" t="s">
        <v>797</v>
      </c>
      <c r="E659" t="s">
        <v>1578</v>
      </c>
      <c r="F659">
        <v>95</v>
      </c>
      <c r="G659">
        <v>1968</v>
      </c>
      <c r="H659">
        <v>882</v>
      </c>
      <c r="I659">
        <v>0</v>
      </c>
      <c r="J659">
        <v>0</v>
      </c>
      <c r="K659">
        <v>0</v>
      </c>
    </row>
    <row r="660" spans="1:11">
      <c r="A660">
        <v>20607</v>
      </c>
      <c r="B660" t="s">
        <v>1693</v>
      </c>
      <c r="C660" t="s">
        <v>797</v>
      </c>
      <c r="E660" t="s">
        <v>1578</v>
      </c>
      <c r="F660">
        <v>95</v>
      </c>
      <c r="G660">
        <v>1993</v>
      </c>
      <c r="H660">
        <v>884</v>
      </c>
      <c r="I660">
        <v>0</v>
      </c>
      <c r="J660">
        <v>0</v>
      </c>
      <c r="K660">
        <v>0</v>
      </c>
    </row>
    <row r="661" spans="1:11">
      <c r="A661">
        <v>20596</v>
      </c>
      <c r="B661" t="s">
        <v>1694</v>
      </c>
      <c r="C661" t="s">
        <v>1695</v>
      </c>
      <c r="D661" t="s">
        <v>610</v>
      </c>
      <c r="E661" t="s">
        <v>1578</v>
      </c>
      <c r="F661">
        <v>95</v>
      </c>
      <c r="G661">
        <v>2002</v>
      </c>
      <c r="H661">
        <v>886</v>
      </c>
      <c r="I661">
        <v>0</v>
      </c>
      <c r="J661">
        <v>0</v>
      </c>
      <c r="K661">
        <v>0</v>
      </c>
    </row>
    <row r="662" spans="1:11">
      <c r="A662">
        <v>20592</v>
      </c>
      <c r="B662" t="s">
        <v>1694</v>
      </c>
      <c r="C662" t="s">
        <v>584</v>
      </c>
      <c r="D662" t="s">
        <v>107</v>
      </c>
      <c r="E662" t="s">
        <v>1578</v>
      </c>
      <c r="F662">
        <v>95</v>
      </c>
      <c r="G662">
        <v>1972</v>
      </c>
      <c r="H662">
        <v>885</v>
      </c>
      <c r="I662">
        <v>0</v>
      </c>
      <c r="J662">
        <v>0</v>
      </c>
      <c r="K662">
        <v>0</v>
      </c>
    </row>
    <row r="663" spans="1:11">
      <c r="A663">
        <v>15049</v>
      </c>
      <c r="B663" t="s">
        <v>1306</v>
      </c>
      <c r="C663" t="s">
        <v>747</v>
      </c>
      <c r="E663" t="s">
        <v>216</v>
      </c>
      <c r="F663">
        <v>33</v>
      </c>
      <c r="G663">
        <v>1953</v>
      </c>
      <c r="H663">
        <v>554</v>
      </c>
      <c r="I663">
        <v>1.8129999999999999</v>
      </c>
      <c r="J663">
        <v>61.857999999999997</v>
      </c>
      <c r="K663">
        <v>0</v>
      </c>
    </row>
    <row r="664" spans="1:11">
      <c r="A664">
        <v>12036</v>
      </c>
      <c r="B664" t="s">
        <v>865</v>
      </c>
      <c r="C664" t="s">
        <v>519</v>
      </c>
      <c r="E664" t="s">
        <v>542</v>
      </c>
      <c r="F664">
        <v>73</v>
      </c>
      <c r="G664">
        <v>1939</v>
      </c>
      <c r="H664">
        <v>887</v>
      </c>
      <c r="I664">
        <v>0</v>
      </c>
      <c r="J664">
        <v>0</v>
      </c>
      <c r="K664">
        <v>0</v>
      </c>
    </row>
    <row r="665" spans="1:11">
      <c r="A665">
        <v>98432</v>
      </c>
      <c r="B665" t="s">
        <v>866</v>
      </c>
      <c r="C665" t="s">
        <v>504</v>
      </c>
      <c r="E665" t="s">
        <v>1070</v>
      </c>
      <c r="F665">
        <v>42</v>
      </c>
      <c r="G665">
        <v>1946</v>
      </c>
      <c r="H665">
        <v>576</v>
      </c>
      <c r="I665">
        <v>1.5629999999999999</v>
      </c>
      <c r="J665">
        <v>49.808999999999997</v>
      </c>
      <c r="K665">
        <v>0</v>
      </c>
    </row>
    <row r="666" spans="1:11">
      <c r="A666">
        <v>15074</v>
      </c>
      <c r="B666" t="s">
        <v>1426</v>
      </c>
      <c r="C666" t="s">
        <v>511</v>
      </c>
      <c r="E666" t="s">
        <v>481</v>
      </c>
      <c r="F666">
        <v>69</v>
      </c>
      <c r="G666">
        <v>1975</v>
      </c>
      <c r="H666">
        <v>180</v>
      </c>
      <c r="I666">
        <v>10.125999999999999</v>
      </c>
      <c r="J666">
        <v>794.37099999999998</v>
      </c>
      <c r="K666">
        <v>406</v>
      </c>
    </row>
    <row r="667" spans="1:11">
      <c r="A667">
        <v>20593</v>
      </c>
      <c r="B667" t="s">
        <v>1696</v>
      </c>
      <c r="C667" t="s">
        <v>604</v>
      </c>
      <c r="D667" t="s">
        <v>107</v>
      </c>
      <c r="E667" t="s">
        <v>1578</v>
      </c>
      <c r="F667">
        <v>95</v>
      </c>
      <c r="G667">
        <v>1975</v>
      </c>
      <c r="H667">
        <v>888</v>
      </c>
      <c r="I667">
        <v>0</v>
      </c>
      <c r="J667">
        <v>0</v>
      </c>
      <c r="K667">
        <v>0</v>
      </c>
    </row>
    <row r="668" spans="1:11">
      <c r="A668">
        <v>15079</v>
      </c>
      <c r="B668" t="s">
        <v>1307</v>
      </c>
      <c r="C668" t="s">
        <v>526</v>
      </c>
      <c r="E668" t="s">
        <v>483</v>
      </c>
      <c r="F668">
        <v>13</v>
      </c>
      <c r="G668">
        <v>1982</v>
      </c>
      <c r="H668">
        <v>518</v>
      </c>
      <c r="I668">
        <v>3.25</v>
      </c>
      <c r="J668">
        <v>83.573999999999998</v>
      </c>
      <c r="K668">
        <v>0</v>
      </c>
    </row>
    <row r="669" spans="1:11">
      <c r="A669">
        <v>18050</v>
      </c>
      <c r="B669" t="s">
        <v>1526</v>
      </c>
      <c r="C669" t="s">
        <v>553</v>
      </c>
      <c r="D669" t="s">
        <v>91</v>
      </c>
      <c r="E669" t="s">
        <v>489</v>
      </c>
      <c r="F669">
        <v>51</v>
      </c>
      <c r="G669">
        <v>2005</v>
      </c>
      <c r="H669">
        <v>889</v>
      </c>
      <c r="I669">
        <v>0</v>
      </c>
      <c r="J669">
        <v>0</v>
      </c>
      <c r="K669">
        <v>0</v>
      </c>
    </row>
    <row r="670" spans="1:11">
      <c r="A670">
        <v>10060</v>
      </c>
      <c r="B670" t="s">
        <v>868</v>
      </c>
      <c r="C670" t="s">
        <v>572</v>
      </c>
      <c r="D670" t="s">
        <v>107</v>
      </c>
      <c r="E670" t="s">
        <v>602</v>
      </c>
      <c r="F670">
        <v>62</v>
      </c>
      <c r="G670">
        <v>1979</v>
      </c>
      <c r="H670">
        <v>890</v>
      </c>
      <c r="I670">
        <v>0</v>
      </c>
      <c r="J670">
        <v>0</v>
      </c>
      <c r="K670">
        <v>0</v>
      </c>
    </row>
    <row r="671" spans="1:11">
      <c r="A671">
        <v>96056</v>
      </c>
      <c r="B671" t="s">
        <v>869</v>
      </c>
      <c r="C671" t="s">
        <v>686</v>
      </c>
      <c r="E671" t="s">
        <v>483</v>
      </c>
      <c r="F671">
        <v>13</v>
      </c>
      <c r="G671">
        <v>1952</v>
      </c>
      <c r="H671">
        <v>654</v>
      </c>
      <c r="I671">
        <v>0.25</v>
      </c>
      <c r="J671">
        <v>5.0519999999999996</v>
      </c>
      <c r="K671">
        <v>0</v>
      </c>
    </row>
    <row r="672" spans="1:11">
      <c r="A672">
        <v>19067</v>
      </c>
      <c r="B672" t="s">
        <v>1697</v>
      </c>
      <c r="C672" t="s">
        <v>503</v>
      </c>
      <c r="E672" t="s">
        <v>1057</v>
      </c>
      <c r="F672">
        <v>2</v>
      </c>
      <c r="G672">
        <v>1963</v>
      </c>
      <c r="H672">
        <v>228</v>
      </c>
      <c r="I672">
        <v>14.781000000000001</v>
      </c>
      <c r="J672">
        <v>555.40200000000004</v>
      </c>
      <c r="K672">
        <v>143</v>
      </c>
    </row>
    <row r="673" spans="1:11">
      <c r="A673">
        <v>24239</v>
      </c>
      <c r="B673" t="s">
        <v>1527</v>
      </c>
      <c r="C673" t="s">
        <v>637</v>
      </c>
      <c r="D673" t="s">
        <v>107</v>
      </c>
      <c r="E673" t="s">
        <v>198</v>
      </c>
      <c r="F673">
        <v>17</v>
      </c>
      <c r="G673">
        <v>1975</v>
      </c>
      <c r="H673">
        <v>891</v>
      </c>
      <c r="I673">
        <v>0</v>
      </c>
      <c r="J673">
        <v>0</v>
      </c>
      <c r="K673">
        <v>0</v>
      </c>
    </row>
    <row r="674" spans="1:11">
      <c r="A674">
        <v>97240</v>
      </c>
      <c r="B674" t="s">
        <v>870</v>
      </c>
      <c r="C674" t="s">
        <v>550</v>
      </c>
      <c r="E674" t="s">
        <v>1057</v>
      </c>
      <c r="F674">
        <v>2</v>
      </c>
      <c r="G674">
        <v>1950</v>
      </c>
      <c r="H674">
        <v>371</v>
      </c>
      <c r="I674">
        <v>3.907</v>
      </c>
      <c r="J674">
        <v>236.14699999999999</v>
      </c>
      <c r="K674">
        <v>71</v>
      </c>
    </row>
    <row r="675" spans="1:11">
      <c r="A675">
        <v>98480</v>
      </c>
      <c r="B675" t="s">
        <v>871</v>
      </c>
      <c r="C675" t="s">
        <v>507</v>
      </c>
      <c r="D675" t="s">
        <v>107</v>
      </c>
      <c r="E675" t="s">
        <v>470</v>
      </c>
      <c r="F675">
        <v>20</v>
      </c>
      <c r="G675">
        <v>1958</v>
      </c>
      <c r="H675">
        <v>281</v>
      </c>
      <c r="I675">
        <v>6.6890000000000001</v>
      </c>
      <c r="J675">
        <v>409.14600000000002</v>
      </c>
      <c r="K675">
        <v>133</v>
      </c>
    </row>
    <row r="676" spans="1:11">
      <c r="A676">
        <v>98418</v>
      </c>
      <c r="B676" t="s">
        <v>872</v>
      </c>
      <c r="C676" t="s">
        <v>520</v>
      </c>
      <c r="E676" t="s">
        <v>487</v>
      </c>
      <c r="F676">
        <v>64</v>
      </c>
      <c r="G676">
        <v>1952</v>
      </c>
      <c r="H676">
        <v>892</v>
      </c>
      <c r="I676">
        <v>0</v>
      </c>
      <c r="J676">
        <v>0</v>
      </c>
      <c r="K676">
        <v>0</v>
      </c>
    </row>
    <row r="677" spans="1:11">
      <c r="A677">
        <v>10027</v>
      </c>
      <c r="B677" t="s">
        <v>873</v>
      </c>
      <c r="C677" t="s">
        <v>520</v>
      </c>
      <c r="E677" t="s">
        <v>548</v>
      </c>
      <c r="F677">
        <v>67</v>
      </c>
      <c r="G677">
        <v>1954</v>
      </c>
      <c r="H677">
        <v>361</v>
      </c>
      <c r="I677">
        <v>5.375</v>
      </c>
      <c r="J677">
        <v>246.61799999999999</v>
      </c>
      <c r="K677">
        <v>105</v>
      </c>
    </row>
    <row r="678" spans="1:11">
      <c r="A678">
        <v>18054</v>
      </c>
      <c r="B678" t="s">
        <v>1528</v>
      </c>
      <c r="C678" t="s">
        <v>659</v>
      </c>
      <c r="E678" t="s">
        <v>1179</v>
      </c>
      <c r="F678">
        <v>79</v>
      </c>
      <c r="G678">
        <v>1978</v>
      </c>
      <c r="H678">
        <v>893</v>
      </c>
      <c r="I678">
        <v>0</v>
      </c>
      <c r="J678">
        <v>0</v>
      </c>
      <c r="K678">
        <v>0</v>
      </c>
    </row>
    <row r="679" spans="1:11">
      <c r="A679">
        <v>15043</v>
      </c>
      <c r="B679" t="s">
        <v>1308</v>
      </c>
      <c r="C679" t="s">
        <v>859</v>
      </c>
      <c r="D679" t="s">
        <v>107</v>
      </c>
      <c r="E679" t="s">
        <v>489</v>
      </c>
      <c r="F679">
        <v>51</v>
      </c>
      <c r="G679">
        <v>1948</v>
      </c>
      <c r="H679">
        <v>265</v>
      </c>
      <c r="I679">
        <v>8.3279999999999994</v>
      </c>
      <c r="J679">
        <v>446.42</v>
      </c>
      <c r="K679">
        <v>104</v>
      </c>
    </row>
    <row r="680" spans="1:11">
      <c r="A680">
        <v>21836</v>
      </c>
      <c r="B680" t="s">
        <v>874</v>
      </c>
      <c r="C680" t="s">
        <v>521</v>
      </c>
      <c r="E680" t="s">
        <v>472</v>
      </c>
      <c r="F680">
        <v>54</v>
      </c>
      <c r="G680">
        <v>1963</v>
      </c>
      <c r="H680">
        <v>112</v>
      </c>
      <c r="I680">
        <v>16.97</v>
      </c>
      <c r="J680">
        <v>1301.066</v>
      </c>
      <c r="K680">
        <v>579</v>
      </c>
    </row>
    <row r="681" spans="1:11">
      <c r="A681">
        <v>28001</v>
      </c>
      <c r="B681" t="s">
        <v>875</v>
      </c>
      <c r="C681" t="s">
        <v>609</v>
      </c>
      <c r="D681" t="s">
        <v>107</v>
      </c>
      <c r="E681" t="s">
        <v>472</v>
      </c>
      <c r="F681">
        <v>54</v>
      </c>
      <c r="G681">
        <v>1965</v>
      </c>
      <c r="H681">
        <v>109</v>
      </c>
      <c r="I681">
        <v>15.923</v>
      </c>
      <c r="J681">
        <v>1309.3019999999999</v>
      </c>
      <c r="K681">
        <v>633</v>
      </c>
    </row>
    <row r="682" spans="1:11">
      <c r="A682">
        <v>12042</v>
      </c>
      <c r="B682" t="s">
        <v>876</v>
      </c>
      <c r="C682" t="s">
        <v>538</v>
      </c>
      <c r="E682" t="s">
        <v>542</v>
      </c>
      <c r="F682">
        <v>73</v>
      </c>
      <c r="G682">
        <v>1945</v>
      </c>
      <c r="H682">
        <v>78</v>
      </c>
      <c r="I682">
        <v>26.97</v>
      </c>
      <c r="J682">
        <v>1609.1030000000001</v>
      </c>
      <c r="K682">
        <v>621</v>
      </c>
    </row>
    <row r="683" spans="1:11">
      <c r="A683">
        <v>10029</v>
      </c>
      <c r="B683" t="s">
        <v>877</v>
      </c>
      <c r="C683" t="s">
        <v>553</v>
      </c>
      <c r="E683" t="s">
        <v>548</v>
      </c>
      <c r="F683">
        <v>67</v>
      </c>
      <c r="G683">
        <v>1954</v>
      </c>
      <c r="H683">
        <v>348</v>
      </c>
      <c r="I683">
        <v>3.375</v>
      </c>
      <c r="J683">
        <v>265.57900000000001</v>
      </c>
      <c r="K683">
        <v>128</v>
      </c>
    </row>
    <row r="684" spans="1:11">
      <c r="A684">
        <v>19014</v>
      </c>
      <c r="B684" t="s">
        <v>1698</v>
      </c>
      <c r="C684" t="s">
        <v>668</v>
      </c>
      <c r="E684" t="s">
        <v>1393</v>
      </c>
      <c r="F684">
        <v>86</v>
      </c>
      <c r="G684">
        <v>1970</v>
      </c>
      <c r="H684">
        <v>894</v>
      </c>
      <c r="I684">
        <v>0</v>
      </c>
      <c r="J684">
        <v>0</v>
      </c>
      <c r="K684">
        <v>0</v>
      </c>
    </row>
    <row r="685" spans="1:11">
      <c r="A685">
        <v>18003</v>
      </c>
      <c r="B685" t="s">
        <v>1529</v>
      </c>
      <c r="C685" t="s">
        <v>504</v>
      </c>
      <c r="E685" t="s">
        <v>1393</v>
      </c>
      <c r="F685">
        <v>86</v>
      </c>
      <c r="G685">
        <v>1996</v>
      </c>
      <c r="H685">
        <v>566</v>
      </c>
      <c r="I685">
        <v>1.1559999999999999</v>
      </c>
      <c r="J685">
        <v>55.247</v>
      </c>
      <c r="K685">
        <v>0</v>
      </c>
    </row>
    <row r="686" spans="1:11">
      <c r="A686">
        <v>17087</v>
      </c>
      <c r="B686" t="s">
        <v>1427</v>
      </c>
      <c r="C686" t="s">
        <v>632</v>
      </c>
      <c r="E686" t="s">
        <v>1393</v>
      </c>
      <c r="F686">
        <v>86</v>
      </c>
      <c r="G686">
        <v>2000</v>
      </c>
      <c r="H686">
        <v>895</v>
      </c>
      <c r="I686">
        <v>0</v>
      </c>
      <c r="J686">
        <v>0</v>
      </c>
      <c r="K686">
        <v>0</v>
      </c>
    </row>
    <row r="687" spans="1:11">
      <c r="A687">
        <v>96229</v>
      </c>
      <c r="B687" t="s">
        <v>878</v>
      </c>
      <c r="C687" t="s">
        <v>557</v>
      </c>
      <c r="E687" t="s">
        <v>1069</v>
      </c>
      <c r="F687">
        <v>28</v>
      </c>
      <c r="G687">
        <v>1959</v>
      </c>
      <c r="H687">
        <v>896</v>
      </c>
      <c r="I687">
        <v>0</v>
      </c>
      <c r="J687">
        <v>0</v>
      </c>
      <c r="K687">
        <v>0</v>
      </c>
    </row>
    <row r="688" spans="1:11">
      <c r="A688">
        <v>21768</v>
      </c>
      <c r="B688" t="s">
        <v>879</v>
      </c>
      <c r="C688" t="s">
        <v>538</v>
      </c>
      <c r="E688" t="s">
        <v>200</v>
      </c>
      <c r="F688">
        <v>19</v>
      </c>
      <c r="G688">
        <v>1963</v>
      </c>
      <c r="H688">
        <v>186</v>
      </c>
      <c r="I688">
        <v>13.188000000000001</v>
      </c>
      <c r="J688">
        <v>770.34299999999996</v>
      </c>
      <c r="K688">
        <v>299</v>
      </c>
    </row>
    <row r="689" spans="1:11">
      <c r="A689">
        <v>23072</v>
      </c>
      <c r="B689" t="s">
        <v>881</v>
      </c>
      <c r="C689" t="s">
        <v>775</v>
      </c>
      <c r="D689" t="s">
        <v>107</v>
      </c>
      <c r="E689" t="s">
        <v>200</v>
      </c>
      <c r="F689">
        <v>19</v>
      </c>
      <c r="G689">
        <v>1966</v>
      </c>
      <c r="H689">
        <v>514</v>
      </c>
      <c r="I689">
        <v>2.6880000000000002</v>
      </c>
      <c r="J689">
        <v>86.234999999999999</v>
      </c>
      <c r="K689">
        <v>0</v>
      </c>
    </row>
    <row r="690" spans="1:11">
      <c r="A690">
        <v>19055</v>
      </c>
      <c r="B690" t="s">
        <v>1699</v>
      </c>
      <c r="C690" t="s">
        <v>936</v>
      </c>
      <c r="D690" t="s">
        <v>107</v>
      </c>
      <c r="E690" t="s">
        <v>470</v>
      </c>
      <c r="F690">
        <v>20</v>
      </c>
      <c r="G690">
        <v>1977</v>
      </c>
      <c r="H690">
        <v>574</v>
      </c>
      <c r="I690">
        <v>1.0940000000000001</v>
      </c>
      <c r="J690">
        <v>51.244</v>
      </c>
      <c r="K690">
        <v>0</v>
      </c>
    </row>
    <row r="691" spans="1:11">
      <c r="A691">
        <v>20555</v>
      </c>
      <c r="B691" t="s">
        <v>1700</v>
      </c>
      <c r="C691" t="s">
        <v>520</v>
      </c>
      <c r="E691" t="s">
        <v>484</v>
      </c>
      <c r="F691">
        <v>21</v>
      </c>
      <c r="G691">
        <v>1949</v>
      </c>
      <c r="H691">
        <v>897</v>
      </c>
      <c r="I691">
        <v>0</v>
      </c>
      <c r="J691">
        <v>0</v>
      </c>
      <c r="K691">
        <v>0</v>
      </c>
    </row>
    <row r="692" spans="1:11">
      <c r="A692">
        <v>20545</v>
      </c>
      <c r="B692" t="s">
        <v>1530</v>
      </c>
      <c r="C692" t="s">
        <v>544</v>
      </c>
      <c r="D692" t="s">
        <v>107</v>
      </c>
      <c r="E692" t="s">
        <v>1617</v>
      </c>
      <c r="F692">
        <v>93</v>
      </c>
      <c r="G692">
        <v>1960</v>
      </c>
      <c r="H692">
        <v>527</v>
      </c>
      <c r="I692">
        <v>2.6560000000000001</v>
      </c>
      <c r="J692">
        <v>77.855999999999995</v>
      </c>
      <c r="K692">
        <v>0</v>
      </c>
    </row>
    <row r="693" spans="1:11">
      <c r="A693">
        <v>20503</v>
      </c>
      <c r="B693" t="s">
        <v>1530</v>
      </c>
      <c r="C693" t="s">
        <v>668</v>
      </c>
      <c r="D693" t="s">
        <v>107</v>
      </c>
      <c r="E693" t="s">
        <v>198</v>
      </c>
      <c r="F693">
        <v>17</v>
      </c>
      <c r="G693">
        <v>1996</v>
      </c>
      <c r="H693">
        <v>337</v>
      </c>
      <c r="I693">
        <v>4.9379999999999997</v>
      </c>
      <c r="J693">
        <v>279.35700000000003</v>
      </c>
      <c r="K693">
        <v>66</v>
      </c>
    </row>
    <row r="694" spans="1:11">
      <c r="A694">
        <v>20546</v>
      </c>
      <c r="B694" t="s">
        <v>1701</v>
      </c>
      <c r="C694" t="s">
        <v>538</v>
      </c>
      <c r="E694" t="s">
        <v>1617</v>
      </c>
      <c r="F694">
        <v>93</v>
      </c>
      <c r="G694">
        <v>1988</v>
      </c>
      <c r="H694">
        <v>634</v>
      </c>
      <c r="I694">
        <v>1.125</v>
      </c>
      <c r="J694">
        <v>16.283999999999999</v>
      </c>
      <c r="K694">
        <v>0</v>
      </c>
    </row>
    <row r="695" spans="1:11">
      <c r="A695">
        <v>11005</v>
      </c>
      <c r="B695" t="s">
        <v>882</v>
      </c>
      <c r="C695" t="s">
        <v>880</v>
      </c>
      <c r="D695" t="s">
        <v>91</v>
      </c>
      <c r="E695" t="s">
        <v>474</v>
      </c>
      <c r="F695">
        <v>63</v>
      </c>
      <c r="G695">
        <v>2003</v>
      </c>
      <c r="H695">
        <v>448</v>
      </c>
      <c r="I695">
        <v>4.4379999999999997</v>
      </c>
      <c r="J695">
        <v>142.85499999999999</v>
      </c>
      <c r="K695">
        <v>0</v>
      </c>
    </row>
    <row r="696" spans="1:11">
      <c r="A696">
        <v>29042</v>
      </c>
      <c r="B696" t="s">
        <v>882</v>
      </c>
      <c r="C696" t="s">
        <v>677</v>
      </c>
      <c r="E696" t="s">
        <v>474</v>
      </c>
      <c r="F696">
        <v>63</v>
      </c>
      <c r="G696">
        <v>1964</v>
      </c>
      <c r="H696">
        <v>510</v>
      </c>
      <c r="I696">
        <v>2.6890000000000001</v>
      </c>
      <c r="J696">
        <v>89.509</v>
      </c>
      <c r="K696">
        <v>0</v>
      </c>
    </row>
    <row r="697" spans="1:11">
      <c r="A697">
        <v>10046</v>
      </c>
      <c r="B697" t="s">
        <v>883</v>
      </c>
      <c r="C697" t="s">
        <v>884</v>
      </c>
      <c r="D697" t="s">
        <v>107</v>
      </c>
      <c r="E697" t="s">
        <v>474</v>
      </c>
      <c r="F697">
        <v>63</v>
      </c>
      <c r="G697">
        <v>2001</v>
      </c>
      <c r="H697">
        <v>462</v>
      </c>
      <c r="I697">
        <v>4</v>
      </c>
      <c r="J697">
        <v>129.49600000000001</v>
      </c>
      <c r="K697">
        <v>0</v>
      </c>
    </row>
    <row r="698" spans="1:11">
      <c r="A698">
        <v>19042</v>
      </c>
      <c r="B698" t="s">
        <v>1702</v>
      </c>
      <c r="C698" t="s">
        <v>1703</v>
      </c>
      <c r="D698" t="s">
        <v>610</v>
      </c>
      <c r="E698" t="s">
        <v>493</v>
      </c>
      <c r="F698">
        <v>1</v>
      </c>
      <c r="G698">
        <v>2010</v>
      </c>
      <c r="H698">
        <v>637</v>
      </c>
      <c r="I698">
        <v>0.5</v>
      </c>
      <c r="J698">
        <v>15.923999999999999</v>
      </c>
      <c r="K698">
        <v>0</v>
      </c>
    </row>
    <row r="699" spans="1:11">
      <c r="A699">
        <v>19069</v>
      </c>
      <c r="B699" t="s">
        <v>1702</v>
      </c>
      <c r="C699" t="s">
        <v>894</v>
      </c>
      <c r="D699" t="s">
        <v>107</v>
      </c>
      <c r="E699" t="s">
        <v>156</v>
      </c>
      <c r="F699">
        <v>6</v>
      </c>
      <c r="G699">
        <v>1952</v>
      </c>
      <c r="H699">
        <v>512</v>
      </c>
      <c r="I699">
        <v>2.4689999999999999</v>
      </c>
      <c r="J699">
        <v>87.087000000000003</v>
      </c>
      <c r="K699">
        <v>15</v>
      </c>
    </row>
    <row r="700" spans="1:11">
      <c r="A700">
        <v>21859</v>
      </c>
      <c r="B700" t="s">
        <v>886</v>
      </c>
      <c r="C700" t="s">
        <v>503</v>
      </c>
      <c r="E700" t="s">
        <v>216</v>
      </c>
      <c r="F700">
        <v>33</v>
      </c>
      <c r="G700">
        <v>1958</v>
      </c>
      <c r="H700">
        <v>898</v>
      </c>
      <c r="I700">
        <v>0</v>
      </c>
      <c r="J700">
        <v>0</v>
      </c>
      <c r="K700">
        <v>0</v>
      </c>
    </row>
    <row r="701" spans="1:11">
      <c r="A701">
        <v>12060</v>
      </c>
      <c r="B701" t="s">
        <v>887</v>
      </c>
      <c r="C701" t="s">
        <v>638</v>
      </c>
      <c r="D701" t="s">
        <v>107</v>
      </c>
      <c r="E701" t="s">
        <v>1179</v>
      </c>
      <c r="F701">
        <v>79</v>
      </c>
      <c r="G701">
        <v>1991</v>
      </c>
      <c r="H701">
        <v>899</v>
      </c>
      <c r="I701">
        <v>0</v>
      </c>
      <c r="J701">
        <v>0</v>
      </c>
      <c r="K701">
        <v>0</v>
      </c>
    </row>
    <row r="702" spans="1:11">
      <c r="A702">
        <v>20506</v>
      </c>
      <c r="B702" t="s">
        <v>889</v>
      </c>
      <c r="C702" t="s">
        <v>559</v>
      </c>
      <c r="E702" t="s">
        <v>216</v>
      </c>
      <c r="F702">
        <v>33</v>
      </c>
      <c r="G702">
        <v>1955</v>
      </c>
      <c r="H702">
        <v>472</v>
      </c>
      <c r="I702">
        <v>4</v>
      </c>
      <c r="J702">
        <v>118.98399999999999</v>
      </c>
      <c r="K702">
        <v>0</v>
      </c>
    </row>
    <row r="703" spans="1:11">
      <c r="A703">
        <v>10065</v>
      </c>
      <c r="B703" t="s">
        <v>890</v>
      </c>
      <c r="C703" t="s">
        <v>891</v>
      </c>
      <c r="E703" t="s">
        <v>170</v>
      </c>
      <c r="F703">
        <v>14</v>
      </c>
      <c r="G703">
        <v>1992</v>
      </c>
      <c r="H703">
        <v>298</v>
      </c>
      <c r="I703">
        <v>2.75</v>
      </c>
      <c r="J703">
        <v>348.03</v>
      </c>
      <c r="K703">
        <v>225</v>
      </c>
    </row>
    <row r="704" spans="1:11">
      <c r="A704">
        <v>10064</v>
      </c>
      <c r="B704" t="s">
        <v>890</v>
      </c>
      <c r="C704" t="s">
        <v>892</v>
      </c>
      <c r="E704" t="s">
        <v>170</v>
      </c>
      <c r="F704">
        <v>14</v>
      </c>
      <c r="G704">
        <v>1987</v>
      </c>
      <c r="H704">
        <v>227</v>
      </c>
      <c r="I704">
        <v>8.25</v>
      </c>
      <c r="J704">
        <v>563.63599999999997</v>
      </c>
      <c r="K704">
        <v>225</v>
      </c>
    </row>
    <row r="705" spans="1:11">
      <c r="A705">
        <v>16084</v>
      </c>
      <c r="B705" t="s">
        <v>1309</v>
      </c>
      <c r="C705" t="s">
        <v>519</v>
      </c>
      <c r="E705" t="s">
        <v>1473</v>
      </c>
      <c r="F705">
        <v>87</v>
      </c>
      <c r="G705">
        <v>1949</v>
      </c>
      <c r="H705">
        <v>900</v>
      </c>
      <c r="I705">
        <v>0</v>
      </c>
      <c r="J705">
        <v>0</v>
      </c>
      <c r="K705">
        <v>0</v>
      </c>
    </row>
    <row r="706" spans="1:11">
      <c r="A706">
        <v>16121</v>
      </c>
      <c r="B706" t="s">
        <v>1310</v>
      </c>
      <c r="C706" t="s">
        <v>576</v>
      </c>
      <c r="D706" t="s">
        <v>107</v>
      </c>
      <c r="E706" t="s">
        <v>1070</v>
      </c>
      <c r="F706">
        <v>42</v>
      </c>
      <c r="G706">
        <v>1933</v>
      </c>
      <c r="H706">
        <v>528</v>
      </c>
      <c r="I706">
        <v>1.9379999999999999</v>
      </c>
      <c r="J706">
        <v>76.995000000000005</v>
      </c>
      <c r="K706">
        <v>0</v>
      </c>
    </row>
    <row r="707" spans="1:11">
      <c r="A707">
        <v>27069</v>
      </c>
      <c r="B707" t="s">
        <v>893</v>
      </c>
      <c r="C707" t="s">
        <v>526</v>
      </c>
      <c r="E707" t="s">
        <v>1066</v>
      </c>
      <c r="F707">
        <v>24</v>
      </c>
      <c r="G707">
        <v>1986</v>
      </c>
      <c r="H707">
        <v>96</v>
      </c>
      <c r="I707">
        <v>20.937999999999999</v>
      </c>
      <c r="J707">
        <v>1421.3340000000001</v>
      </c>
      <c r="K707">
        <v>567</v>
      </c>
    </row>
    <row r="708" spans="1:11">
      <c r="A708">
        <v>26074</v>
      </c>
      <c r="B708" t="s">
        <v>893</v>
      </c>
      <c r="C708" t="s">
        <v>659</v>
      </c>
      <c r="E708" t="s">
        <v>1066</v>
      </c>
      <c r="F708">
        <v>24</v>
      </c>
      <c r="G708">
        <v>1984</v>
      </c>
      <c r="H708">
        <v>172</v>
      </c>
      <c r="I708">
        <v>12.375999999999999</v>
      </c>
      <c r="J708">
        <v>832.34400000000005</v>
      </c>
      <c r="K708">
        <v>344</v>
      </c>
    </row>
    <row r="709" spans="1:11">
      <c r="A709">
        <v>18005</v>
      </c>
      <c r="B709" t="s">
        <v>1311</v>
      </c>
      <c r="C709" t="s">
        <v>503</v>
      </c>
      <c r="E709" t="s">
        <v>1473</v>
      </c>
      <c r="F709">
        <v>87</v>
      </c>
      <c r="G709">
        <v>1946</v>
      </c>
      <c r="H709">
        <v>264</v>
      </c>
      <c r="I709">
        <v>8.8290000000000006</v>
      </c>
      <c r="J709">
        <v>447.15899999999999</v>
      </c>
      <c r="K709">
        <v>78</v>
      </c>
    </row>
    <row r="710" spans="1:11">
      <c r="A710">
        <v>29009</v>
      </c>
      <c r="B710" t="s">
        <v>895</v>
      </c>
      <c r="C710" t="s">
        <v>646</v>
      </c>
      <c r="D710" t="s">
        <v>107</v>
      </c>
      <c r="E710" t="s">
        <v>1070</v>
      </c>
      <c r="F710">
        <v>42</v>
      </c>
      <c r="G710">
        <v>1969</v>
      </c>
      <c r="H710">
        <v>256</v>
      </c>
      <c r="I710">
        <v>8.4079999999999995</v>
      </c>
      <c r="J710">
        <v>461.13499999999999</v>
      </c>
      <c r="K710">
        <v>128</v>
      </c>
    </row>
    <row r="711" spans="1:11">
      <c r="A711">
        <v>17047</v>
      </c>
      <c r="B711" t="s">
        <v>1428</v>
      </c>
      <c r="C711" t="s">
        <v>580</v>
      </c>
      <c r="E711" t="s">
        <v>1060</v>
      </c>
      <c r="F711">
        <v>70</v>
      </c>
      <c r="G711">
        <v>1948</v>
      </c>
      <c r="H711">
        <v>609</v>
      </c>
      <c r="I711">
        <v>0.875</v>
      </c>
      <c r="J711">
        <v>27.893000000000001</v>
      </c>
      <c r="K711">
        <v>0</v>
      </c>
    </row>
    <row r="712" spans="1:11">
      <c r="A712">
        <v>15053</v>
      </c>
      <c r="B712" t="s">
        <v>1312</v>
      </c>
      <c r="C712" t="s">
        <v>658</v>
      </c>
      <c r="D712" t="s">
        <v>107</v>
      </c>
      <c r="E712" t="s">
        <v>1065</v>
      </c>
      <c r="F712">
        <v>74</v>
      </c>
      <c r="G712">
        <v>1999</v>
      </c>
      <c r="H712">
        <v>901</v>
      </c>
      <c r="I712">
        <v>0</v>
      </c>
      <c r="J712">
        <v>0</v>
      </c>
      <c r="K712">
        <v>0</v>
      </c>
    </row>
    <row r="713" spans="1:11">
      <c r="A713">
        <v>20554</v>
      </c>
      <c r="B713" t="s">
        <v>1313</v>
      </c>
      <c r="C713" t="s">
        <v>574</v>
      </c>
      <c r="E713" t="s">
        <v>170</v>
      </c>
      <c r="F713">
        <v>14</v>
      </c>
      <c r="G713">
        <v>1965</v>
      </c>
      <c r="H713">
        <v>193</v>
      </c>
      <c r="I713">
        <v>19.439</v>
      </c>
      <c r="J713">
        <v>720.71100000000001</v>
      </c>
      <c r="K713">
        <v>116</v>
      </c>
    </row>
    <row r="714" spans="1:11">
      <c r="A714">
        <v>16086</v>
      </c>
      <c r="B714" t="s">
        <v>1313</v>
      </c>
      <c r="C714" t="s">
        <v>520</v>
      </c>
      <c r="E714" t="s">
        <v>1473</v>
      </c>
      <c r="F714">
        <v>87</v>
      </c>
      <c r="G714">
        <v>1950</v>
      </c>
      <c r="H714">
        <v>79</v>
      </c>
      <c r="I714">
        <v>23.376999999999999</v>
      </c>
      <c r="J714">
        <v>1608.9079999999999</v>
      </c>
      <c r="K714">
        <v>688</v>
      </c>
    </row>
    <row r="715" spans="1:11">
      <c r="A715">
        <v>98379</v>
      </c>
      <c r="B715" t="s">
        <v>896</v>
      </c>
      <c r="C715" t="s">
        <v>600</v>
      </c>
      <c r="E715" t="s">
        <v>474</v>
      </c>
      <c r="F715">
        <v>63</v>
      </c>
      <c r="G715">
        <v>1953</v>
      </c>
      <c r="H715">
        <v>441</v>
      </c>
      <c r="I715">
        <v>4</v>
      </c>
      <c r="J715">
        <v>151.41900000000001</v>
      </c>
      <c r="K715">
        <v>0</v>
      </c>
    </row>
    <row r="716" spans="1:11">
      <c r="A716">
        <v>21811</v>
      </c>
      <c r="B716" t="s">
        <v>897</v>
      </c>
      <c r="C716" t="s">
        <v>898</v>
      </c>
      <c r="E716" t="s">
        <v>1070</v>
      </c>
      <c r="F716">
        <v>42</v>
      </c>
      <c r="G716">
        <v>1968</v>
      </c>
      <c r="H716">
        <v>902</v>
      </c>
      <c r="I716">
        <v>0</v>
      </c>
      <c r="J716">
        <v>0</v>
      </c>
      <c r="K716">
        <v>0</v>
      </c>
    </row>
    <row r="717" spans="1:11">
      <c r="A717">
        <v>21807</v>
      </c>
      <c r="B717" t="s">
        <v>899</v>
      </c>
      <c r="C717" t="s">
        <v>578</v>
      </c>
      <c r="D717" t="s">
        <v>107</v>
      </c>
      <c r="E717" t="s">
        <v>1070</v>
      </c>
      <c r="F717">
        <v>42</v>
      </c>
      <c r="G717">
        <v>1968</v>
      </c>
      <c r="H717">
        <v>903</v>
      </c>
      <c r="I717">
        <v>0</v>
      </c>
      <c r="J717">
        <v>0</v>
      </c>
      <c r="K717">
        <v>0</v>
      </c>
    </row>
    <row r="718" spans="1:11">
      <c r="A718">
        <v>12048</v>
      </c>
      <c r="B718" t="s">
        <v>900</v>
      </c>
      <c r="C718" t="s">
        <v>686</v>
      </c>
      <c r="E718" t="s">
        <v>170</v>
      </c>
      <c r="F718">
        <v>14</v>
      </c>
      <c r="G718">
        <v>1966</v>
      </c>
      <c r="H718">
        <v>155</v>
      </c>
      <c r="I718">
        <v>13.75</v>
      </c>
      <c r="J718">
        <v>953.69399999999996</v>
      </c>
      <c r="K718">
        <v>391</v>
      </c>
    </row>
    <row r="719" spans="1:11">
      <c r="A719">
        <v>99555</v>
      </c>
      <c r="B719" t="s">
        <v>901</v>
      </c>
      <c r="C719" t="s">
        <v>511</v>
      </c>
      <c r="E719" t="s">
        <v>170</v>
      </c>
      <c r="F719">
        <v>14</v>
      </c>
      <c r="G719">
        <v>1981</v>
      </c>
      <c r="H719">
        <v>43</v>
      </c>
      <c r="I719">
        <v>28.312999999999999</v>
      </c>
      <c r="J719">
        <v>1954.954</v>
      </c>
      <c r="K719">
        <v>777</v>
      </c>
    </row>
    <row r="720" spans="1:11">
      <c r="A720">
        <v>15023</v>
      </c>
      <c r="B720" t="s">
        <v>902</v>
      </c>
      <c r="C720" t="s">
        <v>867</v>
      </c>
      <c r="E720" t="s">
        <v>472</v>
      </c>
      <c r="F720">
        <v>54</v>
      </c>
      <c r="G720">
        <v>1965</v>
      </c>
      <c r="H720">
        <v>41</v>
      </c>
      <c r="I720">
        <v>26.312999999999999</v>
      </c>
      <c r="J720">
        <v>1977.489</v>
      </c>
      <c r="K720">
        <v>857</v>
      </c>
    </row>
    <row r="721" spans="1:11">
      <c r="A721">
        <v>25016</v>
      </c>
      <c r="B721" t="s">
        <v>902</v>
      </c>
      <c r="C721" t="s">
        <v>520</v>
      </c>
      <c r="E721" t="s">
        <v>1063</v>
      </c>
      <c r="F721">
        <v>55</v>
      </c>
      <c r="G721">
        <v>1959</v>
      </c>
      <c r="H721">
        <v>384</v>
      </c>
      <c r="I721">
        <v>2.5</v>
      </c>
      <c r="J721">
        <v>218.75</v>
      </c>
      <c r="K721">
        <v>105</v>
      </c>
    </row>
    <row r="722" spans="1:11">
      <c r="A722">
        <v>29021</v>
      </c>
      <c r="B722" t="s">
        <v>903</v>
      </c>
      <c r="C722" t="s">
        <v>523</v>
      </c>
      <c r="D722" t="s">
        <v>107</v>
      </c>
      <c r="E722" t="s">
        <v>1063</v>
      </c>
      <c r="F722">
        <v>55</v>
      </c>
      <c r="G722">
        <v>1960</v>
      </c>
      <c r="H722">
        <v>904</v>
      </c>
      <c r="I722">
        <v>0</v>
      </c>
      <c r="J722">
        <v>0</v>
      </c>
      <c r="K722">
        <v>0</v>
      </c>
    </row>
    <row r="723" spans="1:11">
      <c r="A723">
        <v>20524</v>
      </c>
      <c r="B723" t="s">
        <v>1429</v>
      </c>
      <c r="C723" t="s">
        <v>553</v>
      </c>
      <c r="E723" t="s">
        <v>1236</v>
      </c>
      <c r="F723">
        <v>83</v>
      </c>
      <c r="G723">
        <v>1970</v>
      </c>
      <c r="H723">
        <v>905</v>
      </c>
      <c r="I723">
        <v>0</v>
      </c>
      <c r="J723">
        <v>0</v>
      </c>
      <c r="K723">
        <v>0</v>
      </c>
    </row>
    <row r="724" spans="1:11">
      <c r="A724">
        <v>17001</v>
      </c>
      <c r="B724" t="s">
        <v>1429</v>
      </c>
      <c r="C724" t="s">
        <v>554</v>
      </c>
      <c r="E724" t="s">
        <v>472</v>
      </c>
      <c r="F724">
        <v>54</v>
      </c>
      <c r="G724">
        <v>1987</v>
      </c>
      <c r="H724">
        <v>243</v>
      </c>
      <c r="I724">
        <v>6</v>
      </c>
      <c r="J724">
        <v>491.65899999999999</v>
      </c>
      <c r="K724">
        <v>202</v>
      </c>
    </row>
    <row r="725" spans="1:11">
      <c r="A725">
        <v>25079</v>
      </c>
      <c r="B725" t="s">
        <v>904</v>
      </c>
      <c r="C725" t="s">
        <v>905</v>
      </c>
      <c r="D725" t="s">
        <v>107</v>
      </c>
      <c r="E725" t="s">
        <v>475</v>
      </c>
      <c r="F725">
        <v>27</v>
      </c>
      <c r="G725">
        <v>1970</v>
      </c>
      <c r="H725">
        <v>370</v>
      </c>
      <c r="I725">
        <v>5.234</v>
      </c>
      <c r="J725">
        <v>236.209</v>
      </c>
      <c r="K725">
        <v>34</v>
      </c>
    </row>
    <row r="726" spans="1:11">
      <c r="A726">
        <v>17086</v>
      </c>
      <c r="B726" t="s">
        <v>1430</v>
      </c>
      <c r="C726" t="s">
        <v>519</v>
      </c>
      <c r="E726" t="s">
        <v>1393</v>
      </c>
      <c r="F726">
        <v>86</v>
      </c>
      <c r="G726">
        <v>1995</v>
      </c>
      <c r="H726">
        <v>119</v>
      </c>
      <c r="I726">
        <v>22.125</v>
      </c>
      <c r="J726">
        <v>1269.376</v>
      </c>
      <c r="K726">
        <v>347</v>
      </c>
    </row>
    <row r="727" spans="1:11">
      <c r="A727">
        <v>25017</v>
      </c>
      <c r="B727" t="s">
        <v>906</v>
      </c>
      <c r="C727" t="s">
        <v>507</v>
      </c>
      <c r="D727" t="s">
        <v>107</v>
      </c>
      <c r="E727" t="s">
        <v>1063</v>
      </c>
      <c r="F727">
        <v>55</v>
      </c>
      <c r="G727">
        <v>1963</v>
      </c>
      <c r="H727">
        <v>37</v>
      </c>
      <c r="I727">
        <v>25.937999999999999</v>
      </c>
      <c r="J727">
        <v>2026.1479999999999</v>
      </c>
      <c r="K727">
        <v>913</v>
      </c>
    </row>
    <row r="728" spans="1:11">
      <c r="A728">
        <v>20582</v>
      </c>
      <c r="B728" t="s">
        <v>1704</v>
      </c>
      <c r="C728" t="s">
        <v>1705</v>
      </c>
      <c r="E728" t="s">
        <v>1578</v>
      </c>
      <c r="F728">
        <v>95</v>
      </c>
      <c r="G728">
        <v>1966</v>
      </c>
      <c r="H728">
        <v>906</v>
      </c>
      <c r="I728">
        <v>0</v>
      </c>
      <c r="J728">
        <v>0</v>
      </c>
      <c r="K728">
        <v>0</v>
      </c>
    </row>
    <row r="729" spans="1:11">
      <c r="A729">
        <v>21805</v>
      </c>
      <c r="B729" t="s">
        <v>907</v>
      </c>
      <c r="C729" t="s">
        <v>785</v>
      </c>
      <c r="D729" t="s">
        <v>107</v>
      </c>
      <c r="E729" t="s">
        <v>1070</v>
      </c>
      <c r="F729">
        <v>42</v>
      </c>
      <c r="G729">
        <v>1959</v>
      </c>
      <c r="H729">
        <v>202</v>
      </c>
      <c r="I729">
        <v>9.0790000000000006</v>
      </c>
      <c r="J729">
        <v>687.72799999999995</v>
      </c>
      <c r="K729">
        <v>279</v>
      </c>
    </row>
    <row r="730" spans="1:11">
      <c r="A730">
        <v>26086</v>
      </c>
      <c r="B730" t="s">
        <v>1314</v>
      </c>
      <c r="C730" t="s">
        <v>520</v>
      </c>
      <c r="E730" t="s">
        <v>220</v>
      </c>
      <c r="F730">
        <v>36</v>
      </c>
      <c r="G730">
        <v>1989</v>
      </c>
      <c r="H730">
        <v>908</v>
      </c>
      <c r="I730">
        <v>0</v>
      </c>
      <c r="J730">
        <v>0</v>
      </c>
      <c r="K730">
        <v>0</v>
      </c>
    </row>
    <row r="731" spans="1:11">
      <c r="A731">
        <v>15092</v>
      </c>
      <c r="B731" t="s">
        <v>1314</v>
      </c>
      <c r="C731" t="s">
        <v>521</v>
      </c>
      <c r="E731" t="s">
        <v>220</v>
      </c>
      <c r="F731">
        <v>36</v>
      </c>
      <c r="G731">
        <v>1988</v>
      </c>
      <c r="H731">
        <v>907</v>
      </c>
      <c r="I731">
        <v>0</v>
      </c>
      <c r="J731">
        <v>0</v>
      </c>
      <c r="K731">
        <v>0</v>
      </c>
    </row>
    <row r="732" spans="1:11">
      <c r="A732">
        <v>21825</v>
      </c>
      <c r="B732" t="s">
        <v>908</v>
      </c>
      <c r="C732" t="s">
        <v>523</v>
      </c>
      <c r="D732" t="s">
        <v>107</v>
      </c>
      <c r="E732" t="s">
        <v>220</v>
      </c>
      <c r="F732">
        <v>36</v>
      </c>
      <c r="G732">
        <v>1959</v>
      </c>
      <c r="H732">
        <v>909</v>
      </c>
      <c r="I732">
        <v>0</v>
      </c>
      <c r="J732">
        <v>0</v>
      </c>
      <c r="K732">
        <v>0</v>
      </c>
    </row>
    <row r="733" spans="1:11">
      <c r="A733">
        <v>19026</v>
      </c>
      <c r="B733" t="s">
        <v>1706</v>
      </c>
      <c r="C733" t="s">
        <v>1707</v>
      </c>
      <c r="E733" t="s">
        <v>1179</v>
      </c>
      <c r="F733">
        <v>79</v>
      </c>
      <c r="G733">
        <v>1971</v>
      </c>
      <c r="H733">
        <v>329</v>
      </c>
      <c r="I733">
        <v>8.1880000000000006</v>
      </c>
      <c r="J733">
        <v>295.745</v>
      </c>
      <c r="K733">
        <v>0</v>
      </c>
    </row>
    <row r="734" spans="1:11">
      <c r="A734">
        <v>20617</v>
      </c>
      <c r="B734" t="s">
        <v>1708</v>
      </c>
      <c r="C734" t="s">
        <v>501</v>
      </c>
      <c r="E734" t="s">
        <v>1401</v>
      </c>
      <c r="F734">
        <v>85</v>
      </c>
      <c r="G734">
        <v>1977</v>
      </c>
      <c r="H734">
        <v>301</v>
      </c>
      <c r="I734">
        <v>4.5</v>
      </c>
      <c r="J734">
        <v>341.08300000000003</v>
      </c>
      <c r="K734">
        <v>145</v>
      </c>
    </row>
    <row r="735" spans="1:11">
      <c r="A735">
        <v>22007</v>
      </c>
      <c r="B735" t="s">
        <v>909</v>
      </c>
      <c r="C735" t="s">
        <v>553</v>
      </c>
      <c r="E735" t="s">
        <v>1066</v>
      </c>
      <c r="F735">
        <v>24</v>
      </c>
      <c r="G735">
        <v>1977</v>
      </c>
      <c r="H735">
        <v>22</v>
      </c>
      <c r="I735">
        <v>29.125</v>
      </c>
      <c r="J735">
        <v>2370.4430000000002</v>
      </c>
      <c r="K735">
        <v>1037</v>
      </c>
    </row>
    <row r="736" spans="1:11">
      <c r="A736">
        <v>20701</v>
      </c>
      <c r="B736" t="s">
        <v>910</v>
      </c>
      <c r="C736" t="s">
        <v>638</v>
      </c>
      <c r="D736" t="s">
        <v>107</v>
      </c>
      <c r="E736" t="s">
        <v>198</v>
      </c>
      <c r="F736">
        <v>17</v>
      </c>
      <c r="G736">
        <v>1971</v>
      </c>
      <c r="H736">
        <v>910</v>
      </c>
      <c r="I736">
        <v>0</v>
      </c>
      <c r="J736">
        <v>0</v>
      </c>
      <c r="K736">
        <v>0</v>
      </c>
    </row>
    <row r="737" spans="1:11">
      <c r="A737">
        <v>18111</v>
      </c>
      <c r="B737" t="s">
        <v>1531</v>
      </c>
      <c r="C737" t="s">
        <v>633</v>
      </c>
      <c r="E737" t="s">
        <v>1393</v>
      </c>
      <c r="F737">
        <v>86</v>
      </c>
      <c r="G737">
        <v>1971</v>
      </c>
      <c r="H737">
        <v>912</v>
      </c>
      <c r="I737">
        <v>0</v>
      </c>
      <c r="J737">
        <v>0</v>
      </c>
      <c r="K737">
        <v>0</v>
      </c>
    </row>
    <row r="738" spans="1:11">
      <c r="A738">
        <v>18041</v>
      </c>
      <c r="B738" t="s">
        <v>1531</v>
      </c>
      <c r="C738" t="s">
        <v>1532</v>
      </c>
      <c r="D738" t="s">
        <v>91</v>
      </c>
      <c r="E738" t="s">
        <v>1393</v>
      </c>
      <c r="F738">
        <v>86</v>
      </c>
      <c r="G738">
        <v>2009</v>
      </c>
      <c r="H738">
        <v>911</v>
      </c>
      <c r="I738">
        <v>0</v>
      </c>
      <c r="J738">
        <v>0</v>
      </c>
      <c r="K738">
        <v>0</v>
      </c>
    </row>
    <row r="739" spans="1:11">
      <c r="A739">
        <v>16131</v>
      </c>
      <c r="B739" t="s">
        <v>1431</v>
      </c>
      <c r="C739" t="s">
        <v>570</v>
      </c>
      <c r="D739" t="s">
        <v>91</v>
      </c>
      <c r="E739" t="s">
        <v>1057</v>
      </c>
      <c r="F739">
        <v>2</v>
      </c>
      <c r="G739">
        <v>2006</v>
      </c>
      <c r="H739">
        <v>913</v>
      </c>
      <c r="I739">
        <v>0</v>
      </c>
      <c r="J739">
        <v>0</v>
      </c>
      <c r="K739">
        <v>0</v>
      </c>
    </row>
    <row r="740" spans="1:11">
      <c r="A740">
        <v>15089</v>
      </c>
      <c r="B740" t="s">
        <v>1315</v>
      </c>
      <c r="C740" t="s">
        <v>546</v>
      </c>
      <c r="D740" t="s">
        <v>107</v>
      </c>
      <c r="E740" t="s">
        <v>1069</v>
      </c>
      <c r="F740">
        <v>28</v>
      </c>
      <c r="G740">
        <v>1950</v>
      </c>
      <c r="H740">
        <v>914</v>
      </c>
      <c r="I740">
        <v>0</v>
      </c>
      <c r="J740">
        <v>0</v>
      </c>
      <c r="K740">
        <v>0</v>
      </c>
    </row>
    <row r="741" spans="1:11">
      <c r="A741">
        <v>16130</v>
      </c>
      <c r="B741" t="s">
        <v>1432</v>
      </c>
      <c r="C741" t="s">
        <v>637</v>
      </c>
      <c r="D741" t="s">
        <v>610</v>
      </c>
      <c r="E741" t="s">
        <v>1057</v>
      </c>
      <c r="F741">
        <v>2</v>
      </c>
      <c r="G741">
        <v>2006</v>
      </c>
      <c r="H741">
        <v>915</v>
      </c>
      <c r="I741">
        <v>0</v>
      </c>
      <c r="J741">
        <v>0</v>
      </c>
      <c r="K741">
        <v>0</v>
      </c>
    </row>
    <row r="742" spans="1:11">
      <c r="A742">
        <v>17105</v>
      </c>
      <c r="B742" t="s">
        <v>1533</v>
      </c>
      <c r="C742" t="s">
        <v>982</v>
      </c>
      <c r="E742" t="s">
        <v>1179</v>
      </c>
      <c r="F742">
        <v>79</v>
      </c>
      <c r="G742">
        <v>1991</v>
      </c>
      <c r="H742">
        <v>916</v>
      </c>
      <c r="I742">
        <v>0</v>
      </c>
      <c r="J742">
        <v>0</v>
      </c>
      <c r="K742">
        <v>0</v>
      </c>
    </row>
    <row r="743" spans="1:11">
      <c r="A743">
        <v>24271</v>
      </c>
      <c r="B743" t="s">
        <v>911</v>
      </c>
      <c r="C743" t="s">
        <v>526</v>
      </c>
      <c r="E743" t="s">
        <v>170</v>
      </c>
      <c r="F743">
        <v>14</v>
      </c>
      <c r="G743">
        <v>1972</v>
      </c>
      <c r="H743">
        <v>608</v>
      </c>
      <c r="I743">
        <v>0.75</v>
      </c>
      <c r="J743">
        <v>28.827000000000002</v>
      </c>
      <c r="K743">
        <v>0</v>
      </c>
    </row>
    <row r="744" spans="1:11">
      <c r="A744">
        <v>96121</v>
      </c>
      <c r="B744" t="s">
        <v>913</v>
      </c>
      <c r="C744" t="s">
        <v>504</v>
      </c>
      <c r="E744" t="s">
        <v>478</v>
      </c>
      <c r="F744">
        <v>7</v>
      </c>
      <c r="G744">
        <v>1972</v>
      </c>
      <c r="H744">
        <v>917</v>
      </c>
      <c r="I744">
        <v>0</v>
      </c>
      <c r="J744">
        <v>0</v>
      </c>
      <c r="K744">
        <v>0</v>
      </c>
    </row>
    <row r="745" spans="1:11">
      <c r="A745">
        <v>18042</v>
      </c>
      <c r="B745" t="s">
        <v>1534</v>
      </c>
      <c r="C745" t="s">
        <v>1535</v>
      </c>
      <c r="D745" t="s">
        <v>91</v>
      </c>
      <c r="E745" t="s">
        <v>484</v>
      </c>
      <c r="F745">
        <v>21</v>
      </c>
      <c r="G745">
        <v>2008</v>
      </c>
      <c r="H745">
        <v>531</v>
      </c>
      <c r="I745">
        <v>0.93799999999999994</v>
      </c>
      <c r="J745">
        <v>75.941999999999993</v>
      </c>
      <c r="K745">
        <v>34</v>
      </c>
    </row>
    <row r="746" spans="1:11">
      <c r="A746">
        <v>18043</v>
      </c>
      <c r="B746" t="s">
        <v>1536</v>
      </c>
      <c r="C746" t="s">
        <v>1537</v>
      </c>
      <c r="D746" t="s">
        <v>610</v>
      </c>
      <c r="E746" t="s">
        <v>484</v>
      </c>
      <c r="F746">
        <v>21</v>
      </c>
      <c r="G746">
        <v>2004</v>
      </c>
      <c r="H746">
        <v>342</v>
      </c>
      <c r="I746">
        <v>5.1879999999999997</v>
      </c>
      <c r="J746">
        <v>273.69600000000003</v>
      </c>
      <c r="K746">
        <v>72</v>
      </c>
    </row>
    <row r="747" spans="1:11">
      <c r="A747">
        <v>14025</v>
      </c>
      <c r="B747" t="s">
        <v>1316</v>
      </c>
      <c r="C747" t="s">
        <v>531</v>
      </c>
      <c r="E747" t="s">
        <v>542</v>
      </c>
      <c r="F747">
        <v>73</v>
      </c>
      <c r="G747">
        <v>1951</v>
      </c>
      <c r="H747">
        <v>582</v>
      </c>
      <c r="I747">
        <v>0.96899999999999997</v>
      </c>
      <c r="J747">
        <v>46.984000000000002</v>
      </c>
      <c r="K747">
        <v>0</v>
      </c>
    </row>
    <row r="748" spans="1:11">
      <c r="A748">
        <v>15007</v>
      </c>
      <c r="B748" t="s">
        <v>1317</v>
      </c>
      <c r="C748" t="s">
        <v>507</v>
      </c>
      <c r="D748" t="s">
        <v>107</v>
      </c>
      <c r="E748" t="s">
        <v>1081</v>
      </c>
      <c r="F748">
        <v>15</v>
      </c>
      <c r="G748">
        <v>1997</v>
      </c>
      <c r="H748">
        <v>918</v>
      </c>
      <c r="I748">
        <v>0</v>
      </c>
      <c r="J748">
        <v>0</v>
      </c>
      <c r="K748">
        <v>0</v>
      </c>
    </row>
    <row r="749" spans="1:11">
      <c r="A749">
        <v>18064</v>
      </c>
      <c r="B749" t="s">
        <v>1538</v>
      </c>
      <c r="C749" t="s">
        <v>574</v>
      </c>
      <c r="E749" t="s">
        <v>1488</v>
      </c>
      <c r="F749">
        <v>88</v>
      </c>
      <c r="G749">
        <v>1969</v>
      </c>
      <c r="H749">
        <v>250</v>
      </c>
      <c r="I749">
        <v>13.064</v>
      </c>
      <c r="J749">
        <v>472.44</v>
      </c>
      <c r="K749">
        <v>15</v>
      </c>
    </row>
    <row r="750" spans="1:11">
      <c r="A750">
        <v>20579</v>
      </c>
      <c r="B750" t="s">
        <v>1709</v>
      </c>
      <c r="C750" t="s">
        <v>1710</v>
      </c>
      <c r="D750" t="s">
        <v>610</v>
      </c>
      <c r="E750" t="s">
        <v>1488</v>
      </c>
      <c r="F750">
        <v>88</v>
      </c>
      <c r="G750">
        <v>2012</v>
      </c>
      <c r="H750">
        <v>436</v>
      </c>
      <c r="I750">
        <v>3.8130000000000002</v>
      </c>
      <c r="J750">
        <v>157.55500000000001</v>
      </c>
      <c r="K750">
        <v>0</v>
      </c>
    </row>
    <row r="751" spans="1:11">
      <c r="A751">
        <v>20585</v>
      </c>
      <c r="B751" t="s">
        <v>1711</v>
      </c>
      <c r="C751" t="s">
        <v>570</v>
      </c>
      <c r="D751" t="s">
        <v>91</v>
      </c>
      <c r="E751" t="s">
        <v>1578</v>
      </c>
      <c r="F751">
        <v>95</v>
      </c>
      <c r="G751">
        <v>2007</v>
      </c>
      <c r="H751">
        <v>920</v>
      </c>
      <c r="I751">
        <v>0</v>
      </c>
      <c r="J751">
        <v>0</v>
      </c>
      <c r="K751">
        <v>0</v>
      </c>
    </row>
    <row r="752" spans="1:11">
      <c r="A752">
        <v>20584</v>
      </c>
      <c r="B752" t="s">
        <v>1711</v>
      </c>
      <c r="C752" t="s">
        <v>504</v>
      </c>
      <c r="E752" t="s">
        <v>1578</v>
      </c>
      <c r="F752">
        <v>95</v>
      </c>
      <c r="G752">
        <v>1976</v>
      </c>
      <c r="H752">
        <v>919</v>
      </c>
      <c r="I752">
        <v>0</v>
      </c>
      <c r="J752">
        <v>0</v>
      </c>
      <c r="K752">
        <v>0</v>
      </c>
    </row>
    <row r="753" spans="1:11">
      <c r="A753">
        <v>20586</v>
      </c>
      <c r="B753" t="s">
        <v>1711</v>
      </c>
      <c r="C753" t="s">
        <v>1423</v>
      </c>
      <c r="D753" t="s">
        <v>91</v>
      </c>
      <c r="E753" t="s">
        <v>1578</v>
      </c>
      <c r="F753">
        <v>95</v>
      </c>
      <c r="G753">
        <v>2010</v>
      </c>
      <c r="H753">
        <v>921</v>
      </c>
      <c r="I753">
        <v>0</v>
      </c>
      <c r="J753">
        <v>0</v>
      </c>
      <c r="K753">
        <v>0</v>
      </c>
    </row>
    <row r="754" spans="1:11">
      <c r="A754">
        <v>18028</v>
      </c>
      <c r="B754" t="s">
        <v>914</v>
      </c>
      <c r="C754" t="s">
        <v>1318</v>
      </c>
      <c r="D754" t="s">
        <v>107</v>
      </c>
      <c r="E754" t="s">
        <v>1473</v>
      </c>
      <c r="F754">
        <v>87</v>
      </c>
      <c r="G754">
        <v>1952</v>
      </c>
      <c r="H754">
        <v>424</v>
      </c>
      <c r="I754">
        <v>2.61</v>
      </c>
      <c r="J754">
        <v>172.833</v>
      </c>
      <c r="K754">
        <v>49</v>
      </c>
    </row>
    <row r="755" spans="1:11">
      <c r="A755">
        <v>97242</v>
      </c>
      <c r="B755" t="s">
        <v>915</v>
      </c>
      <c r="C755" t="s">
        <v>554</v>
      </c>
      <c r="E755" t="s">
        <v>1057</v>
      </c>
      <c r="F755">
        <v>2</v>
      </c>
      <c r="G755">
        <v>1951</v>
      </c>
      <c r="H755">
        <v>367</v>
      </c>
      <c r="I755">
        <v>4.0949999999999998</v>
      </c>
      <c r="J755">
        <v>239.93600000000001</v>
      </c>
      <c r="K755">
        <v>71</v>
      </c>
    </row>
    <row r="756" spans="1:11">
      <c r="A756">
        <v>23084</v>
      </c>
      <c r="B756" t="s">
        <v>917</v>
      </c>
      <c r="C756" t="s">
        <v>747</v>
      </c>
      <c r="E756" t="s">
        <v>1057</v>
      </c>
      <c r="F756">
        <v>2</v>
      </c>
      <c r="G756">
        <v>1952</v>
      </c>
      <c r="H756">
        <v>287</v>
      </c>
      <c r="I756">
        <v>9.2189999999999994</v>
      </c>
      <c r="J756">
        <v>387.84899999999999</v>
      </c>
      <c r="K756">
        <v>71</v>
      </c>
    </row>
    <row r="757" spans="1:11">
      <c r="A757">
        <v>10129</v>
      </c>
      <c r="B757" t="s">
        <v>918</v>
      </c>
      <c r="C757" t="s">
        <v>614</v>
      </c>
      <c r="D757" t="s">
        <v>107</v>
      </c>
      <c r="E757" t="s">
        <v>475</v>
      </c>
      <c r="F757">
        <v>27</v>
      </c>
      <c r="G757">
        <v>1950</v>
      </c>
      <c r="H757">
        <v>354</v>
      </c>
      <c r="I757">
        <v>5.907</v>
      </c>
      <c r="J757">
        <v>253.44800000000001</v>
      </c>
      <c r="K757">
        <v>71</v>
      </c>
    </row>
    <row r="758" spans="1:11">
      <c r="A758">
        <v>27086</v>
      </c>
      <c r="B758" t="s">
        <v>919</v>
      </c>
      <c r="C758" t="s">
        <v>550</v>
      </c>
      <c r="E758" t="s">
        <v>200</v>
      </c>
      <c r="F758">
        <v>19</v>
      </c>
      <c r="G758">
        <v>1947</v>
      </c>
      <c r="H758">
        <v>419</v>
      </c>
      <c r="I758">
        <v>3.0630000000000002</v>
      </c>
      <c r="J758">
        <v>179.40600000000001</v>
      </c>
      <c r="K758">
        <v>60</v>
      </c>
    </row>
    <row r="759" spans="1:11">
      <c r="A759">
        <v>20724</v>
      </c>
      <c r="B759" t="s">
        <v>919</v>
      </c>
      <c r="C759" t="s">
        <v>554</v>
      </c>
      <c r="E759" t="s">
        <v>200</v>
      </c>
      <c r="F759">
        <v>19</v>
      </c>
      <c r="G759">
        <v>1956</v>
      </c>
      <c r="H759">
        <v>418</v>
      </c>
      <c r="I759">
        <v>3.0630000000000002</v>
      </c>
      <c r="J759">
        <v>179.40600000000001</v>
      </c>
      <c r="K759">
        <v>60</v>
      </c>
    </row>
    <row r="760" spans="1:11">
      <c r="A760">
        <v>27075</v>
      </c>
      <c r="B760" t="s">
        <v>920</v>
      </c>
      <c r="C760" t="s">
        <v>526</v>
      </c>
      <c r="E760" t="s">
        <v>1056</v>
      </c>
      <c r="F760">
        <v>61</v>
      </c>
      <c r="G760">
        <v>1982</v>
      </c>
      <c r="H760">
        <v>922</v>
      </c>
      <c r="I760">
        <v>0</v>
      </c>
      <c r="J760">
        <v>0</v>
      </c>
      <c r="K760">
        <v>0</v>
      </c>
    </row>
    <row r="761" spans="1:11">
      <c r="A761">
        <v>98417</v>
      </c>
      <c r="B761" t="s">
        <v>921</v>
      </c>
      <c r="C761" t="s">
        <v>614</v>
      </c>
      <c r="D761" t="s">
        <v>107</v>
      </c>
      <c r="E761" t="s">
        <v>487</v>
      </c>
      <c r="F761">
        <v>64</v>
      </c>
      <c r="G761">
        <v>1953</v>
      </c>
      <c r="H761">
        <v>924</v>
      </c>
      <c r="I761">
        <v>0</v>
      </c>
      <c r="J761">
        <v>0</v>
      </c>
      <c r="K761">
        <v>0</v>
      </c>
    </row>
    <row r="762" spans="1:11">
      <c r="A762">
        <v>17008</v>
      </c>
      <c r="B762" t="s">
        <v>921</v>
      </c>
      <c r="C762" t="s">
        <v>1433</v>
      </c>
      <c r="D762" t="s">
        <v>107</v>
      </c>
      <c r="E762" t="s">
        <v>1401</v>
      </c>
      <c r="F762">
        <v>85</v>
      </c>
      <c r="G762">
        <v>1952</v>
      </c>
      <c r="H762">
        <v>923</v>
      </c>
      <c r="I762">
        <v>0</v>
      </c>
      <c r="J762">
        <v>0</v>
      </c>
      <c r="K762">
        <v>0</v>
      </c>
    </row>
    <row r="763" spans="1:11">
      <c r="A763">
        <v>17050</v>
      </c>
      <c r="B763" t="s">
        <v>1434</v>
      </c>
      <c r="C763" t="s">
        <v>572</v>
      </c>
      <c r="D763" t="s">
        <v>107</v>
      </c>
      <c r="E763" t="s">
        <v>1060</v>
      </c>
      <c r="F763">
        <v>70</v>
      </c>
      <c r="G763">
        <v>1936</v>
      </c>
      <c r="H763">
        <v>925</v>
      </c>
      <c r="I763">
        <v>0</v>
      </c>
      <c r="J763">
        <v>0</v>
      </c>
      <c r="K763">
        <v>0</v>
      </c>
    </row>
    <row r="764" spans="1:11">
      <c r="A764">
        <v>13046</v>
      </c>
      <c r="B764" t="s">
        <v>1098</v>
      </c>
      <c r="C764" t="s">
        <v>686</v>
      </c>
      <c r="E764" t="s">
        <v>470</v>
      </c>
      <c r="F764">
        <v>20</v>
      </c>
      <c r="G764">
        <v>1941</v>
      </c>
      <c r="H764">
        <v>475</v>
      </c>
      <c r="I764">
        <v>2.4060000000000001</v>
      </c>
      <c r="J764">
        <v>116.289</v>
      </c>
      <c r="K764">
        <v>0</v>
      </c>
    </row>
    <row r="765" spans="1:11">
      <c r="A765">
        <v>12084</v>
      </c>
      <c r="B765" t="s">
        <v>1099</v>
      </c>
      <c r="C765" t="s">
        <v>912</v>
      </c>
      <c r="E765" t="s">
        <v>484</v>
      </c>
      <c r="F765">
        <v>21</v>
      </c>
      <c r="G765">
        <v>1963</v>
      </c>
      <c r="H765">
        <v>926</v>
      </c>
      <c r="I765">
        <v>0</v>
      </c>
      <c r="J765">
        <v>0</v>
      </c>
      <c r="K765">
        <v>0</v>
      </c>
    </row>
    <row r="766" spans="1:11">
      <c r="A766">
        <v>19073</v>
      </c>
      <c r="B766" t="s">
        <v>1712</v>
      </c>
      <c r="C766" t="s">
        <v>509</v>
      </c>
      <c r="D766" t="s">
        <v>91</v>
      </c>
      <c r="E766" t="s">
        <v>1467</v>
      </c>
      <c r="F766">
        <v>89</v>
      </c>
      <c r="G766">
        <v>2009</v>
      </c>
      <c r="H766">
        <v>471</v>
      </c>
      <c r="I766">
        <v>2.141</v>
      </c>
      <c r="J766">
        <v>120.05</v>
      </c>
      <c r="K766">
        <v>30</v>
      </c>
    </row>
    <row r="767" spans="1:11">
      <c r="A767">
        <v>19074</v>
      </c>
      <c r="B767" t="s">
        <v>1712</v>
      </c>
      <c r="C767" t="s">
        <v>538</v>
      </c>
      <c r="E767" t="s">
        <v>1467</v>
      </c>
      <c r="F767">
        <v>89</v>
      </c>
      <c r="G767">
        <v>1965</v>
      </c>
      <c r="H767">
        <v>507</v>
      </c>
      <c r="I767">
        <v>2.625</v>
      </c>
      <c r="J767">
        <v>91.474000000000004</v>
      </c>
      <c r="K767">
        <v>0</v>
      </c>
    </row>
    <row r="768" spans="1:11">
      <c r="A768">
        <v>19072</v>
      </c>
      <c r="B768" t="s">
        <v>1713</v>
      </c>
      <c r="C768" t="s">
        <v>576</v>
      </c>
      <c r="D768" t="s">
        <v>107</v>
      </c>
      <c r="E768" t="s">
        <v>1467</v>
      </c>
      <c r="F768">
        <v>89</v>
      </c>
      <c r="G768">
        <v>1966</v>
      </c>
      <c r="H768">
        <v>579</v>
      </c>
      <c r="I768">
        <v>1.2190000000000001</v>
      </c>
      <c r="J768">
        <v>48.807000000000002</v>
      </c>
      <c r="K768">
        <v>0</v>
      </c>
    </row>
    <row r="769" spans="1:11">
      <c r="A769">
        <v>20539</v>
      </c>
      <c r="B769" t="s">
        <v>922</v>
      </c>
      <c r="C769" t="s">
        <v>503</v>
      </c>
      <c r="E769" t="s">
        <v>1617</v>
      </c>
      <c r="F769">
        <v>93</v>
      </c>
      <c r="G769">
        <v>1985</v>
      </c>
      <c r="H769">
        <v>302</v>
      </c>
      <c r="I769">
        <v>7.5940000000000003</v>
      </c>
      <c r="J769">
        <v>339.64800000000002</v>
      </c>
      <c r="K769">
        <v>121</v>
      </c>
    </row>
    <row r="770" spans="1:11">
      <c r="A770">
        <v>20540</v>
      </c>
      <c r="B770" t="s">
        <v>1714</v>
      </c>
      <c r="C770" t="s">
        <v>668</v>
      </c>
      <c r="D770" t="s">
        <v>107</v>
      </c>
      <c r="E770" t="s">
        <v>1617</v>
      </c>
      <c r="F770">
        <v>93</v>
      </c>
      <c r="G770">
        <v>1993</v>
      </c>
      <c r="H770">
        <v>927</v>
      </c>
      <c r="I770">
        <v>0</v>
      </c>
      <c r="J770">
        <v>0</v>
      </c>
      <c r="K770">
        <v>0</v>
      </c>
    </row>
    <row r="771" spans="1:11">
      <c r="A771">
        <v>96041</v>
      </c>
      <c r="B771" t="s">
        <v>923</v>
      </c>
      <c r="C771" t="s">
        <v>534</v>
      </c>
      <c r="D771" t="s">
        <v>107</v>
      </c>
      <c r="E771" t="s">
        <v>493</v>
      </c>
      <c r="F771">
        <v>1</v>
      </c>
      <c r="G771">
        <v>1955</v>
      </c>
      <c r="H771">
        <v>421</v>
      </c>
      <c r="I771">
        <v>2.8439999999999999</v>
      </c>
      <c r="J771">
        <v>178.50800000000001</v>
      </c>
      <c r="K771">
        <v>68</v>
      </c>
    </row>
    <row r="772" spans="1:11">
      <c r="A772">
        <v>14061</v>
      </c>
      <c r="B772" t="s">
        <v>1715</v>
      </c>
      <c r="C772" t="s">
        <v>519</v>
      </c>
      <c r="E772" t="s">
        <v>542</v>
      </c>
      <c r="F772">
        <v>73</v>
      </c>
      <c r="G772">
        <v>1951</v>
      </c>
      <c r="H772">
        <v>586</v>
      </c>
      <c r="I772">
        <v>1.3129999999999999</v>
      </c>
      <c r="J772">
        <v>41.564</v>
      </c>
      <c r="K772">
        <v>0</v>
      </c>
    </row>
    <row r="773" spans="1:11">
      <c r="A773">
        <v>20604</v>
      </c>
      <c r="B773" t="s">
        <v>1716</v>
      </c>
      <c r="C773" t="s">
        <v>1717</v>
      </c>
      <c r="E773" t="s">
        <v>1578</v>
      </c>
      <c r="F773">
        <v>95</v>
      </c>
      <c r="G773">
        <v>1968</v>
      </c>
      <c r="H773">
        <v>928</v>
      </c>
      <c r="I773">
        <v>0</v>
      </c>
      <c r="J773">
        <v>0</v>
      </c>
      <c r="K773">
        <v>0</v>
      </c>
    </row>
    <row r="774" spans="1:11">
      <c r="A774">
        <v>20536</v>
      </c>
      <c r="B774" t="s">
        <v>1435</v>
      </c>
      <c r="C774" t="s">
        <v>1205</v>
      </c>
      <c r="D774" t="s">
        <v>107</v>
      </c>
      <c r="E774" t="s">
        <v>1583</v>
      </c>
      <c r="F774">
        <v>92</v>
      </c>
      <c r="G774">
        <v>1990</v>
      </c>
      <c r="H774">
        <v>344</v>
      </c>
      <c r="I774">
        <v>5.125</v>
      </c>
      <c r="J774">
        <v>271.25900000000001</v>
      </c>
      <c r="K774">
        <v>113</v>
      </c>
    </row>
    <row r="775" spans="1:11">
      <c r="A775">
        <v>17090</v>
      </c>
      <c r="B775" t="s">
        <v>1435</v>
      </c>
      <c r="C775" t="s">
        <v>584</v>
      </c>
      <c r="D775" t="s">
        <v>107</v>
      </c>
      <c r="E775" t="s">
        <v>1583</v>
      </c>
      <c r="F775">
        <v>92</v>
      </c>
      <c r="G775">
        <v>1959</v>
      </c>
      <c r="H775">
        <v>123</v>
      </c>
      <c r="I775">
        <v>19.001999999999999</v>
      </c>
      <c r="J775">
        <v>1207.578</v>
      </c>
      <c r="K775">
        <v>519</v>
      </c>
    </row>
    <row r="776" spans="1:11">
      <c r="A776">
        <v>15084</v>
      </c>
      <c r="B776" t="s">
        <v>1319</v>
      </c>
      <c r="C776" t="s">
        <v>553</v>
      </c>
      <c r="E776" t="s">
        <v>1057</v>
      </c>
      <c r="F776">
        <v>2</v>
      </c>
      <c r="G776">
        <v>1965</v>
      </c>
      <c r="H776">
        <v>573</v>
      </c>
      <c r="I776">
        <v>1.4370000000000001</v>
      </c>
      <c r="J776">
        <v>51.360999999999997</v>
      </c>
      <c r="K776">
        <v>0</v>
      </c>
    </row>
    <row r="777" spans="1:11">
      <c r="A777">
        <v>18130</v>
      </c>
      <c r="B777" t="s">
        <v>1718</v>
      </c>
      <c r="C777" t="s">
        <v>541</v>
      </c>
      <c r="E777" t="s">
        <v>1583</v>
      </c>
      <c r="F777">
        <v>92</v>
      </c>
      <c r="G777">
        <v>1963</v>
      </c>
      <c r="H777">
        <v>124</v>
      </c>
      <c r="I777">
        <v>19.001999999999999</v>
      </c>
      <c r="J777">
        <v>1207.578</v>
      </c>
      <c r="K777">
        <v>519</v>
      </c>
    </row>
    <row r="778" spans="1:11">
      <c r="A778">
        <v>11040</v>
      </c>
      <c r="B778" t="s">
        <v>924</v>
      </c>
      <c r="C778" t="s">
        <v>925</v>
      </c>
      <c r="E778" t="s">
        <v>493</v>
      </c>
      <c r="F778">
        <v>1</v>
      </c>
      <c r="G778">
        <v>2002</v>
      </c>
      <c r="H778">
        <v>929</v>
      </c>
      <c r="I778">
        <v>0</v>
      </c>
      <c r="J778">
        <v>0</v>
      </c>
      <c r="K778">
        <v>0</v>
      </c>
    </row>
    <row r="779" spans="1:11">
      <c r="A779">
        <v>15056</v>
      </c>
      <c r="B779" t="s">
        <v>1436</v>
      </c>
      <c r="C779" t="s">
        <v>544</v>
      </c>
      <c r="D779" t="s">
        <v>107</v>
      </c>
      <c r="E779" t="s">
        <v>493</v>
      </c>
      <c r="F779">
        <v>1</v>
      </c>
      <c r="G779">
        <v>2002</v>
      </c>
      <c r="H779">
        <v>930</v>
      </c>
      <c r="I779">
        <v>0</v>
      </c>
      <c r="J779">
        <v>0</v>
      </c>
      <c r="K779">
        <v>0</v>
      </c>
    </row>
    <row r="780" spans="1:11">
      <c r="A780">
        <v>20609</v>
      </c>
      <c r="B780" t="s">
        <v>1719</v>
      </c>
      <c r="C780" t="s">
        <v>559</v>
      </c>
      <c r="E780" t="s">
        <v>1578</v>
      </c>
      <c r="F780">
        <v>95</v>
      </c>
      <c r="G780">
        <v>1960</v>
      </c>
      <c r="H780">
        <v>931</v>
      </c>
      <c r="I780">
        <v>0</v>
      </c>
      <c r="J780">
        <v>0</v>
      </c>
      <c r="K780">
        <v>0</v>
      </c>
    </row>
    <row r="781" spans="1:11">
      <c r="A781">
        <v>16109</v>
      </c>
      <c r="B781" t="s">
        <v>1320</v>
      </c>
      <c r="C781" t="s">
        <v>1272</v>
      </c>
      <c r="D781" t="s">
        <v>107</v>
      </c>
      <c r="E781" t="s">
        <v>542</v>
      </c>
      <c r="F781">
        <v>73</v>
      </c>
      <c r="G781">
        <v>1949</v>
      </c>
      <c r="H781">
        <v>94</v>
      </c>
      <c r="I781">
        <v>21.501999999999999</v>
      </c>
      <c r="J781">
        <v>1441.7850000000001</v>
      </c>
      <c r="K781">
        <v>553</v>
      </c>
    </row>
    <row r="782" spans="1:11">
      <c r="A782">
        <v>14098</v>
      </c>
      <c r="B782" t="s">
        <v>1321</v>
      </c>
      <c r="C782" t="s">
        <v>538</v>
      </c>
      <c r="E782" t="s">
        <v>164</v>
      </c>
      <c r="F782">
        <v>52</v>
      </c>
      <c r="G782">
        <v>1980</v>
      </c>
      <c r="H782">
        <v>410</v>
      </c>
      <c r="I782">
        <v>4.0949999999999998</v>
      </c>
      <c r="J782">
        <v>189.273</v>
      </c>
      <c r="K782">
        <v>36</v>
      </c>
    </row>
    <row r="783" spans="1:11">
      <c r="A783">
        <v>18085</v>
      </c>
      <c r="B783" t="s">
        <v>1100</v>
      </c>
      <c r="C783" t="s">
        <v>520</v>
      </c>
      <c r="E783" t="s">
        <v>1467</v>
      </c>
      <c r="F783">
        <v>89</v>
      </c>
      <c r="G783">
        <v>1948</v>
      </c>
      <c r="H783">
        <v>932</v>
      </c>
      <c r="I783">
        <v>0</v>
      </c>
      <c r="J783">
        <v>0</v>
      </c>
      <c r="K783">
        <v>0</v>
      </c>
    </row>
    <row r="784" spans="1:11">
      <c r="A784">
        <v>15009</v>
      </c>
      <c r="B784" t="s">
        <v>1322</v>
      </c>
      <c r="C784" t="s">
        <v>511</v>
      </c>
      <c r="E784" t="s">
        <v>1081</v>
      </c>
      <c r="F784">
        <v>15</v>
      </c>
      <c r="G784">
        <v>1995</v>
      </c>
      <c r="H784">
        <v>46</v>
      </c>
      <c r="I784">
        <v>32.688000000000002</v>
      </c>
      <c r="J784">
        <v>1889.4280000000001</v>
      </c>
      <c r="K784">
        <v>603</v>
      </c>
    </row>
    <row r="785" spans="1:11">
      <c r="A785">
        <v>15008</v>
      </c>
      <c r="B785" t="s">
        <v>1322</v>
      </c>
      <c r="C785" t="s">
        <v>760</v>
      </c>
      <c r="E785" t="s">
        <v>1081</v>
      </c>
      <c r="F785">
        <v>15</v>
      </c>
      <c r="G785">
        <v>1995</v>
      </c>
      <c r="H785">
        <v>87</v>
      </c>
      <c r="I785">
        <v>26.844999999999999</v>
      </c>
      <c r="J785">
        <v>1495.9090000000001</v>
      </c>
      <c r="K785">
        <v>418</v>
      </c>
    </row>
    <row r="786" spans="1:11">
      <c r="A786">
        <v>20618</v>
      </c>
      <c r="B786" t="s">
        <v>1720</v>
      </c>
      <c r="C786" t="s">
        <v>891</v>
      </c>
      <c r="D786" t="s">
        <v>91</v>
      </c>
      <c r="E786" t="s">
        <v>1578</v>
      </c>
      <c r="F786">
        <v>95</v>
      </c>
      <c r="G786">
        <v>2009</v>
      </c>
      <c r="H786">
        <v>933</v>
      </c>
      <c r="I786">
        <v>0</v>
      </c>
      <c r="J786">
        <v>0</v>
      </c>
      <c r="K786">
        <v>0</v>
      </c>
    </row>
    <row r="787" spans="1:11">
      <c r="A787">
        <v>18128</v>
      </c>
      <c r="B787" t="s">
        <v>1721</v>
      </c>
      <c r="C787" t="s">
        <v>501</v>
      </c>
      <c r="E787" t="s">
        <v>1393</v>
      </c>
      <c r="F787">
        <v>86</v>
      </c>
      <c r="G787">
        <v>1990</v>
      </c>
      <c r="H787">
        <v>934</v>
      </c>
      <c r="I787">
        <v>0</v>
      </c>
      <c r="J787">
        <v>0</v>
      </c>
      <c r="K787">
        <v>0</v>
      </c>
    </row>
    <row r="788" spans="1:11">
      <c r="A788">
        <v>15081</v>
      </c>
      <c r="B788" t="s">
        <v>1102</v>
      </c>
      <c r="C788" t="s">
        <v>509</v>
      </c>
      <c r="E788" t="s">
        <v>1057</v>
      </c>
      <c r="F788">
        <v>2</v>
      </c>
      <c r="G788">
        <v>1992</v>
      </c>
      <c r="H788">
        <v>628</v>
      </c>
      <c r="I788">
        <v>0.65600000000000003</v>
      </c>
      <c r="J788">
        <v>19.134</v>
      </c>
      <c r="K788">
        <v>0</v>
      </c>
    </row>
    <row r="789" spans="1:11">
      <c r="A789">
        <v>26001</v>
      </c>
      <c r="B789" t="s">
        <v>926</v>
      </c>
      <c r="C789" t="s">
        <v>638</v>
      </c>
      <c r="D789" t="s">
        <v>107</v>
      </c>
      <c r="E789" t="s">
        <v>198</v>
      </c>
      <c r="F789">
        <v>17</v>
      </c>
      <c r="G789">
        <v>1997</v>
      </c>
      <c r="H789">
        <v>935</v>
      </c>
      <c r="I789">
        <v>0</v>
      </c>
      <c r="J789">
        <v>0</v>
      </c>
      <c r="K789">
        <v>0</v>
      </c>
    </row>
    <row r="790" spans="1:11">
      <c r="A790">
        <v>20521</v>
      </c>
      <c r="B790" t="s">
        <v>1323</v>
      </c>
      <c r="C790" t="s">
        <v>559</v>
      </c>
      <c r="E790" t="s">
        <v>1062</v>
      </c>
      <c r="F790">
        <v>76</v>
      </c>
      <c r="G790">
        <v>1942</v>
      </c>
      <c r="H790">
        <v>936</v>
      </c>
      <c r="I790">
        <v>0</v>
      </c>
      <c r="J790">
        <v>0</v>
      </c>
      <c r="K790">
        <v>0</v>
      </c>
    </row>
    <row r="791" spans="1:11">
      <c r="A791">
        <v>12022</v>
      </c>
      <c r="B791" t="s">
        <v>927</v>
      </c>
      <c r="C791" t="s">
        <v>757</v>
      </c>
      <c r="D791" t="s">
        <v>107</v>
      </c>
      <c r="E791" t="s">
        <v>198</v>
      </c>
      <c r="F791">
        <v>17</v>
      </c>
      <c r="G791">
        <v>1986</v>
      </c>
      <c r="H791">
        <v>5</v>
      </c>
      <c r="I791">
        <v>48</v>
      </c>
      <c r="J791">
        <v>3254.8670000000002</v>
      </c>
      <c r="K791">
        <v>1345</v>
      </c>
    </row>
    <row r="792" spans="1:11">
      <c r="A792">
        <v>13041</v>
      </c>
      <c r="B792" t="s">
        <v>1103</v>
      </c>
      <c r="C792" t="s">
        <v>506</v>
      </c>
      <c r="D792" t="s">
        <v>107</v>
      </c>
      <c r="E792" t="s">
        <v>493</v>
      </c>
      <c r="F792">
        <v>1</v>
      </c>
      <c r="G792">
        <v>1959</v>
      </c>
      <c r="H792">
        <v>72</v>
      </c>
      <c r="I792">
        <v>24.437999999999999</v>
      </c>
      <c r="J792">
        <v>1647.5820000000001</v>
      </c>
      <c r="K792">
        <v>600</v>
      </c>
    </row>
    <row r="793" spans="1:11">
      <c r="A793">
        <v>16145</v>
      </c>
      <c r="B793" t="s">
        <v>1437</v>
      </c>
      <c r="C793" t="s">
        <v>503</v>
      </c>
      <c r="E793" t="s">
        <v>481</v>
      </c>
      <c r="F793">
        <v>69</v>
      </c>
      <c r="G793">
        <v>1981</v>
      </c>
      <c r="H793">
        <v>359</v>
      </c>
      <c r="I793">
        <v>5.1879999999999997</v>
      </c>
      <c r="J793">
        <v>246.941</v>
      </c>
      <c r="K793">
        <v>83</v>
      </c>
    </row>
    <row r="794" spans="1:11">
      <c r="A794">
        <v>17094</v>
      </c>
      <c r="B794" t="s">
        <v>1539</v>
      </c>
      <c r="C794" t="s">
        <v>657</v>
      </c>
      <c r="D794" t="s">
        <v>107</v>
      </c>
      <c r="E794" t="s">
        <v>481</v>
      </c>
      <c r="F794">
        <v>69</v>
      </c>
      <c r="G794">
        <v>2001</v>
      </c>
      <c r="H794">
        <v>937</v>
      </c>
      <c r="I794">
        <v>0</v>
      </c>
      <c r="J794">
        <v>0</v>
      </c>
      <c r="K794">
        <v>0</v>
      </c>
    </row>
    <row r="795" spans="1:11">
      <c r="A795">
        <v>96050</v>
      </c>
      <c r="B795" t="s">
        <v>928</v>
      </c>
      <c r="C795" t="s">
        <v>1540</v>
      </c>
      <c r="E795" t="s">
        <v>484</v>
      </c>
      <c r="F795">
        <v>21</v>
      </c>
      <c r="G795">
        <v>1928</v>
      </c>
      <c r="H795">
        <v>938</v>
      </c>
      <c r="I795">
        <v>0</v>
      </c>
      <c r="J795">
        <v>0</v>
      </c>
      <c r="K795">
        <v>0</v>
      </c>
    </row>
    <row r="796" spans="1:11">
      <c r="A796">
        <v>12049</v>
      </c>
      <c r="B796" t="s">
        <v>929</v>
      </c>
      <c r="C796" t="s">
        <v>526</v>
      </c>
      <c r="E796" t="s">
        <v>170</v>
      </c>
      <c r="F796">
        <v>14</v>
      </c>
      <c r="G796">
        <v>1982</v>
      </c>
      <c r="H796">
        <v>148</v>
      </c>
      <c r="I796">
        <v>18.812999999999999</v>
      </c>
      <c r="J796">
        <v>1011.9059999999999</v>
      </c>
      <c r="K796">
        <v>252</v>
      </c>
    </row>
    <row r="797" spans="1:11">
      <c r="A797">
        <v>19038</v>
      </c>
      <c r="B797" t="s">
        <v>1324</v>
      </c>
      <c r="C797" t="s">
        <v>538</v>
      </c>
      <c r="E797" t="s">
        <v>1067</v>
      </c>
      <c r="F797">
        <v>66</v>
      </c>
      <c r="G797">
        <v>1968</v>
      </c>
      <c r="H797">
        <v>220</v>
      </c>
      <c r="I797">
        <v>12.750999999999999</v>
      </c>
      <c r="J797">
        <v>604.93399999999997</v>
      </c>
      <c r="K797">
        <v>158</v>
      </c>
    </row>
    <row r="798" spans="1:11">
      <c r="A798">
        <v>19053</v>
      </c>
      <c r="B798" t="s">
        <v>1722</v>
      </c>
      <c r="C798" t="s">
        <v>553</v>
      </c>
      <c r="E798" t="s">
        <v>1467</v>
      </c>
      <c r="F798">
        <v>89</v>
      </c>
      <c r="G798">
        <v>1967</v>
      </c>
      <c r="H798">
        <v>299</v>
      </c>
      <c r="I798">
        <v>7.4690000000000003</v>
      </c>
      <c r="J798">
        <v>346.90800000000002</v>
      </c>
      <c r="K798">
        <v>50</v>
      </c>
    </row>
    <row r="799" spans="1:11">
      <c r="A799">
        <v>27051</v>
      </c>
      <c r="B799" t="s">
        <v>930</v>
      </c>
      <c r="C799" t="s">
        <v>507</v>
      </c>
      <c r="D799" t="s">
        <v>107</v>
      </c>
      <c r="E799" t="s">
        <v>493</v>
      </c>
      <c r="F799">
        <v>1</v>
      </c>
      <c r="G799">
        <v>1953</v>
      </c>
      <c r="H799">
        <v>409</v>
      </c>
      <c r="I799">
        <v>3.782</v>
      </c>
      <c r="J799">
        <v>190.29900000000001</v>
      </c>
      <c r="K799">
        <v>52</v>
      </c>
    </row>
    <row r="800" spans="1:11">
      <c r="A800">
        <v>15055</v>
      </c>
      <c r="B800" t="s">
        <v>931</v>
      </c>
      <c r="C800" t="s">
        <v>501</v>
      </c>
      <c r="D800" t="s">
        <v>91</v>
      </c>
      <c r="E800" t="s">
        <v>493</v>
      </c>
      <c r="F800">
        <v>1</v>
      </c>
      <c r="G800">
        <v>2005</v>
      </c>
      <c r="H800">
        <v>188</v>
      </c>
      <c r="I800">
        <v>11.172000000000001</v>
      </c>
      <c r="J800">
        <v>748.70100000000002</v>
      </c>
      <c r="K800">
        <v>274</v>
      </c>
    </row>
    <row r="801" spans="1:11">
      <c r="A801">
        <v>27015</v>
      </c>
      <c r="B801" t="s">
        <v>931</v>
      </c>
      <c r="C801" t="s">
        <v>502</v>
      </c>
      <c r="E801" t="s">
        <v>493</v>
      </c>
      <c r="F801">
        <v>1</v>
      </c>
      <c r="G801">
        <v>1997</v>
      </c>
      <c r="H801">
        <v>57</v>
      </c>
      <c r="I801">
        <v>32.563000000000002</v>
      </c>
      <c r="J801">
        <v>1762.44</v>
      </c>
      <c r="K801">
        <v>347</v>
      </c>
    </row>
    <row r="802" spans="1:11">
      <c r="A802">
        <v>28024</v>
      </c>
      <c r="B802" t="s">
        <v>932</v>
      </c>
      <c r="C802" t="s">
        <v>633</v>
      </c>
      <c r="E802" t="s">
        <v>475</v>
      </c>
      <c r="F802">
        <v>27</v>
      </c>
      <c r="G802">
        <v>1957</v>
      </c>
      <c r="H802">
        <v>939</v>
      </c>
      <c r="I802">
        <v>0</v>
      </c>
      <c r="J802">
        <v>0</v>
      </c>
      <c r="K802">
        <v>0</v>
      </c>
    </row>
    <row r="803" spans="1:11">
      <c r="A803">
        <v>16053</v>
      </c>
      <c r="B803" t="s">
        <v>1325</v>
      </c>
      <c r="C803" t="s">
        <v>538</v>
      </c>
      <c r="E803" t="s">
        <v>1188</v>
      </c>
      <c r="F803">
        <v>82</v>
      </c>
      <c r="G803">
        <v>1967</v>
      </c>
      <c r="H803">
        <v>169</v>
      </c>
      <c r="I803">
        <v>13.125</v>
      </c>
      <c r="J803">
        <v>843.45299999999997</v>
      </c>
      <c r="K803">
        <v>306</v>
      </c>
    </row>
    <row r="804" spans="1:11">
      <c r="A804">
        <v>20507</v>
      </c>
      <c r="B804" t="s">
        <v>1723</v>
      </c>
      <c r="C804" t="s">
        <v>1724</v>
      </c>
      <c r="E804" t="s">
        <v>216</v>
      </c>
      <c r="F804">
        <v>33</v>
      </c>
      <c r="G804">
        <v>1947</v>
      </c>
      <c r="H804">
        <v>940</v>
      </c>
      <c r="I804">
        <v>0</v>
      </c>
      <c r="J804">
        <v>0</v>
      </c>
      <c r="K804">
        <v>0</v>
      </c>
    </row>
    <row r="805" spans="1:11">
      <c r="A805">
        <v>96095</v>
      </c>
      <c r="B805" t="s">
        <v>934</v>
      </c>
      <c r="C805" t="s">
        <v>633</v>
      </c>
      <c r="E805" t="s">
        <v>1573</v>
      </c>
      <c r="F805">
        <v>16</v>
      </c>
      <c r="G805">
        <v>1968</v>
      </c>
      <c r="H805">
        <v>494</v>
      </c>
      <c r="I805">
        <v>3.5</v>
      </c>
      <c r="J805">
        <v>102.05</v>
      </c>
      <c r="K805">
        <v>0</v>
      </c>
    </row>
    <row r="806" spans="1:11">
      <c r="A806">
        <v>14055</v>
      </c>
      <c r="B806" t="s">
        <v>934</v>
      </c>
      <c r="C806" t="s">
        <v>538</v>
      </c>
      <c r="E806" t="s">
        <v>635</v>
      </c>
      <c r="F806">
        <v>68</v>
      </c>
      <c r="G806">
        <v>1956</v>
      </c>
      <c r="H806">
        <v>245</v>
      </c>
      <c r="I806">
        <v>10.72</v>
      </c>
      <c r="J806">
        <v>488.23</v>
      </c>
      <c r="K806">
        <v>79</v>
      </c>
    </row>
    <row r="807" spans="1:11">
      <c r="A807">
        <v>16117</v>
      </c>
      <c r="B807" t="s">
        <v>934</v>
      </c>
      <c r="C807" t="s">
        <v>580</v>
      </c>
      <c r="E807" t="s">
        <v>635</v>
      </c>
      <c r="F807">
        <v>68</v>
      </c>
      <c r="G807">
        <v>1955</v>
      </c>
      <c r="H807">
        <v>114</v>
      </c>
      <c r="I807">
        <v>17.346</v>
      </c>
      <c r="J807">
        <v>1297.0909999999999</v>
      </c>
      <c r="K807">
        <v>575</v>
      </c>
    </row>
    <row r="808" spans="1:11">
      <c r="A808">
        <v>10092</v>
      </c>
      <c r="B808" t="s">
        <v>935</v>
      </c>
      <c r="C808" t="s">
        <v>936</v>
      </c>
      <c r="D808" t="s">
        <v>107</v>
      </c>
      <c r="E808" t="s">
        <v>481</v>
      </c>
      <c r="F808">
        <v>69</v>
      </c>
      <c r="G808">
        <v>1957</v>
      </c>
      <c r="H808">
        <v>644</v>
      </c>
      <c r="I808">
        <v>0.875</v>
      </c>
      <c r="J808">
        <v>12.576000000000001</v>
      </c>
      <c r="K808">
        <v>0</v>
      </c>
    </row>
    <row r="809" spans="1:11">
      <c r="A809">
        <v>11051</v>
      </c>
      <c r="B809" t="s">
        <v>937</v>
      </c>
      <c r="C809" t="s">
        <v>553</v>
      </c>
      <c r="E809" t="s">
        <v>155</v>
      </c>
      <c r="F809">
        <v>22</v>
      </c>
      <c r="G809">
        <v>1970</v>
      </c>
      <c r="H809">
        <v>941</v>
      </c>
      <c r="I809">
        <v>0</v>
      </c>
      <c r="J809">
        <v>0</v>
      </c>
      <c r="K809">
        <v>0</v>
      </c>
    </row>
    <row r="810" spans="1:11">
      <c r="A810">
        <v>96024</v>
      </c>
      <c r="B810" t="s">
        <v>938</v>
      </c>
      <c r="C810" t="s">
        <v>538</v>
      </c>
      <c r="E810" t="s">
        <v>688</v>
      </c>
      <c r="F810">
        <v>10</v>
      </c>
      <c r="G810">
        <v>1963</v>
      </c>
      <c r="H810">
        <v>470</v>
      </c>
      <c r="I810">
        <v>3.0630000000000002</v>
      </c>
      <c r="J810">
        <v>120.155</v>
      </c>
      <c r="K810">
        <v>0</v>
      </c>
    </row>
    <row r="811" spans="1:11">
      <c r="A811">
        <v>96152</v>
      </c>
      <c r="B811" t="s">
        <v>938</v>
      </c>
      <c r="C811" t="s">
        <v>521</v>
      </c>
      <c r="E811" t="s">
        <v>688</v>
      </c>
      <c r="F811">
        <v>10</v>
      </c>
      <c r="G811">
        <v>1987</v>
      </c>
      <c r="H811">
        <v>184</v>
      </c>
      <c r="I811">
        <v>18</v>
      </c>
      <c r="J811">
        <v>777.505</v>
      </c>
      <c r="K811">
        <v>113</v>
      </c>
    </row>
    <row r="812" spans="1:11">
      <c r="A812">
        <v>96025</v>
      </c>
      <c r="B812" t="s">
        <v>939</v>
      </c>
      <c r="C812" t="s">
        <v>604</v>
      </c>
      <c r="D812" t="s">
        <v>107</v>
      </c>
      <c r="E812" t="s">
        <v>688</v>
      </c>
      <c r="F812">
        <v>10</v>
      </c>
      <c r="G812">
        <v>1965</v>
      </c>
      <c r="H812">
        <v>501</v>
      </c>
      <c r="I812">
        <v>3.4689999999999999</v>
      </c>
      <c r="J812">
        <v>95.695999999999998</v>
      </c>
      <c r="K812">
        <v>0</v>
      </c>
    </row>
    <row r="813" spans="1:11">
      <c r="A813">
        <v>18143</v>
      </c>
      <c r="B813" t="s">
        <v>1541</v>
      </c>
      <c r="C813" t="s">
        <v>717</v>
      </c>
      <c r="D813" t="s">
        <v>107</v>
      </c>
      <c r="E813" t="s">
        <v>1477</v>
      </c>
      <c r="F813">
        <v>91</v>
      </c>
      <c r="G813">
        <v>1964</v>
      </c>
      <c r="H813">
        <v>611</v>
      </c>
      <c r="I813">
        <v>0.625</v>
      </c>
      <c r="J813">
        <v>25.780999999999999</v>
      </c>
      <c r="K813">
        <v>0</v>
      </c>
    </row>
    <row r="814" spans="1:11">
      <c r="A814">
        <v>18098</v>
      </c>
      <c r="B814" t="s">
        <v>1542</v>
      </c>
      <c r="C814" t="s">
        <v>504</v>
      </c>
      <c r="E814" t="s">
        <v>1057</v>
      </c>
      <c r="F814">
        <v>2</v>
      </c>
      <c r="G814">
        <v>1978</v>
      </c>
      <c r="H814">
        <v>310</v>
      </c>
      <c r="I814">
        <v>8.9380000000000006</v>
      </c>
      <c r="J814">
        <v>333.51600000000002</v>
      </c>
      <c r="K814">
        <v>0</v>
      </c>
    </row>
    <row r="815" spans="1:11">
      <c r="A815">
        <v>16132</v>
      </c>
      <c r="B815" t="s">
        <v>1438</v>
      </c>
      <c r="C815" t="s">
        <v>1108</v>
      </c>
      <c r="D815" t="s">
        <v>610</v>
      </c>
      <c r="E815" t="s">
        <v>1057</v>
      </c>
      <c r="F815">
        <v>2</v>
      </c>
      <c r="G815">
        <v>2008</v>
      </c>
      <c r="H815">
        <v>489</v>
      </c>
      <c r="I815">
        <v>3</v>
      </c>
      <c r="J815">
        <v>104.81399999999999</v>
      </c>
      <c r="K815">
        <v>0</v>
      </c>
    </row>
    <row r="816" spans="1:11">
      <c r="A816">
        <v>16133</v>
      </c>
      <c r="B816" t="s">
        <v>1438</v>
      </c>
      <c r="C816" t="s">
        <v>1439</v>
      </c>
      <c r="D816" t="s">
        <v>610</v>
      </c>
      <c r="E816" t="s">
        <v>1057</v>
      </c>
      <c r="F816">
        <v>2</v>
      </c>
      <c r="G816">
        <v>2005</v>
      </c>
      <c r="H816">
        <v>277</v>
      </c>
      <c r="I816">
        <v>7.8129999999999997</v>
      </c>
      <c r="J816">
        <v>417.661</v>
      </c>
      <c r="K816">
        <v>107</v>
      </c>
    </row>
    <row r="817" spans="1:11">
      <c r="A817">
        <v>96129</v>
      </c>
      <c r="B817" t="s">
        <v>940</v>
      </c>
      <c r="C817" t="s">
        <v>600</v>
      </c>
      <c r="E817" t="s">
        <v>478</v>
      </c>
      <c r="F817">
        <v>7</v>
      </c>
      <c r="G817">
        <v>1971</v>
      </c>
      <c r="H817">
        <v>942</v>
      </c>
      <c r="I817">
        <v>0</v>
      </c>
      <c r="J817">
        <v>0</v>
      </c>
      <c r="K817">
        <v>0</v>
      </c>
    </row>
    <row r="818" spans="1:11">
      <c r="A818">
        <v>28047</v>
      </c>
      <c r="B818" t="s">
        <v>941</v>
      </c>
      <c r="C818" t="s">
        <v>942</v>
      </c>
      <c r="E818" t="s">
        <v>472</v>
      </c>
      <c r="F818">
        <v>54</v>
      </c>
      <c r="G818">
        <v>1962</v>
      </c>
      <c r="H818">
        <v>204</v>
      </c>
      <c r="I818">
        <v>7.5</v>
      </c>
      <c r="J818">
        <v>674.02200000000005</v>
      </c>
      <c r="K818">
        <v>335</v>
      </c>
    </row>
    <row r="819" spans="1:11">
      <c r="A819">
        <v>29023</v>
      </c>
      <c r="B819" t="s">
        <v>943</v>
      </c>
      <c r="C819" t="s">
        <v>520</v>
      </c>
      <c r="E819" t="s">
        <v>1045</v>
      </c>
      <c r="F819">
        <v>56</v>
      </c>
      <c r="G819">
        <v>1947</v>
      </c>
      <c r="H819">
        <v>387</v>
      </c>
      <c r="I819">
        <v>5.7809999999999997</v>
      </c>
      <c r="J819">
        <v>216.66200000000001</v>
      </c>
      <c r="K819">
        <v>0</v>
      </c>
    </row>
    <row r="820" spans="1:11">
      <c r="A820">
        <v>11013</v>
      </c>
      <c r="B820" t="s">
        <v>944</v>
      </c>
      <c r="C820" t="s">
        <v>523</v>
      </c>
      <c r="D820" t="s">
        <v>107</v>
      </c>
      <c r="E820" t="s">
        <v>1045</v>
      </c>
      <c r="F820">
        <v>56</v>
      </c>
      <c r="G820">
        <v>1948</v>
      </c>
      <c r="H820">
        <v>473</v>
      </c>
      <c r="I820">
        <v>3.5640000000000001</v>
      </c>
      <c r="J820">
        <v>118.242</v>
      </c>
      <c r="K820">
        <v>0</v>
      </c>
    </row>
    <row r="821" spans="1:11">
      <c r="A821">
        <v>12064</v>
      </c>
      <c r="B821" t="s">
        <v>945</v>
      </c>
      <c r="C821" t="s">
        <v>553</v>
      </c>
      <c r="E821" t="s">
        <v>1065</v>
      </c>
      <c r="F821">
        <v>74</v>
      </c>
      <c r="G821">
        <v>1981</v>
      </c>
      <c r="H821">
        <v>234</v>
      </c>
      <c r="I821">
        <v>8.875</v>
      </c>
      <c r="J821">
        <v>518.56299999999999</v>
      </c>
      <c r="K821">
        <v>233</v>
      </c>
    </row>
    <row r="822" spans="1:11">
      <c r="A822">
        <v>22990</v>
      </c>
      <c r="B822" t="s">
        <v>945</v>
      </c>
      <c r="C822" t="s">
        <v>600</v>
      </c>
      <c r="E822" t="s">
        <v>518</v>
      </c>
      <c r="F822">
        <v>29</v>
      </c>
      <c r="G822">
        <v>1967</v>
      </c>
      <c r="H822">
        <v>355</v>
      </c>
      <c r="I822">
        <v>4.8449999999999998</v>
      </c>
      <c r="J822">
        <v>252.24799999999999</v>
      </c>
      <c r="K822">
        <v>62</v>
      </c>
    </row>
    <row r="823" spans="1:11">
      <c r="A823">
        <v>28055</v>
      </c>
      <c r="B823" t="s">
        <v>946</v>
      </c>
      <c r="C823" t="s">
        <v>775</v>
      </c>
      <c r="D823" t="s">
        <v>107</v>
      </c>
      <c r="E823" t="s">
        <v>1045</v>
      </c>
      <c r="F823">
        <v>56</v>
      </c>
      <c r="G823">
        <v>1970</v>
      </c>
      <c r="H823">
        <v>91</v>
      </c>
      <c r="I823">
        <v>23.939</v>
      </c>
      <c r="J823">
        <v>1472.508</v>
      </c>
      <c r="K823">
        <v>581</v>
      </c>
    </row>
    <row r="824" spans="1:11">
      <c r="A824">
        <v>10093</v>
      </c>
      <c r="B824" t="s">
        <v>947</v>
      </c>
      <c r="C824" t="s">
        <v>651</v>
      </c>
      <c r="E824" t="s">
        <v>481</v>
      </c>
      <c r="F824">
        <v>69</v>
      </c>
      <c r="G824">
        <v>1947</v>
      </c>
      <c r="H824">
        <v>308</v>
      </c>
      <c r="I824">
        <v>6.9379999999999997</v>
      </c>
      <c r="J824">
        <v>335.35199999999998</v>
      </c>
      <c r="K824">
        <v>113</v>
      </c>
    </row>
    <row r="825" spans="1:11">
      <c r="A825">
        <v>96042</v>
      </c>
      <c r="B825" t="s">
        <v>948</v>
      </c>
      <c r="C825" t="s">
        <v>507</v>
      </c>
      <c r="D825" t="s">
        <v>107</v>
      </c>
      <c r="E825" t="s">
        <v>493</v>
      </c>
      <c r="F825">
        <v>1</v>
      </c>
      <c r="G825">
        <v>1963</v>
      </c>
      <c r="H825">
        <v>405</v>
      </c>
      <c r="I825">
        <v>3.375</v>
      </c>
      <c r="J825">
        <v>194.31100000000001</v>
      </c>
      <c r="K825">
        <v>68</v>
      </c>
    </row>
    <row r="826" spans="1:11">
      <c r="A826">
        <v>20500</v>
      </c>
      <c r="B826" t="s">
        <v>948</v>
      </c>
      <c r="C826" t="s">
        <v>536</v>
      </c>
      <c r="D826" t="s">
        <v>107</v>
      </c>
      <c r="E826" t="s">
        <v>493</v>
      </c>
      <c r="F826">
        <v>1</v>
      </c>
      <c r="G826">
        <v>1971</v>
      </c>
      <c r="H826">
        <v>943</v>
      </c>
      <c r="I826">
        <v>0</v>
      </c>
      <c r="J826">
        <v>0</v>
      </c>
      <c r="K826">
        <v>0</v>
      </c>
    </row>
    <row r="827" spans="1:11">
      <c r="A827">
        <v>20559</v>
      </c>
      <c r="B827" t="s">
        <v>1440</v>
      </c>
      <c r="C827" t="s">
        <v>1441</v>
      </c>
      <c r="D827" t="s">
        <v>91</v>
      </c>
      <c r="E827" t="s">
        <v>1574</v>
      </c>
      <c r="F827">
        <v>94</v>
      </c>
      <c r="G827">
        <v>2004</v>
      </c>
      <c r="H827">
        <v>465</v>
      </c>
      <c r="I827">
        <v>3.6880000000000002</v>
      </c>
      <c r="J827">
        <v>126.46299999999999</v>
      </c>
      <c r="K827">
        <v>0</v>
      </c>
    </row>
    <row r="828" spans="1:11">
      <c r="A828">
        <v>18110</v>
      </c>
      <c r="B828" t="s">
        <v>1543</v>
      </c>
      <c r="C828" t="s">
        <v>519</v>
      </c>
      <c r="E828" t="s">
        <v>488</v>
      </c>
      <c r="F828">
        <v>31</v>
      </c>
      <c r="G828">
        <v>1979</v>
      </c>
      <c r="H828">
        <v>944</v>
      </c>
      <c r="I828">
        <v>0</v>
      </c>
      <c r="J828">
        <v>0</v>
      </c>
      <c r="K828">
        <v>0</v>
      </c>
    </row>
    <row r="829" spans="1:11">
      <c r="A829">
        <v>21756</v>
      </c>
      <c r="B829" t="s">
        <v>1326</v>
      </c>
      <c r="C829" t="s">
        <v>588</v>
      </c>
      <c r="D829" t="s">
        <v>107</v>
      </c>
      <c r="E829" t="s">
        <v>488</v>
      </c>
      <c r="F829">
        <v>31</v>
      </c>
      <c r="G829">
        <v>1985</v>
      </c>
      <c r="H829">
        <v>385</v>
      </c>
      <c r="I829">
        <v>3.234</v>
      </c>
      <c r="J829">
        <v>217.68899999999999</v>
      </c>
      <c r="K829">
        <v>99</v>
      </c>
    </row>
    <row r="830" spans="1:11">
      <c r="A830">
        <v>99596</v>
      </c>
      <c r="B830" t="s">
        <v>1725</v>
      </c>
      <c r="C830" t="s">
        <v>519</v>
      </c>
      <c r="E830" t="s">
        <v>200</v>
      </c>
      <c r="F830">
        <v>19</v>
      </c>
      <c r="G830">
        <v>1952</v>
      </c>
      <c r="H830">
        <v>590</v>
      </c>
      <c r="I830">
        <v>1.25</v>
      </c>
      <c r="J830">
        <v>40.805999999999997</v>
      </c>
      <c r="K830">
        <v>0</v>
      </c>
    </row>
    <row r="831" spans="1:11">
      <c r="A831">
        <v>17045</v>
      </c>
      <c r="B831" t="s">
        <v>1442</v>
      </c>
      <c r="C831" t="s">
        <v>888</v>
      </c>
      <c r="D831" t="s">
        <v>610</v>
      </c>
      <c r="E831" t="s">
        <v>489</v>
      </c>
      <c r="F831">
        <v>51</v>
      </c>
      <c r="G831">
        <v>2007</v>
      </c>
      <c r="H831">
        <v>945</v>
      </c>
      <c r="I831">
        <v>0</v>
      </c>
      <c r="J831">
        <v>0</v>
      </c>
      <c r="K831">
        <v>0</v>
      </c>
    </row>
    <row r="832" spans="1:11">
      <c r="A832">
        <v>28004</v>
      </c>
      <c r="B832" t="s">
        <v>949</v>
      </c>
      <c r="C832" t="s">
        <v>538</v>
      </c>
      <c r="E832" t="s">
        <v>1045</v>
      </c>
      <c r="F832">
        <v>56</v>
      </c>
      <c r="G832">
        <v>1978</v>
      </c>
      <c r="H832">
        <v>54</v>
      </c>
      <c r="I832">
        <v>26.094000000000001</v>
      </c>
      <c r="J832">
        <v>1779.069</v>
      </c>
      <c r="K832">
        <v>749</v>
      </c>
    </row>
    <row r="833" spans="1:11">
      <c r="A833">
        <v>16027</v>
      </c>
      <c r="B833" t="s">
        <v>950</v>
      </c>
      <c r="C833" t="s">
        <v>576</v>
      </c>
      <c r="D833" t="s">
        <v>107</v>
      </c>
      <c r="E833" t="s">
        <v>518</v>
      </c>
      <c r="F833">
        <v>29</v>
      </c>
      <c r="G833">
        <v>1972</v>
      </c>
      <c r="H833">
        <v>217</v>
      </c>
      <c r="I833">
        <v>15.939</v>
      </c>
      <c r="J833">
        <v>631.971</v>
      </c>
      <c r="K833">
        <v>73</v>
      </c>
    </row>
    <row r="834" spans="1:11">
      <c r="A834">
        <v>12017</v>
      </c>
      <c r="B834" t="s">
        <v>950</v>
      </c>
      <c r="C834" t="s">
        <v>646</v>
      </c>
      <c r="D834" t="s">
        <v>107</v>
      </c>
      <c r="E834" t="s">
        <v>489</v>
      </c>
      <c r="F834">
        <v>51</v>
      </c>
      <c r="G834">
        <v>1968</v>
      </c>
      <c r="H834">
        <v>49</v>
      </c>
      <c r="I834">
        <v>28.469000000000001</v>
      </c>
      <c r="J834">
        <v>1852.942</v>
      </c>
      <c r="K834">
        <v>752</v>
      </c>
    </row>
    <row r="835" spans="1:11">
      <c r="A835">
        <v>10135</v>
      </c>
      <c r="B835" t="s">
        <v>951</v>
      </c>
      <c r="C835" t="s">
        <v>538</v>
      </c>
      <c r="E835" t="s">
        <v>493</v>
      </c>
      <c r="F835">
        <v>1</v>
      </c>
      <c r="G835">
        <v>1945</v>
      </c>
      <c r="H835">
        <v>946</v>
      </c>
      <c r="I835">
        <v>0</v>
      </c>
      <c r="J835">
        <v>0</v>
      </c>
      <c r="K835">
        <v>0</v>
      </c>
    </row>
    <row r="836" spans="1:11">
      <c r="A836">
        <v>16114</v>
      </c>
      <c r="B836" t="s">
        <v>952</v>
      </c>
      <c r="C836" t="s">
        <v>520</v>
      </c>
      <c r="E836" t="s">
        <v>484</v>
      </c>
      <c r="F836">
        <v>21</v>
      </c>
      <c r="G836">
        <v>1954</v>
      </c>
      <c r="H836">
        <v>947</v>
      </c>
      <c r="I836">
        <v>0</v>
      </c>
      <c r="J836">
        <v>0</v>
      </c>
      <c r="K836">
        <v>0</v>
      </c>
    </row>
    <row r="837" spans="1:11">
      <c r="A837">
        <v>28010</v>
      </c>
      <c r="B837" t="s">
        <v>953</v>
      </c>
      <c r="C837" t="s">
        <v>538</v>
      </c>
      <c r="E837" t="s">
        <v>493</v>
      </c>
      <c r="F837">
        <v>1</v>
      </c>
      <c r="G837">
        <v>1969</v>
      </c>
      <c r="H837">
        <v>463</v>
      </c>
      <c r="I837">
        <v>4</v>
      </c>
      <c r="J837">
        <v>127.392</v>
      </c>
      <c r="K837">
        <v>0</v>
      </c>
    </row>
    <row r="838" spans="1:11">
      <c r="A838">
        <v>20616</v>
      </c>
      <c r="B838" t="s">
        <v>1726</v>
      </c>
      <c r="C838" t="s">
        <v>600</v>
      </c>
      <c r="E838" t="s">
        <v>1617</v>
      </c>
      <c r="F838">
        <v>93</v>
      </c>
      <c r="G838">
        <v>1990</v>
      </c>
      <c r="H838">
        <v>408</v>
      </c>
      <c r="I838">
        <v>1.5629999999999999</v>
      </c>
      <c r="J838">
        <v>190.90299999999999</v>
      </c>
      <c r="K838">
        <v>121</v>
      </c>
    </row>
    <row r="839" spans="1:11">
      <c r="A839">
        <v>20518</v>
      </c>
      <c r="B839" t="s">
        <v>1727</v>
      </c>
      <c r="C839" t="s">
        <v>633</v>
      </c>
      <c r="E839" t="s">
        <v>1060</v>
      </c>
      <c r="F839">
        <v>70</v>
      </c>
      <c r="G839">
        <v>1937</v>
      </c>
      <c r="H839">
        <v>948</v>
      </c>
      <c r="I839">
        <v>0</v>
      </c>
      <c r="J839">
        <v>0</v>
      </c>
      <c r="K839">
        <v>0</v>
      </c>
    </row>
    <row r="840" spans="1:11">
      <c r="A840">
        <v>99551</v>
      </c>
      <c r="B840" t="s">
        <v>954</v>
      </c>
      <c r="C840" t="s">
        <v>531</v>
      </c>
      <c r="E840" t="s">
        <v>470</v>
      </c>
      <c r="F840">
        <v>20</v>
      </c>
      <c r="G840">
        <v>1954</v>
      </c>
      <c r="H840">
        <v>555</v>
      </c>
      <c r="I840">
        <v>1.3129999999999999</v>
      </c>
      <c r="J840">
        <v>61.454999999999998</v>
      </c>
      <c r="K840">
        <v>0</v>
      </c>
    </row>
    <row r="841" spans="1:11">
      <c r="A841">
        <v>28002</v>
      </c>
      <c r="B841" t="s">
        <v>1327</v>
      </c>
      <c r="C841" t="s">
        <v>531</v>
      </c>
      <c r="E841" t="s">
        <v>470</v>
      </c>
      <c r="F841">
        <v>20</v>
      </c>
      <c r="G841">
        <v>1996</v>
      </c>
      <c r="H841">
        <v>949</v>
      </c>
      <c r="I841">
        <v>0</v>
      </c>
      <c r="J841">
        <v>0</v>
      </c>
      <c r="K841">
        <v>0</v>
      </c>
    </row>
    <row r="842" spans="1:11">
      <c r="A842">
        <v>19054</v>
      </c>
      <c r="B842" t="s">
        <v>1728</v>
      </c>
      <c r="C842" t="s">
        <v>529</v>
      </c>
      <c r="D842" t="s">
        <v>107</v>
      </c>
      <c r="E842" t="s">
        <v>470</v>
      </c>
      <c r="F842">
        <v>20</v>
      </c>
      <c r="G842">
        <v>1991</v>
      </c>
      <c r="H842">
        <v>575</v>
      </c>
      <c r="I842">
        <v>1.0940000000000001</v>
      </c>
      <c r="J842">
        <v>51.244</v>
      </c>
      <c r="K842">
        <v>0</v>
      </c>
    </row>
    <row r="843" spans="1:11">
      <c r="A843">
        <v>29054</v>
      </c>
      <c r="B843" t="s">
        <v>955</v>
      </c>
      <c r="C843" t="s">
        <v>504</v>
      </c>
      <c r="E843" t="s">
        <v>487</v>
      </c>
      <c r="F843">
        <v>64</v>
      </c>
      <c r="G843">
        <v>1971</v>
      </c>
      <c r="H843">
        <v>483</v>
      </c>
      <c r="I843">
        <v>1.75</v>
      </c>
      <c r="J843">
        <v>108.61199999999999</v>
      </c>
      <c r="K843">
        <v>30</v>
      </c>
    </row>
    <row r="844" spans="1:11">
      <c r="A844">
        <v>15001</v>
      </c>
      <c r="B844" t="s">
        <v>1328</v>
      </c>
      <c r="C844" t="s">
        <v>531</v>
      </c>
      <c r="E844" t="s">
        <v>161</v>
      </c>
      <c r="F844">
        <v>30</v>
      </c>
      <c r="G844">
        <v>1961</v>
      </c>
      <c r="H844">
        <v>48</v>
      </c>
      <c r="I844">
        <v>31.625</v>
      </c>
      <c r="J844">
        <v>1856.2629999999999</v>
      </c>
      <c r="K844">
        <v>649</v>
      </c>
    </row>
    <row r="845" spans="1:11">
      <c r="A845">
        <v>98304</v>
      </c>
      <c r="B845" t="s">
        <v>956</v>
      </c>
      <c r="C845" t="s">
        <v>957</v>
      </c>
      <c r="D845" t="s">
        <v>107</v>
      </c>
      <c r="E845" t="s">
        <v>1057</v>
      </c>
      <c r="F845">
        <v>2</v>
      </c>
      <c r="G845">
        <v>1960</v>
      </c>
      <c r="H845">
        <v>271</v>
      </c>
      <c r="I845">
        <v>8.1560000000000006</v>
      </c>
      <c r="J845">
        <v>432.06</v>
      </c>
      <c r="K845">
        <v>123</v>
      </c>
    </row>
    <row r="846" spans="1:11">
      <c r="A846">
        <v>20589</v>
      </c>
      <c r="B846" t="s">
        <v>1729</v>
      </c>
      <c r="C846" t="s">
        <v>570</v>
      </c>
      <c r="D846" t="s">
        <v>91</v>
      </c>
      <c r="E846" t="s">
        <v>1578</v>
      </c>
      <c r="F846">
        <v>95</v>
      </c>
      <c r="G846">
        <v>2009</v>
      </c>
      <c r="H846">
        <v>950</v>
      </c>
      <c r="I846">
        <v>0</v>
      </c>
      <c r="J846">
        <v>0</v>
      </c>
      <c r="K846">
        <v>0</v>
      </c>
    </row>
    <row r="847" spans="1:11">
      <c r="A847">
        <v>14005</v>
      </c>
      <c r="B847" t="s">
        <v>1329</v>
      </c>
      <c r="C847" t="s">
        <v>511</v>
      </c>
      <c r="E847" t="s">
        <v>635</v>
      </c>
      <c r="F847">
        <v>68</v>
      </c>
      <c r="G847">
        <v>1988</v>
      </c>
      <c r="H847">
        <v>951</v>
      </c>
      <c r="I847">
        <v>0</v>
      </c>
      <c r="J847">
        <v>0</v>
      </c>
      <c r="K847">
        <v>0</v>
      </c>
    </row>
    <row r="848" spans="1:11">
      <c r="A848">
        <v>13063</v>
      </c>
      <c r="B848" t="s">
        <v>1104</v>
      </c>
      <c r="C848" t="s">
        <v>523</v>
      </c>
      <c r="D848" t="s">
        <v>107</v>
      </c>
      <c r="E848" t="s">
        <v>493</v>
      </c>
      <c r="F848">
        <v>1</v>
      </c>
      <c r="G848">
        <v>1953</v>
      </c>
      <c r="H848">
        <v>640</v>
      </c>
      <c r="I848">
        <v>0.438</v>
      </c>
      <c r="J848">
        <v>13.933999999999999</v>
      </c>
      <c r="K848">
        <v>0</v>
      </c>
    </row>
    <row r="849" spans="1:11">
      <c r="A849">
        <v>26034</v>
      </c>
      <c r="B849" t="s">
        <v>958</v>
      </c>
      <c r="C849" t="s">
        <v>725</v>
      </c>
      <c r="E849" t="s">
        <v>474</v>
      </c>
      <c r="F849">
        <v>63</v>
      </c>
      <c r="G849">
        <v>1954</v>
      </c>
      <c r="H849">
        <v>171</v>
      </c>
      <c r="I849">
        <v>22.094000000000001</v>
      </c>
      <c r="J849">
        <v>832.68799999999999</v>
      </c>
      <c r="K849">
        <v>99</v>
      </c>
    </row>
    <row r="850" spans="1:11">
      <c r="A850">
        <v>20544</v>
      </c>
      <c r="B850" t="s">
        <v>1730</v>
      </c>
      <c r="C850" t="s">
        <v>519</v>
      </c>
      <c r="E850" t="s">
        <v>1617</v>
      </c>
      <c r="F850">
        <v>93</v>
      </c>
      <c r="G850">
        <v>1965</v>
      </c>
      <c r="H850">
        <v>952</v>
      </c>
      <c r="I850">
        <v>0</v>
      </c>
      <c r="J850">
        <v>0</v>
      </c>
      <c r="K850">
        <v>0</v>
      </c>
    </row>
    <row r="851" spans="1:11">
      <c r="A851">
        <v>18079</v>
      </c>
      <c r="B851" t="s">
        <v>959</v>
      </c>
      <c r="C851" t="s">
        <v>703</v>
      </c>
      <c r="D851" t="s">
        <v>107</v>
      </c>
      <c r="E851" t="s">
        <v>1467</v>
      </c>
      <c r="F851">
        <v>89</v>
      </c>
      <c r="G851">
        <v>1966</v>
      </c>
      <c r="H851">
        <v>569</v>
      </c>
      <c r="I851">
        <v>1.25</v>
      </c>
      <c r="J851">
        <v>53.920999999999999</v>
      </c>
      <c r="K851">
        <v>0</v>
      </c>
    </row>
    <row r="852" spans="1:11">
      <c r="A852">
        <v>21754</v>
      </c>
      <c r="B852" t="s">
        <v>960</v>
      </c>
      <c r="C852" t="s">
        <v>553</v>
      </c>
      <c r="E852" t="s">
        <v>1063</v>
      </c>
      <c r="F852">
        <v>55</v>
      </c>
      <c r="G852">
        <v>1976</v>
      </c>
      <c r="H852">
        <v>215</v>
      </c>
      <c r="I852">
        <v>7.0010000000000003</v>
      </c>
      <c r="J852">
        <v>632.80700000000002</v>
      </c>
      <c r="K852">
        <v>325</v>
      </c>
    </row>
    <row r="853" spans="1:11">
      <c r="A853">
        <v>21755</v>
      </c>
      <c r="B853" t="s">
        <v>960</v>
      </c>
      <c r="C853" t="s">
        <v>509</v>
      </c>
      <c r="E853" t="s">
        <v>488</v>
      </c>
      <c r="F853">
        <v>31</v>
      </c>
      <c r="G853">
        <v>1981</v>
      </c>
      <c r="H853">
        <v>7</v>
      </c>
      <c r="I853">
        <v>40.5</v>
      </c>
      <c r="J853">
        <v>3052.558</v>
      </c>
      <c r="K853">
        <v>1237</v>
      </c>
    </row>
    <row r="854" spans="1:11">
      <c r="A854">
        <v>21837</v>
      </c>
      <c r="B854" t="s">
        <v>961</v>
      </c>
      <c r="C854" t="s">
        <v>717</v>
      </c>
      <c r="D854" t="s">
        <v>107</v>
      </c>
      <c r="E854" t="s">
        <v>488</v>
      </c>
      <c r="F854">
        <v>31</v>
      </c>
      <c r="G854">
        <v>1982</v>
      </c>
      <c r="H854">
        <v>194</v>
      </c>
      <c r="I854">
        <v>8.75</v>
      </c>
      <c r="J854">
        <v>719.42600000000004</v>
      </c>
      <c r="K854">
        <v>306</v>
      </c>
    </row>
    <row r="855" spans="1:11">
      <c r="A855">
        <v>19034</v>
      </c>
      <c r="B855" t="s">
        <v>1544</v>
      </c>
      <c r="C855" t="s">
        <v>1731</v>
      </c>
      <c r="D855" t="s">
        <v>91</v>
      </c>
      <c r="E855" t="s">
        <v>1488</v>
      </c>
      <c r="F855">
        <v>88</v>
      </c>
      <c r="G855">
        <v>2009</v>
      </c>
      <c r="H855">
        <v>366</v>
      </c>
      <c r="I855">
        <v>6.3120000000000003</v>
      </c>
      <c r="J855">
        <v>240.154</v>
      </c>
      <c r="K855">
        <v>25</v>
      </c>
    </row>
    <row r="856" spans="1:11">
      <c r="A856">
        <v>18065</v>
      </c>
      <c r="B856" t="s">
        <v>1544</v>
      </c>
      <c r="C856" t="s">
        <v>566</v>
      </c>
      <c r="E856" t="s">
        <v>1488</v>
      </c>
      <c r="F856">
        <v>88</v>
      </c>
      <c r="G856">
        <v>1971</v>
      </c>
      <c r="H856">
        <v>168</v>
      </c>
      <c r="I856">
        <v>14.031000000000001</v>
      </c>
      <c r="J856">
        <v>852.87199999999996</v>
      </c>
      <c r="K856">
        <v>328</v>
      </c>
    </row>
    <row r="857" spans="1:11">
      <c r="A857">
        <v>18124</v>
      </c>
      <c r="B857" t="s">
        <v>1732</v>
      </c>
      <c r="C857" t="s">
        <v>1733</v>
      </c>
      <c r="D857" t="s">
        <v>610</v>
      </c>
      <c r="E857" t="s">
        <v>1488</v>
      </c>
      <c r="F857">
        <v>88</v>
      </c>
      <c r="G857">
        <v>2007</v>
      </c>
      <c r="H857">
        <v>226</v>
      </c>
      <c r="I857">
        <v>10.656000000000001</v>
      </c>
      <c r="J857">
        <v>569.92399999999998</v>
      </c>
      <c r="K857">
        <v>203</v>
      </c>
    </row>
    <row r="858" spans="1:11">
      <c r="A858">
        <v>96026</v>
      </c>
      <c r="B858" t="s">
        <v>962</v>
      </c>
      <c r="C858" t="s">
        <v>531</v>
      </c>
      <c r="E858" t="s">
        <v>688</v>
      </c>
      <c r="F858">
        <v>10</v>
      </c>
      <c r="G858">
        <v>1960</v>
      </c>
      <c r="H858">
        <v>655</v>
      </c>
      <c r="I858">
        <v>0.25</v>
      </c>
      <c r="J858">
        <v>5.0519999999999996</v>
      </c>
      <c r="K858">
        <v>0</v>
      </c>
    </row>
    <row r="859" spans="1:11">
      <c r="A859">
        <v>96027</v>
      </c>
      <c r="B859" t="s">
        <v>963</v>
      </c>
      <c r="C859" t="s">
        <v>588</v>
      </c>
      <c r="D859" t="s">
        <v>107</v>
      </c>
      <c r="E859" t="s">
        <v>688</v>
      </c>
      <c r="F859">
        <v>10</v>
      </c>
      <c r="G859">
        <v>1961</v>
      </c>
      <c r="H859">
        <v>953</v>
      </c>
      <c r="I859">
        <v>0</v>
      </c>
      <c r="J859">
        <v>0</v>
      </c>
      <c r="K859">
        <v>0</v>
      </c>
    </row>
    <row r="860" spans="1:11">
      <c r="A860">
        <v>10048</v>
      </c>
      <c r="B860" t="s">
        <v>964</v>
      </c>
      <c r="C860" t="s">
        <v>580</v>
      </c>
      <c r="E860" t="s">
        <v>474</v>
      </c>
      <c r="F860">
        <v>63</v>
      </c>
      <c r="G860">
        <v>1996</v>
      </c>
      <c r="H860">
        <v>98</v>
      </c>
      <c r="I860">
        <v>21.69</v>
      </c>
      <c r="J860">
        <v>1413.944</v>
      </c>
      <c r="K860">
        <v>537</v>
      </c>
    </row>
    <row r="861" spans="1:11">
      <c r="A861">
        <v>16140</v>
      </c>
      <c r="B861" t="s">
        <v>1443</v>
      </c>
      <c r="C861" t="s">
        <v>1444</v>
      </c>
      <c r="E861" t="s">
        <v>493</v>
      </c>
      <c r="F861">
        <v>1</v>
      </c>
      <c r="G861">
        <v>1951</v>
      </c>
      <c r="H861">
        <v>954</v>
      </c>
      <c r="I861">
        <v>0</v>
      </c>
      <c r="J861">
        <v>0</v>
      </c>
      <c r="K861">
        <v>0</v>
      </c>
    </row>
    <row r="862" spans="1:11">
      <c r="A862">
        <v>24320</v>
      </c>
      <c r="B862" t="s">
        <v>965</v>
      </c>
      <c r="C862" t="s">
        <v>966</v>
      </c>
      <c r="D862" t="s">
        <v>107</v>
      </c>
      <c r="E862" t="s">
        <v>200</v>
      </c>
      <c r="F862">
        <v>19</v>
      </c>
      <c r="G862">
        <v>1963</v>
      </c>
      <c r="H862">
        <v>464</v>
      </c>
      <c r="I862">
        <v>2.1880000000000002</v>
      </c>
      <c r="J862">
        <v>127.059</v>
      </c>
      <c r="K862">
        <v>40</v>
      </c>
    </row>
    <row r="863" spans="1:11">
      <c r="A863">
        <v>19056</v>
      </c>
      <c r="B863" t="s">
        <v>1465</v>
      </c>
      <c r="C863" t="s">
        <v>891</v>
      </c>
      <c r="D863" t="s">
        <v>91</v>
      </c>
      <c r="E863" t="s">
        <v>1223</v>
      </c>
      <c r="F863">
        <v>77</v>
      </c>
      <c r="G863">
        <v>2008</v>
      </c>
      <c r="H863">
        <v>580</v>
      </c>
      <c r="I863">
        <v>0.98399999999999999</v>
      </c>
      <c r="J863">
        <v>47.033999999999999</v>
      </c>
      <c r="K863">
        <v>0</v>
      </c>
    </row>
    <row r="864" spans="1:11">
      <c r="A864">
        <v>10159</v>
      </c>
      <c r="B864" t="s">
        <v>967</v>
      </c>
      <c r="C864" t="s">
        <v>968</v>
      </c>
      <c r="E864" t="s">
        <v>1223</v>
      </c>
      <c r="F864">
        <v>77</v>
      </c>
      <c r="G864">
        <v>1949</v>
      </c>
      <c r="H864">
        <v>173</v>
      </c>
      <c r="I864">
        <v>13.97</v>
      </c>
      <c r="J864">
        <v>807.19200000000001</v>
      </c>
      <c r="K864">
        <v>175</v>
      </c>
    </row>
    <row r="865" spans="1:11">
      <c r="A865">
        <v>10163</v>
      </c>
      <c r="B865" t="s">
        <v>969</v>
      </c>
      <c r="C865" t="s">
        <v>576</v>
      </c>
      <c r="D865" t="s">
        <v>107</v>
      </c>
      <c r="E865" t="s">
        <v>1223</v>
      </c>
      <c r="F865">
        <v>77</v>
      </c>
      <c r="G865">
        <v>1952</v>
      </c>
      <c r="H865">
        <v>51</v>
      </c>
      <c r="I865">
        <v>23.346</v>
      </c>
      <c r="J865">
        <v>1824.001</v>
      </c>
      <c r="K865">
        <v>776</v>
      </c>
    </row>
    <row r="866" spans="1:11">
      <c r="A866">
        <v>29062</v>
      </c>
      <c r="B866" t="s">
        <v>970</v>
      </c>
      <c r="C866" t="s">
        <v>1330</v>
      </c>
      <c r="E866" t="s">
        <v>470</v>
      </c>
      <c r="F866">
        <v>20</v>
      </c>
      <c r="G866">
        <v>1999</v>
      </c>
      <c r="H866">
        <v>4</v>
      </c>
      <c r="I866">
        <v>54.5</v>
      </c>
      <c r="J866">
        <v>3331.018</v>
      </c>
      <c r="K866">
        <v>1181</v>
      </c>
    </row>
    <row r="867" spans="1:11">
      <c r="A867">
        <v>29061</v>
      </c>
      <c r="B867" t="s">
        <v>970</v>
      </c>
      <c r="C867" t="s">
        <v>1331</v>
      </c>
      <c r="E867" t="s">
        <v>470</v>
      </c>
      <c r="F867">
        <v>20</v>
      </c>
      <c r="G867">
        <v>1970</v>
      </c>
      <c r="H867">
        <v>159</v>
      </c>
      <c r="I867">
        <v>12.064</v>
      </c>
      <c r="J867">
        <v>904.38400000000001</v>
      </c>
      <c r="K867">
        <v>368</v>
      </c>
    </row>
    <row r="868" spans="1:11">
      <c r="A868">
        <v>18132</v>
      </c>
      <c r="B868" t="s">
        <v>971</v>
      </c>
      <c r="C868" t="s">
        <v>557</v>
      </c>
      <c r="E868" t="s">
        <v>1488</v>
      </c>
      <c r="F868">
        <v>88</v>
      </c>
      <c r="G868">
        <v>1976</v>
      </c>
      <c r="H868">
        <v>85</v>
      </c>
      <c r="I868">
        <v>20.283000000000001</v>
      </c>
      <c r="J868">
        <v>1518.229</v>
      </c>
      <c r="K868">
        <v>721</v>
      </c>
    </row>
    <row r="869" spans="1:11">
      <c r="A869">
        <v>15070</v>
      </c>
      <c r="B869" t="s">
        <v>1332</v>
      </c>
      <c r="C869" t="s">
        <v>1333</v>
      </c>
      <c r="D869" t="s">
        <v>107</v>
      </c>
      <c r="E869" t="s">
        <v>164</v>
      </c>
      <c r="F869">
        <v>52</v>
      </c>
      <c r="G869">
        <v>1973</v>
      </c>
      <c r="H869">
        <v>69</v>
      </c>
      <c r="I869">
        <v>21.315000000000001</v>
      </c>
      <c r="J869">
        <v>1688.627</v>
      </c>
      <c r="K869">
        <v>820</v>
      </c>
    </row>
    <row r="870" spans="1:11">
      <c r="A870">
        <v>15057</v>
      </c>
      <c r="B870" t="s">
        <v>1334</v>
      </c>
      <c r="C870" t="s">
        <v>517</v>
      </c>
      <c r="D870" t="s">
        <v>91</v>
      </c>
      <c r="E870" t="s">
        <v>493</v>
      </c>
      <c r="F870">
        <v>1</v>
      </c>
      <c r="G870">
        <v>2005</v>
      </c>
      <c r="H870">
        <v>39</v>
      </c>
      <c r="I870">
        <v>26.187999999999999</v>
      </c>
      <c r="J870">
        <v>1987.364</v>
      </c>
      <c r="K870">
        <v>860</v>
      </c>
    </row>
    <row r="871" spans="1:11">
      <c r="A871">
        <v>18102</v>
      </c>
      <c r="B871" t="s">
        <v>1334</v>
      </c>
      <c r="C871" t="s">
        <v>553</v>
      </c>
      <c r="E871" t="s">
        <v>493</v>
      </c>
      <c r="F871">
        <v>1</v>
      </c>
      <c r="G871">
        <v>1947</v>
      </c>
      <c r="H871">
        <v>955</v>
      </c>
      <c r="I871">
        <v>0</v>
      </c>
      <c r="J871">
        <v>0</v>
      </c>
      <c r="K871">
        <v>0</v>
      </c>
    </row>
    <row r="872" spans="1:11">
      <c r="A872">
        <v>17095</v>
      </c>
      <c r="B872" t="s">
        <v>1335</v>
      </c>
      <c r="C872" t="s">
        <v>576</v>
      </c>
      <c r="D872" t="s">
        <v>107</v>
      </c>
      <c r="E872" t="s">
        <v>493</v>
      </c>
      <c r="F872">
        <v>1</v>
      </c>
      <c r="G872">
        <v>1972</v>
      </c>
      <c r="H872">
        <v>577</v>
      </c>
      <c r="I872">
        <v>1.5940000000000001</v>
      </c>
      <c r="J872">
        <v>49.642000000000003</v>
      </c>
      <c r="K872">
        <v>0</v>
      </c>
    </row>
    <row r="873" spans="1:11">
      <c r="A873">
        <v>14100</v>
      </c>
      <c r="B873" t="s">
        <v>1335</v>
      </c>
      <c r="C873" t="s">
        <v>588</v>
      </c>
      <c r="D873" t="s">
        <v>107</v>
      </c>
      <c r="E873" t="s">
        <v>487</v>
      </c>
      <c r="F873">
        <v>64</v>
      </c>
      <c r="G873">
        <v>1981</v>
      </c>
      <c r="H873">
        <v>629</v>
      </c>
      <c r="I873">
        <v>0.65600000000000003</v>
      </c>
      <c r="J873">
        <v>19.134</v>
      </c>
      <c r="K873">
        <v>0</v>
      </c>
    </row>
    <row r="874" spans="1:11">
      <c r="A874">
        <v>96102</v>
      </c>
      <c r="B874" t="s">
        <v>972</v>
      </c>
      <c r="C874" t="s">
        <v>504</v>
      </c>
      <c r="E874" t="s">
        <v>484</v>
      </c>
      <c r="F874">
        <v>21</v>
      </c>
      <c r="G874">
        <v>1980</v>
      </c>
      <c r="H874">
        <v>957</v>
      </c>
      <c r="I874">
        <v>0</v>
      </c>
      <c r="J874">
        <v>0</v>
      </c>
      <c r="K874">
        <v>0</v>
      </c>
    </row>
    <row r="875" spans="1:11">
      <c r="A875">
        <v>96052</v>
      </c>
      <c r="B875" t="s">
        <v>972</v>
      </c>
      <c r="C875" t="s">
        <v>557</v>
      </c>
      <c r="E875" t="s">
        <v>484</v>
      </c>
      <c r="F875">
        <v>21</v>
      </c>
      <c r="G875">
        <v>1948</v>
      </c>
      <c r="H875">
        <v>956</v>
      </c>
      <c r="I875">
        <v>0</v>
      </c>
      <c r="J875">
        <v>0</v>
      </c>
      <c r="K875">
        <v>0</v>
      </c>
    </row>
    <row r="876" spans="1:11">
      <c r="A876">
        <v>10031</v>
      </c>
      <c r="B876" t="s">
        <v>973</v>
      </c>
      <c r="C876" t="s">
        <v>531</v>
      </c>
      <c r="E876" t="s">
        <v>548</v>
      </c>
      <c r="F876">
        <v>67</v>
      </c>
      <c r="G876">
        <v>1959</v>
      </c>
      <c r="H876">
        <v>375</v>
      </c>
      <c r="I876">
        <v>3.5939999999999999</v>
      </c>
      <c r="J876">
        <v>231.053</v>
      </c>
      <c r="K876">
        <v>99</v>
      </c>
    </row>
    <row r="877" spans="1:11">
      <c r="A877">
        <v>10032</v>
      </c>
      <c r="B877" t="s">
        <v>973</v>
      </c>
      <c r="C877" t="s">
        <v>531</v>
      </c>
      <c r="E877" t="s">
        <v>548</v>
      </c>
      <c r="F877">
        <v>67</v>
      </c>
      <c r="G877">
        <v>1953</v>
      </c>
      <c r="H877">
        <v>362</v>
      </c>
      <c r="I877">
        <v>5.375</v>
      </c>
      <c r="J877">
        <v>246.61799999999999</v>
      </c>
      <c r="K877">
        <v>105</v>
      </c>
    </row>
    <row r="878" spans="1:11">
      <c r="A878">
        <v>10033</v>
      </c>
      <c r="B878" t="s">
        <v>973</v>
      </c>
      <c r="C878" t="s">
        <v>747</v>
      </c>
      <c r="E878" t="s">
        <v>548</v>
      </c>
      <c r="F878">
        <v>67</v>
      </c>
      <c r="G878">
        <v>1963</v>
      </c>
      <c r="H878">
        <v>377</v>
      </c>
      <c r="I878">
        <v>3.7189999999999999</v>
      </c>
      <c r="J878">
        <v>230.976</v>
      </c>
      <c r="K878">
        <v>99</v>
      </c>
    </row>
    <row r="879" spans="1:11">
      <c r="A879">
        <v>17030</v>
      </c>
      <c r="B879" t="s">
        <v>974</v>
      </c>
      <c r="C879" t="s">
        <v>1545</v>
      </c>
      <c r="D879" t="s">
        <v>91</v>
      </c>
      <c r="E879" t="s">
        <v>493</v>
      </c>
      <c r="F879">
        <v>1</v>
      </c>
      <c r="G879">
        <v>2011</v>
      </c>
      <c r="H879">
        <v>571</v>
      </c>
      <c r="I879">
        <v>1.4379999999999999</v>
      </c>
      <c r="J879">
        <v>52.912999999999997</v>
      </c>
      <c r="K879">
        <v>0</v>
      </c>
    </row>
    <row r="880" spans="1:11">
      <c r="A880">
        <v>21786</v>
      </c>
      <c r="B880" t="s">
        <v>975</v>
      </c>
      <c r="C880" t="s">
        <v>668</v>
      </c>
      <c r="D880" t="s">
        <v>107</v>
      </c>
      <c r="E880" t="s">
        <v>493</v>
      </c>
      <c r="F880">
        <v>1</v>
      </c>
      <c r="G880">
        <v>1986</v>
      </c>
      <c r="H880">
        <v>76</v>
      </c>
      <c r="I880">
        <v>26.437999999999999</v>
      </c>
      <c r="J880">
        <v>1618.508</v>
      </c>
      <c r="K880">
        <v>515</v>
      </c>
    </row>
    <row r="881" spans="1:11">
      <c r="A881">
        <v>17037</v>
      </c>
      <c r="B881" t="s">
        <v>1445</v>
      </c>
      <c r="C881" t="s">
        <v>506</v>
      </c>
      <c r="D881" t="s">
        <v>107</v>
      </c>
      <c r="E881" t="s">
        <v>1069</v>
      </c>
      <c r="F881">
        <v>28</v>
      </c>
      <c r="G881">
        <v>1967</v>
      </c>
      <c r="H881">
        <v>511</v>
      </c>
      <c r="I881">
        <v>2.875</v>
      </c>
      <c r="J881">
        <v>87.787999999999997</v>
      </c>
      <c r="K881">
        <v>0</v>
      </c>
    </row>
    <row r="882" spans="1:11">
      <c r="A882">
        <v>10128</v>
      </c>
      <c r="B882" t="s">
        <v>976</v>
      </c>
      <c r="C882" t="s">
        <v>614</v>
      </c>
      <c r="D882" t="s">
        <v>107</v>
      </c>
      <c r="E882" t="s">
        <v>1060</v>
      </c>
      <c r="F882">
        <v>70</v>
      </c>
      <c r="G882">
        <v>1935</v>
      </c>
      <c r="H882">
        <v>958</v>
      </c>
      <c r="I882">
        <v>0</v>
      </c>
      <c r="J882">
        <v>0</v>
      </c>
      <c r="K882">
        <v>0</v>
      </c>
    </row>
    <row r="883" spans="1:11">
      <c r="A883">
        <v>14082</v>
      </c>
      <c r="B883" t="s">
        <v>1546</v>
      </c>
      <c r="C883" t="s">
        <v>553</v>
      </c>
      <c r="E883" t="s">
        <v>1179</v>
      </c>
      <c r="F883">
        <v>79</v>
      </c>
      <c r="G883">
        <v>1991</v>
      </c>
      <c r="H883">
        <v>959</v>
      </c>
      <c r="I883">
        <v>0</v>
      </c>
      <c r="J883">
        <v>0</v>
      </c>
      <c r="K883">
        <v>0</v>
      </c>
    </row>
    <row r="884" spans="1:11">
      <c r="A884">
        <v>16139</v>
      </c>
      <c r="B884" t="s">
        <v>1446</v>
      </c>
      <c r="C884" t="s">
        <v>646</v>
      </c>
      <c r="D884" t="s">
        <v>107</v>
      </c>
      <c r="E884" t="s">
        <v>1070</v>
      </c>
      <c r="F884">
        <v>42</v>
      </c>
      <c r="G884">
        <v>1962</v>
      </c>
      <c r="H884">
        <v>486</v>
      </c>
      <c r="I884">
        <v>1.0629999999999999</v>
      </c>
      <c r="J884">
        <v>106.08</v>
      </c>
      <c r="K884">
        <v>54</v>
      </c>
    </row>
    <row r="885" spans="1:11">
      <c r="A885">
        <v>19001</v>
      </c>
      <c r="B885" t="s">
        <v>1734</v>
      </c>
      <c r="C885" t="s">
        <v>600</v>
      </c>
      <c r="E885" t="s">
        <v>1223</v>
      </c>
      <c r="F885">
        <v>77</v>
      </c>
      <c r="G885">
        <v>1966</v>
      </c>
      <c r="H885">
        <v>35</v>
      </c>
      <c r="I885">
        <v>30.75</v>
      </c>
      <c r="J885">
        <v>2030.2819999999999</v>
      </c>
      <c r="K885">
        <v>744</v>
      </c>
    </row>
    <row r="886" spans="1:11">
      <c r="A886">
        <v>97232</v>
      </c>
      <c r="B886" t="s">
        <v>977</v>
      </c>
      <c r="C886" t="s">
        <v>550</v>
      </c>
      <c r="E886" t="s">
        <v>1066</v>
      </c>
      <c r="F886">
        <v>24</v>
      </c>
      <c r="G886">
        <v>1982</v>
      </c>
      <c r="H886">
        <v>960</v>
      </c>
      <c r="I886">
        <v>0</v>
      </c>
      <c r="J886">
        <v>0</v>
      </c>
      <c r="K886">
        <v>0</v>
      </c>
    </row>
    <row r="887" spans="1:11">
      <c r="A887">
        <v>96200</v>
      </c>
      <c r="B887" t="s">
        <v>977</v>
      </c>
      <c r="C887" t="s">
        <v>504</v>
      </c>
      <c r="E887" t="s">
        <v>1066</v>
      </c>
      <c r="F887">
        <v>24</v>
      </c>
      <c r="G887">
        <v>1952</v>
      </c>
      <c r="H887">
        <v>336</v>
      </c>
      <c r="I887">
        <v>2.125</v>
      </c>
      <c r="J887">
        <v>280.06799999999998</v>
      </c>
      <c r="K887">
        <v>185</v>
      </c>
    </row>
    <row r="888" spans="1:11">
      <c r="A888">
        <v>10037</v>
      </c>
      <c r="B888" t="s">
        <v>978</v>
      </c>
      <c r="C888" t="s">
        <v>659</v>
      </c>
      <c r="E888" t="s">
        <v>635</v>
      </c>
      <c r="F888">
        <v>68</v>
      </c>
      <c r="G888">
        <v>1976</v>
      </c>
      <c r="H888">
        <v>961</v>
      </c>
      <c r="I888">
        <v>0</v>
      </c>
      <c r="J888">
        <v>0</v>
      </c>
      <c r="K888">
        <v>0</v>
      </c>
    </row>
    <row r="889" spans="1:11">
      <c r="A889">
        <v>96213</v>
      </c>
      <c r="B889" t="s">
        <v>979</v>
      </c>
      <c r="C889" t="s">
        <v>894</v>
      </c>
      <c r="D889" t="s">
        <v>107</v>
      </c>
      <c r="E889" t="s">
        <v>1066</v>
      </c>
      <c r="F889">
        <v>24</v>
      </c>
      <c r="G889">
        <v>1960</v>
      </c>
      <c r="H889">
        <v>297</v>
      </c>
      <c r="I889">
        <v>2.9529999999999998</v>
      </c>
      <c r="J889">
        <v>350.64499999999998</v>
      </c>
      <c r="K889">
        <v>219</v>
      </c>
    </row>
    <row r="890" spans="1:11">
      <c r="A890">
        <v>20611</v>
      </c>
      <c r="B890" t="s">
        <v>1735</v>
      </c>
      <c r="C890" t="s">
        <v>538</v>
      </c>
      <c r="E890" t="s">
        <v>1578</v>
      </c>
      <c r="F890">
        <v>95</v>
      </c>
      <c r="G890">
        <v>1967</v>
      </c>
      <c r="H890">
        <v>962</v>
      </c>
      <c r="I890">
        <v>0</v>
      </c>
      <c r="J890">
        <v>0</v>
      </c>
      <c r="K890">
        <v>0</v>
      </c>
    </row>
    <row r="891" spans="1:11">
      <c r="A891">
        <v>28027</v>
      </c>
      <c r="B891" t="s">
        <v>980</v>
      </c>
      <c r="C891" t="s">
        <v>633</v>
      </c>
      <c r="E891" t="s">
        <v>602</v>
      </c>
      <c r="F891">
        <v>62</v>
      </c>
      <c r="G891">
        <v>1968</v>
      </c>
      <c r="H891">
        <v>386</v>
      </c>
      <c r="I891">
        <v>3.6880000000000002</v>
      </c>
      <c r="J891">
        <v>216.90799999999999</v>
      </c>
      <c r="K891">
        <v>80</v>
      </c>
    </row>
    <row r="892" spans="1:11">
      <c r="A892">
        <v>13084</v>
      </c>
      <c r="B892" t="s">
        <v>1336</v>
      </c>
      <c r="C892" t="s">
        <v>586</v>
      </c>
      <c r="E892" t="s">
        <v>487</v>
      </c>
      <c r="F892">
        <v>64</v>
      </c>
      <c r="G892">
        <v>1979</v>
      </c>
      <c r="H892">
        <v>201</v>
      </c>
      <c r="I892">
        <v>9.2200000000000006</v>
      </c>
      <c r="J892">
        <v>690.01199999999994</v>
      </c>
      <c r="K892">
        <v>265</v>
      </c>
    </row>
    <row r="893" spans="1:11">
      <c r="A893">
        <v>18049</v>
      </c>
      <c r="B893" t="s">
        <v>1547</v>
      </c>
      <c r="C893" t="s">
        <v>506</v>
      </c>
      <c r="D893" t="s">
        <v>107</v>
      </c>
      <c r="E893" t="s">
        <v>484</v>
      </c>
      <c r="F893">
        <v>21</v>
      </c>
      <c r="G893">
        <v>1947</v>
      </c>
      <c r="H893">
        <v>963</v>
      </c>
      <c r="I893">
        <v>0</v>
      </c>
      <c r="J893">
        <v>0</v>
      </c>
      <c r="K893">
        <v>0</v>
      </c>
    </row>
    <row r="894" spans="1:11">
      <c r="A894">
        <v>14079</v>
      </c>
      <c r="B894" t="s">
        <v>1337</v>
      </c>
      <c r="C894" t="s">
        <v>553</v>
      </c>
      <c r="E894" t="s">
        <v>1179</v>
      </c>
      <c r="F894">
        <v>79</v>
      </c>
      <c r="G894">
        <v>2002</v>
      </c>
      <c r="H894">
        <v>52</v>
      </c>
      <c r="I894">
        <v>26.126999999999999</v>
      </c>
      <c r="J894">
        <v>1808.0029999999999</v>
      </c>
      <c r="K894">
        <v>756</v>
      </c>
    </row>
    <row r="895" spans="1:11">
      <c r="A895">
        <v>19016</v>
      </c>
      <c r="B895" t="s">
        <v>1736</v>
      </c>
      <c r="C895" t="s">
        <v>521</v>
      </c>
      <c r="E895" t="s">
        <v>1393</v>
      </c>
      <c r="F895">
        <v>86</v>
      </c>
      <c r="G895">
        <v>1984</v>
      </c>
      <c r="H895">
        <v>964</v>
      </c>
      <c r="I895">
        <v>0</v>
      </c>
      <c r="J895">
        <v>0</v>
      </c>
      <c r="K895">
        <v>0</v>
      </c>
    </row>
    <row r="896" spans="1:11">
      <c r="A896">
        <v>21827</v>
      </c>
      <c r="B896" t="s">
        <v>981</v>
      </c>
      <c r="C896" t="s">
        <v>531</v>
      </c>
      <c r="E896" t="s">
        <v>220</v>
      </c>
      <c r="F896">
        <v>36</v>
      </c>
      <c r="G896">
        <v>1978</v>
      </c>
      <c r="H896">
        <v>965</v>
      </c>
      <c r="I896">
        <v>0</v>
      </c>
      <c r="J896">
        <v>0</v>
      </c>
      <c r="K896">
        <v>0</v>
      </c>
    </row>
    <row r="897" spans="1:11">
      <c r="A897">
        <v>15006</v>
      </c>
      <c r="B897" t="s">
        <v>1338</v>
      </c>
      <c r="C897" t="s">
        <v>531</v>
      </c>
      <c r="E897" t="s">
        <v>1081</v>
      </c>
      <c r="F897">
        <v>15</v>
      </c>
      <c r="G897">
        <v>1996</v>
      </c>
      <c r="H897">
        <v>251</v>
      </c>
      <c r="I897">
        <v>6.8289999999999997</v>
      </c>
      <c r="J897">
        <v>471.95699999999999</v>
      </c>
      <c r="K897">
        <v>173</v>
      </c>
    </row>
    <row r="898" spans="1:11">
      <c r="A898">
        <v>16005</v>
      </c>
      <c r="B898" t="s">
        <v>1338</v>
      </c>
      <c r="C898" t="s">
        <v>538</v>
      </c>
      <c r="E898" t="s">
        <v>1081</v>
      </c>
      <c r="F898">
        <v>15</v>
      </c>
      <c r="G898">
        <v>1991</v>
      </c>
      <c r="H898">
        <v>966</v>
      </c>
      <c r="I898">
        <v>0</v>
      </c>
      <c r="J898">
        <v>0</v>
      </c>
      <c r="K898">
        <v>0</v>
      </c>
    </row>
    <row r="899" spans="1:11">
      <c r="A899">
        <v>18048</v>
      </c>
      <c r="B899" t="s">
        <v>1548</v>
      </c>
      <c r="C899" t="s">
        <v>666</v>
      </c>
      <c r="D899" t="s">
        <v>107</v>
      </c>
      <c r="E899" t="s">
        <v>1081</v>
      </c>
      <c r="F899">
        <v>15</v>
      </c>
      <c r="G899">
        <v>1989</v>
      </c>
      <c r="H899">
        <v>447</v>
      </c>
      <c r="I899">
        <v>2.7040000000000002</v>
      </c>
      <c r="J899">
        <v>145.09100000000001</v>
      </c>
      <c r="K899">
        <v>34</v>
      </c>
    </row>
    <row r="900" spans="1:11">
      <c r="A900">
        <v>18094</v>
      </c>
      <c r="B900" t="s">
        <v>1549</v>
      </c>
      <c r="C900" t="s">
        <v>507</v>
      </c>
      <c r="D900" t="s">
        <v>107</v>
      </c>
      <c r="E900" t="s">
        <v>1612</v>
      </c>
      <c r="F900">
        <v>90</v>
      </c>
      <c r="G900">
        <v>1978</v>
      </c>
      <c r="H900">
        <v>967</v>
      </c>
      <c r="I900">
        <v>0</v>
      </c>
      <c r="J900">
        <v>0</v>
      </c>
      <c r="K900">
        <v>0</v>
      </c>
    </row>
    <row r="901" spans="1:11">
      <c r="A901">
        <v>18067</v>
      </c>
      <c r="B901" t="s">
        <v>1550</v>
      </c>
      <c r="C901" t="s">
        <v>1551</v>
      </c>
      <c r="E901" t="s">
        <v>1488</v>
      </c>
      <c r="F901">
        <v>88</v>
      </c>
      <c r="G901">
        <v>1974</v>
      </c>
      <c r="H901">
        <v>332</v>
      </c>
      <c r="I901">
        <v>9.407</v>
      </c>
      <c r="J901">
        <v>290.66000000000003</v>
      </c>
      <c r="K901">
        <v>0</v>
      </c>
    </row>
    <row r="902" spans="1:11">
      <c r="A902">
        <v>15067</v>
      </c>
      <c r="B902" t="s">
        <v>1339</v>
      </c>
      <c r="C902" t="s">
        <v>1340</v>
      </c>
      <c r="E902" t="s">
        <v>487</v>
      </c>
      <c r="F902">
        <v>64</v>
      </c>
      <c r="G902">
        <v>1978</v>
      </c>
      <c r="H902">
        <v>15</v>
      </c>
      <c r="I902">
        <v>41.125</v>
      </c>
      <c r="J902">
        <v>2566.616</v>
      </c>
      <c r="K902">
        <v>853</v>
      </c>
    </row>
    <row r="903" spans="1:11">
      <c r="A903">
        <v>20603</v>
      </c>
      <c r="B903" t="s">
        <v>1737</v>
      </c>
      <c r="C903" t="s">
        <v>559</v>
      </c>
      <c r="E903" t="s">
        <v>1578</v>
      </c>
      <c r="F903">
        <v>95</v>
      </c>
      <c r="G903">
        <v>1959</v>
      </c>
      <c r="H903">
        <v>968</v>
      </c>
      <c r="I903">
        <v>0</v>
      </c>
      <c r="J903">
        <v>0</v>
      </c>
      <c r="K903">
        <v>0</v>
      </c>
    </row>
    <row r="904" spans="1:11">
      <c r="A904">
        <v>20594</v>
      </c>
      <c r="B904" t="s">
        <v>1738</v>
      </c>
      <c r="C904" t="s">
        <v>597</v>
      </c>
      <c r="D904" t="s">
        <v>107</v>
      </c>
      <c r="E904" t="s">
        <v>1578</v>
      </c>
      <c r="F904">
        <v>95</v>
      </c>
      <c r="G904">
        <v>1958</v>
      </c>
      <c r="H904">
        <v>969</v>
      </c>
      <c r="I904">
        <v>0</v>
      </c>
      <c r="J904">
        <v>0</v>
      </c>
      <c r="K904">
        <v>0</v>
      </c>
    </row>
    <row r="905" spans="1:11">
      <c r="A905">
        <v>20595</v>
      </c>
      <c r="B905" t="s">
        <v>1739</v>
      </c>
      <c r="C905" t="s">
        <v>597</v>
      </c>
      <c r="D905" t="s">
        <v>107</v>
      </c>
      <c r="E905" t="s">
        <v>1578</v>
      </c>
      <c r="F905">
        <v>95</v>
      </c>
      <c r="G905">
        <v>1979</v>
      </c>
      <c r="H905">
        <v>970</v>
      </c>
      <c r="I905">
        <v>0</v>
      </c>
      <c r="J905">
        <v>0</v>
      </c>
      <c r="K905">
        <v>0</v>
      </c>
    </row>
    <row r="906" spans="1:11">
      <c r="A906">
        <v>15019</v>
      </c>
      <c r="B906" t="s">
        <v>1341</v>
      </c>
      <c r="C906" t="s">
        <v>1342</v>
      </c>
      <c r="D906" t="s">
        <v>107</v>
      </c>
      <c r="E906" t="s">
        <v>472</v>
      </c>
      <c r="F906">
        <v>54</v>
      </c>
      <c r="G906">
        <v>1952</v>
      </c>
      <c r="H906">
        <v>649</v>
      </c>
      <c r="I906">
        <v>0.375</v>
      </c>
      <c r="J906">
        <v>11.622999999999999</v>
      </c>
      <c r="K906">
        <v>0</v>
      </c>
    </row>
    <row r="907" spans="1:11">
      <c r="A907">
        <v>20573</v>
      </c>
      <c r="B907" t="s">
        <v>1740</v>
      </c>
      <c r="C907" t="s">
        <v>578</v>
      </c>
      <c r="D907" t="s">
        <v>107</v>
      </c>
      <c r="E907" t="s">
        <v>1067</v>
      </c>
      <c r="F907">
        <v>66</v>
      </c>
      <c r="G907">
        <v>1965</v>
      </c>
      <c r="H907">
        <v>378</v>
      </c>
      <c r="I907">
        <v>2.9060000000000001</v>
      </c>
      <c r="J907">
        <v>227.56399999999999</v>
      </c>
      <c r="K907">
        <v>112</v>
      </c>
    </row>
    <row r="908" spans="1:11">
      <c r="A908">
        <v>20534</v>
      </c>
      <c r="B908" t="s">
        <v>1741</v>
      </c>
      <c r="C908" t="s">
        <v>894</v>
      </c>
      <c r="D908" t="s">
        <v>107</v>
      </c>
      <c r="E908" t="s">
        <v>1473</v>
      </c>
      <c r="F908">
        <v>87</v>
      </c>
      <c r="G908">
        <v>1956</v>
      </c>
      <c r="H908">
        <v>326</v>
      </c>
      <c r="I908">
        <v>7.3140000000000001</v>
      </c>
      <c r="J908">
        <v>301.03800000000001</v>
      </c>
      <c r="K908">
        <v>49</v>
      </c>
    </row>
    <row r="909" spans="1:11">
      <c r="A909">
        <v>15078</v>
      </c>
      <c r="B909" t="s">
        <v>1343</v>
      </c>
      <c r="C909" t="s">
        <v>586</v>
      </c>
      <c r="E909" t="s">
        <v>483</v>
      </c>
      <c r="F909">
        <v>13</v>
      </c>
      <c r="G909">
        <v>1983</v>
      </c>
      <c r="H909">
        <v>519</v>
      </c>
      <c r="I909">
        <v>3.25</v>
      </c>
      <c r="J909">
        <v>83.573999999999998</v>
      </c>
      <c r="K909">
        <v>0</v>
      </c>
    </row>
    <row r="910" spans="1:11">
      <c r="A910">
        <v>18104</v>
      </c>
      <c r="B910" t="s">
        <v>1552</v>
      </c>
      <c r="C910" t="s">
        <v>514</v>
      </c>
      <c r="D910" t="s">
        <v>107</v>
      </c>
      <c r="E910" t="s">
        <v>487</v>
      </c>
      <c r="F910">
        <v>64</v>
      </c>
      <c r="G910">
        <v>1978</v>
      </c>
      <c r="H910">
        <v>454</v>
      </c>
      <c r="I910">
        <v>1.5780000000000001</v>
      </c>
      <c r="J910">
        <v>136.501</v>
      </c>
      <c r="K910">
        <v>64</v>
      </c>
    </row>
    <row r="911" spans="1:11">
      <c r="A911">
        <v>18059</v>
      </c>
      <c r="B911" t="s">
        <v>1553</v>
      </c>
      <c r="C911" t="s">
        <v>1554</v>
      </c>
      <c r="D911" t="s">
        <v>107</v>
      </c>
      <c r="E911" t="s">
        <v>1177</v>
      </c>
      <c r="F911">
        <v>78</v>
      </c>
      <c r="G911">
        <v>1986</v>
      </c>
      <c r="H911">
        <v>971</v>
      </c>
      <c r="I911">
        <v>0</v>
      </c>
      <c r="J911">
        <v>0</v>
      </c>
      <c r="K911">
        <v>0</v>
      </c>
    </row>
    <row r="912" spans="1:11">
      <c r="A912">
        <v>16137</v>
      </c>
      <c r="B912" t="s">
        <v>1447</v>
      </c>
      <c r="C912" t="s">
        <v>1448</v>
      </c>
      <c r="D912" t="s">
        <v>107</v>
      </c>
      <c r="E912" t="s">
        <v>1179</v>
      </c>
      <c r="F912">
        <v>79</v>
      </c>
      <c r="G912">
        <v>1986</v>
      </c>
      <c r="H912">
        <v>972</v>
      </c>
      <c r="I912">
        <v>0</v>
      </c>
      <c r="J912">
        <v>0</v>
      </c>
      <c r="K912">
        <v>0</v>
      </c>
    </row>
    <row r="913" spans="1:11">
      <c r="A913">
        <v>16046</v>
      </c>
      <c r="B913" t="s">
        <v>1344</v>
      </c>
      <c r="C913" t="s">
        <v>1011</v>
      </c>
      <c r="E913" t="s">
        <v>481</v>
      </c>
      <c r="F913">
        <v>69</v>
      </c>
      <c r="G913">
        <v>1949</v>
      </c>
      <c r="H913">
        <v>645</v>
      </c>
      <c r="I913">
        <v>0.875</v>
      </c>
      <c r="J913">
        <v>12.576000000000001</v>
      </c>
      <c r="K913">
        <v>0</v>
      </c>
    </row>
    <row r="914" spans="1:11">
      <c r="A914">
        <v>20612</v>
      </c>
      <c r="B914" t="s">
        <v>1742</v>
      </c>
      <c r="C914" t="s">
        <v>538</v>
      </c>
      <c r="E914" t="s">
        <v>1578</v>
      </c>
      <c r="F914">
        <v>95</v>
      </c>
      <c r="G914">
        <v>1967</v>
      </c>
      <c r="H914">
        <v>973</v>
      </c>
      <c r="I914">
        <v>0</v>
      </c>
      <c r="J914">
        <v>0</v>
      </c>
      <c r="K914">
        <v>0</v>
      </c>
    </row>
    <row r="915" spans="1:11">
      <c r="A915">
        <v>16146</v>
      </c>
      <c r="B915" t="s">
        <v>1449</v>
      </c>
      <c r="C915" t="s">
        <v>519</v>
      </c>
      <c r="E915" t="s">
        <v>1188</v>
      </c>
      <c r="F915">
        <v>82</v>
      </c>
      <c r="G915">
        <v>1984</v>
      </c>
      <c r="H915">
        <v>457</v>
      </c>
      <c r="I915">
        <v>3.25</v>
      </c>
      <c r="J915">
        <v>134.06299999999999</v>
      </c>
      <c r="K915">
        <v>0</v>
      </c>
    </row>
    <row r="916" spans="1:11">
      <c r="A916">
        <v>13024</v>
      </c>
      <c r="B916" t="s">
        <v>983</v>
      </c>
      <c r="C916" t="s">
        <v>708</v>
      </c>
      <c r="D916" t="s">
        <v>107</v>
      </c>
      <c r="E916" t="s">
        <v>1046</v>
      </c>
      <c r="F916">
        <v>75</v>
      </c>
      <c r="G916">
        <v>1985</v>
      </c>
      <c r="H916">
        <v>974</v>
      </c>
      <c r="I916">
        <v>0</v>
      </c>
      <c r="J916">
        <v>0</v>
      </c>
      <c r="K916">
        <v>0</v>
      </c>
    </row>
    <row r="917" spans="1:11">
      <c r="A917">
        <v>16135</v>
      </c>
      <c r="B917" t="s">
        <v>1450</v>
      </c>
      <c r="C917" t="s">
        <v>1192</v>
      </c>
      <c r="D917" t="s">
        <v>610</v>
      </c>
      <c r="E917" t="s">
        <v>1057</v>
      </c>
      <c r="F917">
        <v>2</v>
      </c>
      <c r="G917">
        <v>2007</v>
      </c>
      <c r="H917">
        <v>976</v>
      </c>
      <c r="I917">
        <v>0</v>
      </c>
      <c r="J917">
        <v>0</v>
      </c>
      <c r="K917">
        <v>0</v>
      </c>
    </row>
    <row r="918" spans="1:11">
      <c r="A918">
        <v>16134</v>
      </c>
      <c r="B918" t="s">
        <v>1450</v>
      </c>
      <c r="C918" t="s">
        <v>1087</v>
      </c>
      <c r="D918" t="s">
        <v>610</v>
      </c>
      <c r="E918" t="s">
        <v>1057</v>
      </c>
      <c r="F918">
        <v>2</v>
      </c>
      <c r="G918">
        <v>2004</v>
      </c>
      <c r="H918">
        <v>975</v>
      </c>
      <c r="I918">
        <v>0</v>
      </c>
      <c r="J918">
        <v>0</v>
      </c>
      <c r="K918">
        <v>0</v>
      </c>
    </row>
    <row r="919" spans="1:11">
      <c r="A919">
        <v>20505</v>
      </c>
      <c r="B919" t="s">
        <v>1743</v>
      </c>
      <c r="C919" t="s">
        <v>1554</v>
      </c>
      <c r="D919" t="s">
        <v>610</v>
      </c>
      <c r="E919" t="s">
        <v>470</v>
      </c>
      <c r="F919">
        <v>20</v>
      </c>
      <c r="G919">
        <v>2006</v>
      </c>
      <c r="H919">
        <v>442</v>
      </c>
      <c r="I919">
        <v>2.3290000000000002</v>
      </c>
      <c r="J919">
        <v>146.63900000000001</v>
      </c>
      <c r="K919">
        <v>45</v>
      </c>
    </row>
    <row r="920" spans="1:11">
      <c r="A920">
        <v>10175</v>
      </c>
      <c r="B920" t="s">
        <v>984</v>
      </c>
      <c r="C920" t="s">
        <v>526</v>
      </c>
      <c r="E920" t="s">
        <v>470</v>
      </c>
      <c r="F920">
        <v>20</v>
      </c>
      <c r="G920">
        <v>1979</v>
      </c>
      <c r="H920">
        <v>433</v>
      </c>
      <c r="I920">
        <v>3.4380000000000002</v>
      </c>
      <c r="J920">
        <v>161.67400000000001</v>
      </c>
      <c r="K920">
        <v>0</v>
      </c>
    </row>
    <row r="921" spans="1:11">
      <c r="A921">
        <v>15058</v>
      </c>
      <c r="B921" t="s">
        <v>984</v>
      </c>
      <c r="C921" t="s">
        <v>1345</v>
      </c>
      <c r="D921" t="s">
        <v>91</v>
      </c>
      <c r="E921" t="s">
        <v>470</v>
      </c>
      <c r="F921">
        <v>20</v>
      </c>
      <c r="G921">
        <v>2004</v>
      </c>
      <c r="H921">
        <v>10</v>
      </c>
      <c r="I921">
        <v>38.625</v>
      </c>
      <c r="J921">
        <v>2773.2310000000002</v>
      </c>
      <c r="K921">
        <v>1209</v>
      </c>
    </row>
    <row r="922" spans="1:11">
      <c r="A922">
        <v>17100</v>
      </c>
      <c r="B922" t="s">
        <v>1556</v>
      </c>
      <c r="C922" t="s">
        <v>703</v>
      </c>
      <c r="D922" t="s">
        <v>107</v>
      </c>
      <c r="E922" t="s">
        <v>1393</v>
      </c>
      <c r="F922">
        <v>86</v>
      </c>
      <c r="G922">
        <v>1989</v>
      </c>
      <c r="H922">
        <v>977</v>
      </c>
      <c r="I922">
        <v>0</v>
      </c>
      <c r="J922">
        <v>0</v>
      </c>
      <c r="K922">
        <v>0</v>
      </c>
    </row>
    <row r="923" spans="1:11">
      <c r="A923">
        <v>19050</v>
      </c>
      <c r="B923" t="s">
        <v>1744</v>
      </c>
      <c r="C923" t="s">
        <v>747</v>
      </c>
      <c r="D923" t="s">
        <v>107</v>
      </c>
      <c r="E923" t="s">
        <v>1393</v>
      </c>
      <c r="F923">
        <v>86</v>
      </c>
      <c r="G923">
        <v>1992</v>
      </c>
      <c r="H923">
        <v>978</v>
      </c>
      <c r="I923">
        <v>0</v>
      </c>
      <c r="J923">
        <v>0</v>
      </c>
      <c r="K923">
        <v>0</v>
      </c>
    </row>
    <row r="924" spans="1:11">
      <c r="A924">
        <v>10098</v>
      </c>
      <c r="B924" t="s">
        <v>985</v>
      </c>
      <c r="C924" t="s">
        <v>986</v>
      </c>
      <c r="E924" t="s">
        <v>481</v>
      </c>
      <c r="F924">
        <v>69</v>
      </c>
      <c r="G924">
        <v>1959</v>
      </c>
      <c r="H924">
        <v>979</v>
      </c>
      <c r="I924">
        <v>0</v>
      </c>
      <c r="J924">
        <v>0</v>
      </c>
      <c r="K924">
        <v>0</v>
      </c>
    </row>
    <row r="925" spans="1:11">
      <c r="A925">
        <v>17052</v>
      </c>
      <c r="B925" t="s">
        <v>1451</v>
      </c>
      <c r="C925" t="s">
        <v>511</v>
      </c>
      <c r="E925" t="s">
        <v>1393</v>
      </c>
      <c r="F925">
        <v>86</v>
      </c>
      <c r="G925">
        <v>1962</v>
      </c>
      <c r="H925">
        <v>190</v>
      </c>
      <c r="I925">
        <v>12.563000000000001</v>
      </c>
      <c r="J925">
        <v>740.46400000000006</v>
      </c>
      <c r="K925">
        <v>221</v>
      </c>
    </row>
    <row r="926" spans="1:11">
      <c r="A926">
        <v>17055</v>
      </c>
      <c r="B926" t="s">
        <v>1451</v>
      </c>
      <c r="C926" t="s">
        <v>1351</v>
      </c>
      <c r="E926" t="s">
        <v>1393</v>
      </c>
      <c r="F926">
        <v>86</v>
      </c>
      <c r="G926">
        <v>2000</v>
      </c>
      <c r="H926">
        <v>209</v>
      </c>
      <c r="I926">
        <v>12.345000000000001</v>
      </c>
      <c r="J926">
        <v>647.85</v>
      </c>
      <c r="K926">
        <v>138</v>
      </c>
    </row>
    <row r="927" spans="1:11">
      <c r="A927">
        <v>16144</v>
      </c>
      <c r="B927" t="s">
        <v>1451</v>
      </c>
      <c r="C927" t="s">
        <v>700</v>
      </c>
      <c r="E927" t="s">
        <v>1393</v>
      </c>
      <c r="F927">
        <v>86</v>
      </c>
      <c r="G927">
        <v>1992</v>
      </c>
      <c r="H927">
        <v>304</v>
      </c>
      <c r="I927">
        <v>7.6890000000000001</v>
      </c>
      <c r="J927">
        <v>338.56799999999998</v>
      </c>
      <c r="K927">
        <v>0</v>
      </c>
    </row>
    <row r="928" spans="1:11">
      <c r="A928">
        <v>96127</v>
      </c>
      <c r="B928" t="s">
        <v>987</v>
      </c>
      <c r="C928" t="s">
        <v>580</v>
      </c>
      <c r="E928" t="s">
        <v>478</v>
      </c>
      <c r="F928">
        <v>7</v>
      </c>
      <c r="G928">
        <v>1973</v>
      </c>
      <c r="H928">
        <v>980</v>
      </c>
      <c r="I928">
        <v>0</v>
      </c>
      <c r="J928">
        <v>0</v>
      </c>
      <c r="K928">
        <v>0</v>
      </c>
    </row>
    <row r="929" spans="1:11">
      <c r="A929">
        <v>28036</v>
      </c>
      <c r="B929" t="s">
        <v>988</v>
      </c>
      <c r="C929" t="s">
        <v>681</v>
      </c>
      <c r="E929" t="s">
        <v>156</v>
      </c>
      <c r="F929">
        <v>6</v>
      </c>
      <c r="G929">
        <v>1943</v>
      </c>
      <c r="H929">
        <v>389</v>
      </c>
      <c r="I929">
        <v>6.1879999999999997</v>
      </c>
      <c r="J929">
        <v>215.77699999999999</v>
      </c>
      <c r="K929">
        <v>30</v>
      </c>
    </row>
    <row r="930" spans="1:11">
      <c r="A930">
        <v>18057</v>
      </c>
      <c r="B930" t="s">
        <v>1557</v>
      </c>
      <c r="C930" t="s">
        <v>553</v>
      </c>
      <c r="E930" t="s">
        <v>472</v>
      </c>
      <c r="F930">
        <v>54</v>
      </c>
      <c r="G930">
        <v>1957</v>
      </c>
      <c r="H930">
        <v>444</v>
      </c>
      <c r="I930">
        <v>3</v>
      </c>
      <c r="J930">
        <v>145.5</v>
      </c>
      <c r="K930">
        <v>0</v>
      </c>
    </row>
    <row r="931" spans="1:11">
      <c r="A931">
        <v>14090</v>
      </c>
      <c r="B931" t="s">
        <v>1346</v>
      </c>
      <c r="C931" t="s">
        <v>627</v>
      </c>
      <c r="E931" t="s">
        <v>1179</v>
      </c>
      <c r="F931">
        <v>79</v>
      </c>
      <c r="G931">
        <v>1987</v>
      </c>
      <c r="H931">
        <v>981</v>
      </c>
      <c r="I931">
        <v>0</v>
      </c>
      <c r="J931">
        <v>0</v>
      </c>
      <c r="K931">
        <v>0</v>
      </c>
    </row>
    <row r="932" spans="1:11">
      <c r="A932">
        <v>12083</v>
      </c>
      <c r="B932" t="s">
        <v>1105</v>
      </c>
      <c r="C932" t="s">
        <v>686</v>
      </c>
      <c r="E932" t="s">
        <v>542</v>
      </c>
      <c r="F932">
        <v>73</v>
      </c>
      <c r="G932">
        <v>1954</v>
      </c>
      <c r="H932">
        <v>100</v>
      </c>
      <c r="I932">
        <v>19.939</v>
      </c>
      <c r="J932">
        <v>1403.7729999999999</v>
      </c>
      <c r="K932">
        <v>641</v>
      </c>
    </row>
    <row r="933" spans="1:11">
      <c r="A933">
        <v>20525</v>
      </c>
      <c r="B933" t="s">
        <v>1745</v>
      </c>
      <c r="C933" t="s">
        <v>792</v>
      </c>
      <c r="D933" t="s">
        <v>107</v>
      </c>
      <c r="E933" t="s">
        <v>1393</v>
      </c>
      <c r="F933">
        <v>86</v>
      </c>
      <c r="G933">
        <v>1993</v>
      </c>
      <c r="H933">
        <v>305</v>
      </c>
      <c r="I933">
        <v>3</v>
      </c>
      <c r="J933">
        <v>338.50400000000002</v>
      </c>
      <c r="K933">
        <v>206</v>
      </c>
    </row>
    <row r="934" spans="1:11">
      <c r="A934">
        <v>17038</v>
      </c>
      <c r="B934" t="s">
        <v>1452</v>
      </c>
      <c r="C934" t="s">
        <v>507</v>
      </c>
      <c r="D934" t="s">
        <v>107</v>
      </c>
      <c r="E934" t="s">
        <v>216</v>
      </c>
      <c r="F934">
        <v>33</v>
      </c>
      <c r="G934">
        <v>1962</v>
      </c>
      <c r="H934">
        <v>179</v>
      </c>
      <c r="I934">
        <v>13.19</v>
      </c>
      <c r="J934">
        <v>796.24300000000005</v>
      </c>
      <c r="K934">
        <v>266</v>
      </c>
    </row>
    <row r="935" spans="1:11">
      <c r="A935">
        <v>10094</v>
      </c>
      <c r="B935" t="s">
        <v>989</v>
      </c>
      <c r="C935" t="s">
        <v>633</v>
      </c>
      <c r="E935" t="s">
        <v>481</v>
      </c>
      <c r="F935">
        <v>69</v>
      </c>
      <c r="G935">
        <v>1949</v>
      </c>
      <c r="H935">
        <v>597</v>
      </c>
      <c r="I935">
        <v>1.75</v>
      </c>
      <c r="J935">
        <v>34.287999999999997</v>
      </c>
      <c r="K935">
        <v>0</v>
      </c>
    </row>
    <row r="936" spans="1:11">
      <c r="A936">
        <v>14066</v>
      </c>
      <c r="B936" t="s">
        <v>1347</v>
      </c>
      <c r="C936" t="s">
        <v>511</v>
      </c>
      <c r="E936" t="s">
        <v>1057</v>
      </c>
      <c r="F936">
        <v>2</v>
      </c>
      <c r="G936">
        <v>1972</v>
      </c>
      <c r="H936">
        <v>982</v>
      </c>
      <c r="I936">
        <v>0</v>
      </c>
      <c r="J936">
        <v>0</v>
      </c>
      <c r="K936">
        <v>0</v>
      </c>
    </row>
    <row r="937" spans="1:11">
      <c r="A937">
        <v>11037</v>
      </c>
      <c r="B937" t="s">
        <v>990</v>
      </c>
      <c r="C937" t="s">
        <v>991</v>
      </c>
      <c r="E937" t="s">
        <v>493</v>
      </c>
      <c r="F937">
        <v>1</v>
      </c>
      <c r="G937">
        <v>1983</v>
      </c>
      <c r="H937">
        <v>138</v>
      </c>
      <c r="I937">
        <v>20.626000000000001</v>
      </c>
      <c r="J937">
        <v>1056.6400000000001</v>
      </c>
      <c r="K937">
        <v>280</v>
      </c>
    </row>
    <row r="938" spans="1:11">
      <c r="A938">
        <v>26041</v>
      </c>
      <c r="B938" t="s">
        <v>992</v>
      </c>
      <c r="C938" t="s">
        <v>749</v>
      </c>
      <c r="D938" t="s">
        <v>107</v>
      </c>
      <c r="E938" t="s">
        <v>1069</v>
      </c>
      <c r="F938">
        <v>28</v>
      </c>
      <c r="G938">
        <v>1953</v>
      </c>
      <c r="H938">
        <v>983</v>
      </c>
      <c r="I938">
        <v>0</v>
      </c>
      <c r="J938">
        <v>0</v>
      </c>
      <c r="K938">
        <v>0</v>
      </c>
    </row>
    <row r="939" spans="1:11">
      <c r="A939">
        <v>20689</v>
      </c>
      <c r="B939" t="s">
        <v>993</v>
      </c>
      <c r="C939" t="s">
        <v>559</v>
      </c>
      <c r="E939" t="s">
        <v>155</v>
      </c>
      <c r="F939">
        <v>22</v>
      </c>
      <c r="G939">
        <v>1959</v>
      </c>
      <c r="H939">
        <v>984</v>
      </c>
      <c r="I939">
        <v>0</v>
      </c>
      <c r="J939">
        <v>0</v>
      </c>
      <c r="K939">
        <v>0</v>
      </c>
    </row>
    <row r="940" spans="1:11">
      <c r="A940">
        <v>14094</v>
      </c>
      <c r="B940" t="s">
        <v>1348</v>
      </c>
      <c r="C940" t="s">
        <v>559</v>
      </c>
      <c r="E940" t="s">
        <v>163</v>
      </c>
      <c r="F940">
        <v>43</v>
      </c>
      <c r="G940">
        <v>1954</v>
      </c>
      <c r="H940">
        <v>65</v>
      </c>
      <c r="I940">
        <v>26.376999999999999</v>
      </c>
      <c r="J940">
        <v>1714.616</v>
      </c>
      <c r="K940">
        <v>751</v>
      </c>
    </row>
    <row r="941" spans="1:11">
      <c r="A941">
        <v>23060</v>
      </c>
      <c r="B941" t="s">
        <v>994</v>
      </c>
      <c r="C941" t="s">
        <v>550</v>
      </c>
      <c r="E941" t="s">
        <v>474</v>
      </c>
      <c r="F941">
        <v>63</v>
      </c>
      <c r="G941">
        <v>1954</v>
      </c>
      <c r="H941">
        <v>150</v>
      </c>
      <c r="I941">
        <v>19.814</v>
      </c>
      <c r="J941">
        <v>975.91300000000001</v>
      </c>
      <c r="K941">
        <v>268</v>
      </c>
    </row>
    <row r="942" spans="1:11">
      <c r="A942">
        <v>19002</v>
      </c>
      <c r="B942" t="s">
        <v>1746</v>
      </c>
      <c r="C942" t="s">
        <v>618</v>
      </c>
      <c r="D942" t="s">
        <v>610</v>
      </c>
      <c r="E942" t="s">
        <v>1223</v>
      </c>
      <c r="F942">
        <v>77</v>
      </c>
      <c r="G942">
        <v>2010</v>
      </c>
      <c r="H942">
        <v>985</v>
      </c>
      <c r="I942">
        <v>0</v>
      </c>
      <c r="J942">
        <v>0</v>
      </c>
      <c r="K942">
        <v>0</v>
      </c>
    </row>
    <row r="943" spans="1:11">
      <c r="A943">
        <v>19003</v>
      </c>
      <c r="B943" t="s">
        <v>1746</v>
      </c>
      <c r="C943" t="s">
        <v>1087</v>
      </c>
      <c r="D943" t="s">
        <v>610</v>
      </c>
      <c r="E943" t="s">
        <v>1223</v>
      </c>
      <c r="F943">
        <v>77</v>
      </c>
      <c r="G943">
        <v>2003</v>
      </c>
      <c r="H943">
        <v>535</v>
      </c>
      <c r="I943">
        <v>1.5</v>
      </c>
      <c r="J943">
        <v>71.671999999999997</v>
      </c>
      <c r="K943">
        <v>0</v>
      </c>
    </row>
    <row r="944" spans="1:11">
      <c r="A944">
        <v>29043</v>
      </c>
      <c r="B944" t="s">
        <v>1349</v>
      </c>
      <c r="C944" t="s">
        <v>633</v>
      </c>
      <c r="E944" t="s">
        <v>1057</v>
      </c>
      <c r="F944">
        <v>2</v>
      </c>
      <c r="G944">
        <v>1953</v>
      </c>
      <c r="H944">
        <v>986</v>
      </c>
      <c r="I944">
        <v>0</v>
      </c>
      <c r="J944">
        <v>0</v>
      </c>
      <c r="K944">
        <v>0</v>
      </c>
    </row>
    <row r="945" spans="1:11">
      <c r="A945">
        <v>16004</v>
      </c>
      <c r="B945" t="s">
        <v>1350</v>
      </c>
      <c r="C945" t="s">
        <v>1351</v>
      </c>
      <c r="D945" t="s">
        <v>91</v>
      </c>
      <c r="E945" t="s">
        <v>474</v>
      </c>
      <c r="F945">
        <v>63</v>
      </c>
      <c r="G945">
        <v>2003</v>
      </c>
      <c r="H945">
        <v>525</v>
      </c>
      <c r="I945">
        <v>2.625</v>
      </c>
      <c r="J945">
        <v>80.153999999999996</v>
      </c>
      <c r="K945">
        <v>0</v>
      </c>
    </row>
    <row r="946" spans="1:11">
      <c r="A946">
        <v>97294</v>
      </c>
      <c r="B946" t="s">
        <v>995</v>
      </c>
      <c r="C946" t="s">
        <v>538</v>
      </c>
      <c r="E946" t="s">
        <v>156</v>
      </c>
      <c r="F946">
        <v>6</v>
      </c>
      <c r="G946">
        <v>1968</v>
      </c>
      <c r="H946">
        <v>987</v>
      </c>
      <c r="I946">
        <v>0</v>
      </c>
      <c r="J946">
        <v>0</v>
      </c>
      <c r="K946">
        <v>0</v>
      </c>
    </row>
    <row r="947" spans="1:11">
      <c r="A947">
        <v>13047</v>
      </c>
      <c r="B947" t="s">
        <v>1106</v>
      </c>
      <c r="C947" t="s">
        <v>747</v>
      </c>
      <c r="E947" t="s">
        <v>1069</v>
      </c>
      <c r="F947">
        <v>28</v>
      </c>
      <c r="G947">
        <v>1957</v>
      </c>
      <c r="H947">
        <v>557</v>
      </c>
      <c r="I947">
        <v>2.0009999999999999</v>
      </c>
      <c r="J947">
        <v>59.915999999999997</v>
      </c>
      <c r="K947">
        <v>0</v>
      </c>
    </row>
    <row r="948" spans="1:11">
      <c r="A948">
        <v>11031</v>
      </c>
      <c r="B948" t="s">
        <v>996</v>
      </c>
      <c r="C948" t="s">
        <v>531</v>
      </c>
      <c r="E948" t="s">
        <v>1057</v>
      </c>
      <c r="F948">
        <v>2</v>
      </c>
      <c r="G948">
        <v>1966</v>
      </c>
      <c r="H948">
        <v>526</v>
      </c>
      <c r="I948">
        <v>2.2810000000000001</v>
      </c>
      <c r="J948">
        <v>78.12</v>
      </c>
      <c r="K948">
        <v>15</v>
      </c>
    </row>
    <row r="949" spans="1:11">
      <c r="A949">
        <v>22959</v>
      </c>
      <c r="B949" t="s">
        <v>1558</v>
      </c>
      <c r="C949" t="s">
        <v>531</v>
      </c>
      <c r="E949" t="s">
        <v>200</v>
      </c>
      <c r="F949">
        <v>19</v>
      </c>
      <c r="G949">
        <v>1959</v>
      </c>
      <c r="H949">
        <v>988</v>
      </c>
      <c r="I949">
        <v>0</v>
      </c>
      <c r="J949">
        <v>0</v>
      </c>
      <c r="K949">
        <v>0</v>
      </c>
    </row>
    <row r="950" spans="1:11">
      <c r="A950">
        <v>20520</v>
      </c>
      <c r="B950" t="s">
        <v>1747</v>
      </c>
      <c r="C950" t="s">
        <v>531</v>
      </c>
      <c r="E950" t="s">
        <v>1065</v>
      </c>
      <c r="F950">
        <v>74</v>
      </c>
      <c r="G950">
        <v>1957</v>
      </c>
      <c r="H950">
        <v>989</v>
      </c>
      <c r="I950">
        <v>0</v>
      </c>
      <c r="J950">
        <v>0</v>
      </c>
      <c r="K950">
        <v>0</v>
      </c>
    </row>
    <row r="951" spans="1:11">
      <c r="A951">
        <v>20556</v>
      </c>
      <c r="B951" t="s">
        <v>1748</v>
      </c>
      <c r="C951" t="s">
        <v>553</v>
      </c>
      <c r="E951" t="s">
        <v>1179</v>
      </c>
      <c r="F951">
        <v>79</v>
      </c>
      <c r="G951">
        <v>1987</v>
      </c>
      <c r="H951">
        <v>990</v>
      </c>
      <c r="I951">
        <v>0</v>
      </c>
      <c r="J951">
        <v>0</v>
      </c>
      <c r="K951">
        <v>0</v>
      </c>
    </row>
    <row r="952" spans="1:11">
      <c r="A952">
        <v>21861</v>
      </c>
      <c r="B952" t="s">
        <v>1107</v>
      </c>
      <c r="C952" t="s">
        <v>538</v>
      </c>
      <c r="E952" t="s">
        <v>216</v>
      </c>
      <c r="F952">
        <v>33</v>
      </c>
      <c r="G952">
        <v>1962</v>
      </c>
      <c r="H952">
        <v>596</v>
      </c>
      <c r="I952">
        <v>0.875</v>
      </c>
      <c r="J952">
        <v>37.436999999999998</v>
      </c>
      <c r="K952">
        <v>0</v>
      </c>
    </row>
    <row r="953" spans="1:11">
      <c r="A953">
        <v>22012</v>
      </c>
      <c r="B953" t="s">
        <v>997</v>
      </c>
      <c r="C953" t="s">
        <v>511</v>
      </c>
      <c r="E953" t="s">
        <v>163</v>
      </c>
      <c r="F953">
        <v>43</v>
      </c>
      <c r="G953">
        <v>1980</v>
      </c>
      <c r="H953">
        <v>143</v>
      </c>
      <c r="I953">
        <v>11.814</v>
      </c>
      <c r="J953">
        <v>1025.653</v>
      </c>
      <c r="K953">
        <v>536</v>
      </c>
    </row>
    <row r="954" spans="1:11">
      <c r="A954">
        <v>24281</v>
      </c>
      <c r="B954" t="s">
        <v>997</v>
      </c>
      <c r="C954" t="s">
        <v>511</v>
      </c>
      <c r="E954" t="s">
        <v>164</v>
      </c>
      <c r="F954">
        <v>52</v>
      </c>
      <c r="G954">
        <v>1969</v>
      </c>
      <c r="H954">
        <v>195</v>
      </c>
      <c r="I954">
        <v>7.8760000000000003</v>
      </c>
      <c r="J954">
        <v>715.35699999999997</v>
      </c>
      <c r="K954">
        <v>377</v>
      </c>
    </row>
    <row r="955" spans="1:11">
      <c r="A955">
        <v>14052</v>
      </c>
      <c r="B955" t="s">
        <v>1352</v>
      </c>
      <c r="C955" t="s">
        <v>597</v>
      </c>
      <c r="D955" t="s">
        <v>107</v>
      </c>
      <c r="E955" t="s">
        <v>1223</v>
      </c>
      <c r="F955">
        <v>77</v>
      </c>
      <c r="G955">
        <v>1970</v>
      </c>
      <c r="H955">
        <v>205</v>
      </c>
      <c r="I955">
        <v>7.4059999999999997</v>
      </c>
      <c r="J955">
        <v>666.86599999999999</v>
      </c>
      <c r="K955">
        <v>325</v>
      </c>
    </row>
    <row r="956" spans="1:11">
      <c r="A956">
        <v>21795</v>
      </c>
      <c r="B956" t="s">
        <v>1353</v>
      </c>
      <c r="C956" t="s">
        <v>1354</v>
      </c>
      <c r="E956" t="s">
        <v>475</v>
      </c>
      <c r="F956">
        <v>27</v>
      </c>
      <c r="G956">
        <v>1956</v>
      </c>
      <c r="H956">
        <v>546</v>
      </c>
      <c r="I956">
        <v>1.5629999999999999</v>
      </c>
      <c r="J956">
        <v>65.972999999999999</v>
      </c>
      <c r="K956">
        <v>0</v>
      </c>
    </row>
    <row r="957" spans="1:11">
      <c r="A957">
        <v>16127</v>
      </c>
      <c r="B957" t="s">
        <v>1453</v>
      </c>
      <c r="C957" t="s">
        <v>884</v>
      </c>
      <c r="D957" t="s">
        <v>610</v>
      </c>
      <c r="E957" t="s">
        <v>1057</v>
      </c>
      <c r="F957">
        <v>2</v>
      </c>
      <c r="G957">
        <v>2008</v>
      </c>
      <c r="H957">
        <v>992</v>
      </c>
      <c r="I957">
        <v>0</v>
      </c>
      <c r="J957">
        <v>0</v>
      </c>
      <c r="K957">
        <v>0</v>
      </c>
    </row>
    <row r="958" spans="1:11">
      <c r="A958">
        <v>16126</v>
      </c>
      <c r="B958" t="s">
        <v>1453</v>
      </c>
      <c r="C958" t="s">
        <v>523</v>
      </c>
      <c r="D958" t="s">
        <v>610</v>
      </c>
      <c r="E958" t="s">
        <v>1057</v>
      </c>
      <c r="F958">
        <v>2</v>
      </c>
      <c r="G958">
        <v>2010</v>
      </c>
      <c r="H958">
        <v>991</v>
      </c>
      <c r="I958">
        <v>0</v>
      </c>
      <c r="J958">
        <v>0</v>
      </c>
      <c r="K958">
        <v>0</v>
      </c>
    </row>
    <row r="959" spans="1:11">
      <c r="A959">
        <v>14054</v>
      </c>
      <c r="B959" t="s">
        <v>1355</v>
      </c>
      <c r="C959" t="s">
        <v>547</v>
      </c>
      <c r="E959" t="s">
        <v>478</v>
      </c>
      <c r="F959">
        <v>7</v>
      </c>
      <c r="G959">
        <v>1962</v>
      </c>
      <c r="H959">
        <v>993</v>
      </c>
      <c r="I959">
        <v>0</v>
      </c>
      <c r="J959">
        <v>0</v>
      </c>
      <c r="K959">
        <v>0</v>
      </c>
    </row>
    <row r="960" spans="1:11">
      <c r="A960">
        <v>18120</v>
      </c>
      <c r="B960" t="s">
        <v>1559</v>
      </c>
      <c r="C960" t="s">
        <v>578</v>
      </c>
      <c r="D960" t="s">
        <v>107</v>
      </c>
      <c r="E960" t="s">
        <v>1477</v>
      </c>
      <c r="F960">
        <v>91</v>
      </c>
      <c r="G960">
        <v>1972</v>
      </c>
      <c r="H960">
        <v>994</v>
      </c>
      <c r="I960">
        <v>0</v>
      </c>
      <c r="J960">
        <v>0</v>
      </c>
      <c r="K960">
        <v>0</v>
      </c>
    </row>
    <row r="961" spans="1:11">
      <c r="A961">
        <v>18082</v>
      </c>
      <c r="B961" t="s">
        <v>1356</v>
      </c>
      <c r="C961" t="s">
        <v>520</v>
      </c>
      <c r="E961" t="s">
        <v>1467</v>
      </c>
      <c r="F961">
        <v>89</v>
      </c>
      <c r="G961">
        <v>1962</v>
      </c>
      <c r="H961">
        <v>995</v>
      </c>
      <c r="I961">
        <v>0</v>
      </c>
      <c r="J961">
        <v>0</v>
      </c>
      <c r="K961">
        <v>0</v>
      </c>
    </row>
    <row r="962" spans="1:11">
      <c r="A962">
        <v>18083</v>
      </c>
      <c r="B962" t="s">
        <v>1357</v>
      </c>
      <c r="C962" t="s">
        <v>933</v>
      </c>
      <c r="D962" t="s">
        <v>107</v>
      </c>
      <c r="E962" t="s">
        <v>1467</v>
      </c>
      <c r="F962">
        <v>89</v>
      </c>
      <c r="G962">
        <v>1965</v>
      </c>
      <c r="H962">
        <v>996</v>
      </c>
      <c r="I962">
        <v>0</v>
      </c>
      <c r="J962">
        <v>0</v>
      </c>
      <c r="K962">
        <v>0</v>
      </c>
    </row>
    <row r="963" spans="1:11">
      <c r="A963">
        <v>19062</v>
      </c>
      <c r="B963" t="s">
        <v>1749</v>
      </c>
      <c r="C963" t="s">
        <v>749</v>
      </c>
      <c r="D963" t="s">
        <v>107</v>
      </c>
      <c r="E963" t="s">
        <v>1223</v>
      </c>
      <c r="F963">
        <v>77</v>
      </c>
      <c r="G963">
        <v>1950</v>
      </c>
      <c r="H963">
        <v>461</v>
      </c>
      <c r="I963">
        <v>4.9690000000000003</v>
      </c>
      <c r="J963">
        <v>130.38900000000001</v>
      </c>
      <c r="K963">
        <v>19</v>
      </c>
    </row>
    <row r="964" spans="1:11">
      <c r="A964">
        <v>25075</v>
      </c>
      <c r="B964" t="s">
        <v>998</v>
      </c>
      <c r="C964" t="s">
        <v>519</v>
      </c>
      <c r="E964" t="s">
        <v>1063</v>
      </c>
      <c r="F964">
        <v>55</v>
      </c>
      <c r="G964">
        <v>1958</v>
      </c>
      <c r="H964">
        <v>133</v>
      </c>
      <c r="I964">
        <v>14.627000000000001</v>
      </c>
      <c r="J964">
        <v>1117.9100000000001</v>
      </c>
      <c r="K964">
        <v>489</v>
      </c>
    </row>
    <row r="965" spans="1:11">
      <c r="A965">
        <v>16010</v>
      </c>
      <c r="B965" t="s">
        <v>1358</v>
      </c>
      <c r="C965" t="s">
        <v>646</v>
      </c>
      <c r="D965" t="s">
        <v>107</v>
      </c>
      <c r="E965" t="s">
        <v>487</v>
      </c>
      <c r="F965">
        <v>64</v>
      </c>
      <c r="G965">
        <v>1962</v>
      </c>
      <c r="H965">
        <v>56</v>
      </c>
      <c r="I965">
        <v>33.188000000000002</v>
      </c>
      <c r="J965">
        <v>1764.5530000000001</v>
      </c>
      <c r="K965">
        <v>402</v>
      </c>
    </row>
    <row r="966" spans="1:11">
      <c r="A966">
        <v>99600</v>
      </c>
      <c r="B966" t="s">
        <v>999</v>
      </c>
      <c r="C966" t="s">
        <v>520</v>
      </c>
      <c r="E966" t="s">
        <v>200</v>
      </c>
      <c r="F966">
        <v>19</v>
      </c>
      <c r="G966">
        <v>1966</v>
      </c>
      <c r="H966">
        <v>164</v>
      </c>
      <c r="I966">
        <v>14.781000000000001</v>
      </c>
      <c r="J966">
        <v>871.1</v>
      </c>
      <c r="K966">
        <v>329</v>
      </c>
    </row>
    <row r="967" spans="1:11">
      <c r="A967">
        <v>15080</v>
      </c>
      <c r="B967" t="s">
        <v>1359</v>
      </c>
      <c r="C967" t="s">
        <v>725</v>
      </c>
      <c r="E967" t="s">
        <v>483</v>
      </c>
      <c r="F967">
        <v>13</v>
      </c>
      <c r="G967">
        <v>1983</v>
      </c>
      <c r="H967">
        <v>562</v>
      </c>
      <c r="I967">
        <v>2</v>
      </c>
      <c r="J967">
        <v>58.314</v>
      </c>
      <c r="K967">
        <v>0</v>
      </c>
    </row>
    <row r="968" spans="1:11">
      <c r="A968">
        <v>97297</v>
      </c>
      <c r="B968" t="s">
        <v>1000</v>
      </c>
      <c r="C968" t="s">
        <v>531</v>
      </c>
      <c r="E968" t="s">
        <v>198</v>
      </c>
      <c r="F968">
        <v>17</v>
      </c>
      <c r="G968">
        <v>1959</v>
      </c>
      <c r="H968">
        <v>997</v>
      </c>
      <c r="I968">
        <v>0</v>
      </c>
      <c r="J968">
        <v>0</v>
      </c>
      <c r="K968">
        <v>0</v>
      </c>
    </row>
    <row r="969" spans="1:11">
      <c r="A969">
        <v>99537</v>
      </c>
      <c r="B969" t="s">
        <v>1000</v>
      </c>
      <c r="C969" t="s">
        <v>526</v>
      </c>
      <c r="E969" t="s">
        <v>198</v>
      </c>
      <c r="F969">
        <v>17</v>
      </c>
      <c r="G969">
        <v>1986</v>
      </c>
      <c r="H969">
        <v>998</v>
      </c>
      <c r="I969">
        <v>0</v>
      </c>
      <c r="J969">
        <v>0</v>
      </c>
      <c r="K969">
        <v>0</v>
      </c>
    </row>
    <row r="970" spans="1:11">
      <c r="A970">
        <v>21813</v>
      </c>
      <c r="B970" t="s">
        <v>1001</v>
      </c>
      <c r="C970" t="s">
        <v>506</v>
      </c>
      <c r="D970" t="s">
        <v>107</v>
      </c>
      <c r="E970" t="s">
        <v>198</v>
      </c>
      <c r="F970">
        <v>17</v>
      </c>
      <c r="G970">
        <v>1988</v>
      </c>
      <c r="H970">
        <v>999</v>
      </c>
      <c r="I970">
        <v>0</v>
      </c>
      <c r="J970">
        <v>0</v>
      </c>
      <c r="K970">
        <v>0</v>
      </c>
    </row>
    <row r="971" spans="1:11">
      <c r="A971">
        <v>18109</v>
      </c>
      <c r="B971" t="s">
        <v>1560</v>
      </c>
      <c r="C971" t="s">
        <v>511</v>
      </c>
      <c r="E971" t="s">
        <v>1612</v>
      </c>
      <c r="F971">
        <v>90</v>
      </c>
      <c r="G971">
        <v>1986</v>
      </c>
      <c r="H971">
        <v>97</v>
      </c>
      <c r="I971">
        <v>20.001999999999999</v>
      </c>
      <c r="J971">
        <v>1420.0730000000001</v>
      </c>
      <c r="K971">
        <v>640</v>
      </c>
    </row>
    <row r="972" spans="1:11">
      <c r="A972">
        <v>20569</v>
      </c>
      <c r="B972" t="s">
        <v>1560</v>
      </c>
      <c r="C972" t="s">
        <v>807</v>
      </c>
      <c r="E972" t="s">
        <v>1612</v>
      </c>
      <c r="F972">
        <v>90</v>
      </c>
      <c r="G972">
        <v>1994</v>
      </c>
      <c r="H972">
        <v>508</v>
      </c>
      <c r="I972">
        <v>2.5630000000000002</v>
      </c>
      <c r="J972">
        <v>91.185000000000002</v>
      </c>
      <c r="K972">
        <v>0</v>
      </c>
    </row>
    <row r="973" spans="1:11">
      <c r="A973">
        <v>19058</v>
      </c>
      <c r="B973" t="s">
        <v>1750</v>
      </c>
      <c r="C973" t="s">
        <v>1192</v>
      </c>
      <c r="D973" t="s">
        <v>610</v>
      </c>
      <c r="E973" t="s">
        <v>1612</v>
      </c>
      <c r="F973">
        <v>90</v>
      </c>
      <c r="G973">
        <v>2010</v>
      </c>
      <c r="H973">
        <v>353</v>
      </c>
      <c r="I973">
        <v>3.859</v>
      </c>
      <c r="J973">
        <v>253.98500000000001</v>
      </c>
      <c r="K973">
        <v>88</v>
      </c>
    </row>
    <row r="974" spans="1:11">
      <c r="A974">
        <v>19076</v>
      </c>
      <c r="B974" t="s">
        <v>1751</v>
      </c>
      <c r="C974" t="s">
        <v>501</v>
      </c>
      <c r="D974" t="s">
        <v>91</v>
      </c>
      <c r="E974" t="s">
        <v>1467</v>
      </c>
      <c r="F974">
        <v>89</v>
      </c>
      <c r="G974">
        <v>2007</v>
      </c>
      <c r="H974">
        <v>415</v>
      </c>
      <c r="I974">
        <v>4.1100000000000003</v>
      </c>
      <c r="J974">
        <v>182.74100000000001</v>
      </c>
      <c r="K974">
        <v>19</v>
      </c>
    </row>
    <row r="975" spans="1:11">
      <c r="A975">
        <v>20577</v>
      </c>
      <c r="B975" t="s">
        <v>1751</v>
      </c>
      <c r="C975" t="s">
        <v>553</v>
      </c>
      <c r="D975" t="s">
        <v>91</v>
      </c>
      <c r="E975" t="s">
        <v>1467</v>
      </c>
      <c r="F975">
        <v>89</v>
      </c>
      <c r="G975">
        <v>2008</v>
      </c>
      <c r="H975">
        <v>604</v>
      </c>
      <c r="I975">
        <v>0.81299999999999994</v>
      </c>
      <c r="J975">
        <v>31.87</v>
      </c>
      <c r="K975">
        <v>0</v>
      </c>
    </row>
    <row r="976" spans="1:11">
      <c r="A976">
        <v>19079</v>
      </c>
      <c r="B976" t="s">
        <v>1751</v>
      </c>
      <c r="C976" t="s">
        <v>550</v>
      </c>
      <c r="E976" t="s">
        <v>1467</v>
      </c>
      <c r="F976">
        <v>89</v>
      </c>
      <c r="G976">
        <v>1968</v>
      </c>
      <c r="H976">
        <v>369</v>
      </c>
      <c r="I976">
        <v>6.11</v>
      </c>
      <c r="J976">
        <v>238.49600000000001</v>
      </c>
      <c r="K976">
        <v>19</v>
      </c>
    </row>
    <row r="977" spans="1:11">
      <c r="A977">
        <v>19077</v>
      </c>
      <c r="B977" t="s">
        <v>1752</v>
      </c>
      <c r="C977" t="s">
        <v>507</v>
      </c>
      <c r="D977" t="s">
        <v>107</v>
      </c>
      <c r="E977" t="s">
        <v>1467</v>
      </c>
      <c r="F977">
        <v>89</v>
      </c>
      <c r="G977">
        <v>1977</v>
      </c>
      <c r="H977">
        <v>542</v>
      </c>
      <c r="I977">
        <v>1.8440000000000001</v>
      </c>
      <c r="J977">
        <v>67.477000000000004</v>
      </c>
      <c r="K977">
        <v>0</v>
      </c>
    </row>
    <row r="978" spans="1:11">
      <c r="A978">
        <v>19078</v>
      </c>
      <c r="B978" t="s">
        <v>1752</v>
      </c>
      <c r="C978" t="s">
        <v>507</v>
      </c>
      <c r="D978" t="s">
        <v>610</v>
      </c>
      <c r="E978" t="s">
        <v>1467</v>
      </c>
      <c r="F978">
        <v>89</v>
      </c>
      <c r="G978">
        <v>2010</v>
      </c>
      <c r="H978">
        <v>325</v>
      </c>
      <c r="I978">
        <v>6.97</v>
      </c>
      <c r="J978">
        <v>302.92099999999999</v>
      </c>
      <c r="K978">
        <v>50</v>
      </c>
    </row>
    <row r="979" spans="1:11">
      <c r="A979">
        <v>19075</v>
      </c>
      <c r="B979" t="s">
        <v>1752</v>
      </c>
      <c r="C979" t="s">
        <v>1753</v>
      </c>
      <c r="D979" t="s">
        <v>610</v>
      </c>
      <c r="E979" t="s">
        <v>1467</v>
      </c>
      <c r="F979">
        <v>89</v>
      </c>
      <c r="G979">
        <v>2012</v>
      </c>
      <c r="H979">
        <v>474</v>
      </c>
      <c r="I979">
        <v>3.0009999999999999</v>
      </c>
      <c r="J979">
        <v>116.755</v>
      </c>
      <c r="K979">
        <v>0</v>
      </c>
    </row>
    <row r="980" spans="1:11">
      <c r="A980">
        <v>18135</v>
      </c>
      <c r="B980" t="s">
        <v>1754</v>
      </c>
      <c r="C980" t="s">
        <v>604</v>
      </c>
      <c r="D980" t="s">
        <v>107</v>
      </c>
      <c r="E980" t="s">
        <v>493</v>
      </c>
      <c r="F980">
        <v>1</v>
      </c>
      <c r="G980">
        <v>1967</v>
      </c>
      <c r="H980">
        <v>435</v>
      </c>
      <c r="I980">
        <v>3.3759999999999999</v>
      </c>
      <c r="J980">
        <v>157.96199999999999</v>
      </c>
      <c r="K980">
        <v>33</v>
      </c>
    </row>
    <row r="981" spans="1:11">
      <c r="A981">
        <v>96030</v>
      </c>
      <c r="B981" t="s">
        <v>1002</v>
      </c>
      <c r="C981" t="s">
        <v>538</v>
      </c>
      <c r="E981" t="s">
        <v>493</v>
      </c>
      <c r="F981">
        <v>1</v>
      </c>
      <c r="G981">
        <v>1950</v>
      </c>
      <c r="H981">
        <v>1000</v>
      </c>
      <c r="I981">
        <v>0</v>
      </c>
      <c r="J981">
        <v>0</v>
      </c>
      <c r="K981">
        <v>0</v>
      </c>
    </row>
    <row r="982" spans="1:11">
      <c r="A982">
        <v>18061</v>
      </c>
      <c r="B982" t="s">
        <v>1561</v>
      </c>
      <c r="C982" t="s">
        <v>1562</v>
      </c>
      <c r="D982" t="s">
        <v>107</v>
      </c>
      <c r="E982" t="s">
        <v>493</v>
      </c>
      <c r="F982">
        <v>1</v>
      </c>
      <c r="G982">
        <v>1957</v>
      </c>
      <c r="H982">
        <v>1001</v>
      </c>
      <c r="I982">
        <v>0</v>
      </c>
      <c r="J982">
        <v>0</v>
      </c>
      <c r="K982">
        <v>0</v>
      </c>
    </row>
    <row r="983" spans="1:11">
      <c r="A983">
        <v>24232</v>
      </c>
      <c r="B983" t="s">
        <v>1003</v>
      </c>
      <c r="C983" t="s">
        <v>633</v>
      </c>
      <c r="E983" t="s">
        <v>489</v>
      </c>
      <c r="F983">
        <v>51</v>
      </c>
      <c r="G983">
        <v>1970</v>
      </c>
      <c r="H983">
        <v>1002</v>
      </c>
      <c r="I983">
        <v>0</v>
      </c>
      <c r="J983">
        <v>0</v>
      </c>
      <c r="K983">
        <v>0</v>
      </c>
    </row>
    <row r="984" spans="1:11">
      <c r="A984">
        <v>18052</v>
      </c>
      <c r="B984" t="s">
        <v>1563</v>
      </c>
      <c r="C984" t="s">
        <v>559</v>
      </c>
      <c r="E984" t="s">
        <v>1045</v>
      </c>
      <c r="F984">
        <v>56</v>
      </c>
      <c r="G984">
        <v>1964</v>
      </c>
      <c r="H984">
        <v>485</v>
      </c>
      <c r="I984">
        <v>3.5</v>
      </c>
      <c r="J984">
        <v>107.393</v>
      </c>
      <c r="K984">
        <v>0</v>
      </c>
    </row>
    <row r="985" spans="1:11">
      <c r="A985">
        <v>20526</v>
      </c>
      <c r="B985" t="s">
        <v>1755</v>
      </c>
      <c r="C985" t="s">
        <v>520</v>
      </c>
      <c r="E985" t="s">
        <v>1393</v>
      </c>
      <c r="F985">
        <v>86</v>
      </c>
      <c r="G985">
        <v>1989</v>
      </c>
      <c r="H985">
        <v>1003</v>
      </c>
      <c r="I985">
        <v>0</v>
      </c>
      <c r="J985">
        <v>0</v>
      </c>
      <c r="K985">
        <v>0</v>
      </c>
    </row>
    <row r="986" spans="1:11">
      <c r="A986">
        <v>20541</v>
      </c>
      <c r="B986" t="s">
        <v>1360</v>
      </c>
      <c r="C986" t="s">
        <v>686</v>
      </c>
      <c r="E986" t="s">
        <v>1617</v>
      </c>
      <c r="F986">
        <v>93</v>
      </c>
      <c r="G986">
        <v>1963</v>
      </c>
      <c r="H986">
        <v>633</v>
      </c>
      <c r="I986">
        <v>0.34399999999999997</v>
      </c>
      <c r="J986">
        <v>16.672000000000001</v>
      </c>
      <c r="K986">
        <v>0</v>
      </c>
    </row>
    <row r="987" spans="1:11">
      <c r="A987">
        <v>17081</v>
      </c>
      <c r="B987" t="s">
        <v>1454</v>
      </c>
      <c r="C987" t="s">
        <v>595</v>
      </c>
      <c r="D987" t="s">
        <v>107</v>
      </c>
      <c r="E987" t="s">
        <v>1070</v>
      </c>
      <c r="F987">
        <v>42</v>
      </c>
      <c r="G987">
        <v>1945</v>
      </c>
      <c r="H987">
        <v>365</v>
      </c>
      <c r="I987">
        <v>4.157</v>
      </c>
      <c r="J987">
        <v>240.864</v>
      </c>
      <c r="K987">
        <v>54</v>
      </c>
    </row>
    <row r="988" spans="1:11">
      <c r="A988">
        <v>15075</v>
      </c>
      <c r="B988" t="s">
        <v>1361</v>
      </c>
      <c r="C988" t="s">
        <v>546</v>
      </c>
      <c r="D988" t="s">
        <v>107</v>
      </c>
      <c r="E988" t="s">
        <v>493</v>
      </c>
      <c r="F988">
        <v>1</v>
      </c>
      <c r="G988">
        <v>1956</v>
      </c>
      <c r="H988">
        <v>426</v>
      </c>
      <c r="I988">
        <v>3.1880000000000002</v>
      </c>
      <c r="J988">
        <v>171.85400000000001</v>
      </c>
      <c r="K988">
        <v>52</v>
      </c>
    </row>
    <row r="989" spans="1:11">
      <c r="A989">
        <v>98352</v>
      </c>
      <c r="B989" t="s">
        <v>1756</v>
      </c>
      <c r="C989" t="s">
        <v>572</v>
      </c>
      <c r="D989" t="s">
        <v>107</v>
      </c>
      <c r="E989" t="s">
        <v>493</v>
      </c>
      <c r="F989">
        <v>1</v>
      </c>
      <c r="G989">
        <v>1967</v>
      </c>
      <c r="H989">
        <v>458</v>
      </c>
      <c r="I989">
        <v>2.6259999999999999</v>
      </c>
      <c r="J989">
        <v>133.76499999999999</v>
      </c>
      <c r="K989">
        <v>33</v>
      </c>
    </row>
    <row r="990" spans="1:11">
      <c r="A990">
        <v>96205</v>
      </c>
      <c r="B990" t="s">
        <v>1004</v>
      </c>
      <c r="C990" t="s">
        <v>553</v>
      </c>
      <c r="E990" t="s">
        <v>493</v>
      </c>
      <c r="F990">
        <v>1</v>
      </c>
      <c r="G990">
        <v>1953</v>
      </c>
      <c r="H990">
        <v>319</v>
      </c>
      <c r="I990">
        <v>6.3129999999999997</v>
      </c>
      <c r="J990">
        <v>310.29599999999999</v>
      </c>
      <c r="K990">
        <v>74</v>
      </c>
    </row>
    <row r="991" spans="1:11">
      <c r="A991">
        <v>20527</v>
      </c>
      <c r="B991" t="s">
        <v>1757</v>
      </c>
      <c r="C991" t="s">
        <v>550</v>
      </c>
      <c r="E991" t="s">
        <v>1393</v>
      </c>
      <c r="F991">
        <v>86</v>
      </c>
      <c r="G991">
        <v>1989</v>
      </c>
      <c r="H991">
        <v>1004</v>
      </c>
      <c r="I991">
        <v>0</v>
      </c>
      <c r="J991">
        <v>0</v>
      </c>
      <c r="K991">
        <v>0</v>
      </c>
    </row>
    <row r="992" spans="1:11">
      <c r="A992">
        <v>21819</v>
      </c>
      <c r="B992" t="s">
        <v>1005</v>
      </c>
      <c r="C992" t="s">
        <v>554</v>
      </c>
      <c r="E992" t="s">
        <v>220</v>
      </c>
      <c r="F992">
        <v>36</v>
      </c>
      <c r="G992">
        <v>1952</v>
      </c>
      <c r="H992">
        <v>1005</v>
      </c>
      <c r="I992">
        <v>0</v>
      </c>
      <c r="J992">
        <v>0</v>
      </c>
      <c r="K992">
        <v>0</v>
      </c>
    </row>
    <row r="993" spans="1:11">
      <c r="A993">
        <v>17093</v>
      </c>
      <c r="B993" t="s">
        <v>1006</v>
      </c>
      <c r="C993" t="s">
        <v>1551</v>
      </c>
      <c r="E993" t="s">
        <v>474</v>
      </c>
      <c r="F993">
        <v>63</v>
      </c>
      <c r="G993">
        <v>1967</v>
      </c>
      <c r="H993">
        <v>176</v>
      </c>
      <c r="I993">
        <v>16.471</v>
      </c>
      <c r="J993">
        <v>799.88599999999997</v>
      </c>
      <c r="K993">
        <v>194</v>
      </c>
    </row>
    <row r="994" spans="1:11">
      <c r="A994">
        <v>10047</v>
      </c>
      <c r="B994" t="s">
        <v>1006</v>
      </c>
      <c r="C994" t="s">
        <v>700</v>
      </c>
      <c r="E994" t="s">
        <v>474</v>
      </c>
      <c r="F994">
        <v>63</v>
      </c>
      <c r="G994">
        <v>1997</v>
      </c>
      <c r="H994">
        <v>146</v>
      </c>
      <c r="I994">
        <v>20.814</v>
      </c>
      <c r="J994">
        <v>1015.325</v>
      </c>
      <c r="K994">
        <v>236</v>
      </c>
    </row>
    <row r="995" spans="1:11">
      <c r="A995">
        <v>13053</v>
      </c>
      <c r="B995" t="s">
        <v>1109</v>
      </c>
      <c r="C995" t="s">
        <v>595</v>
      </c>
      <c r="D995" t="s">
        <v>107</v>
      </c>
      <c r="E995" t="s">
        <v>1060</v>
      </c>
      <c r="F995">
        <v>70</v>
      </c>
      <c r="G995">
        <v>1946</v>
      </c>
      <c r="H995">
        <v>1006</v>
      </c>
      <c r="I995">
        <v>0</v>
      </c>
      <c r="J995">
        <v>0</v>
      </c>
      <c r="K995">
        <v>0</v>
      </c>
    </row>
    <row r="996" spans="1:11">
      <c r="A996">
        <v>97272</v>
      </c>
      <c r="B996" t="s">
        <v>1007</v>
      </c>
      <c r="C996" t="s">
        <v>550</v>
      </c>
      <c r="E996" t="s">
        <v>493</v>
      </c>
      <c r="F996">
        <v>1</v>
      </c>
      <c r="G996">
        <v>1957</v>
      </c>
      <c r="H996">
        <v>536</v>
      </c>
      <c r="I996">
        <v>2.0009999999999999</v>
      </c>
      <c r="J996">
        <v>71.447999999999993</v>
      </c>
      <c r="K996">
        <v>0</v>
      </c>
    </row>
    <row r="997" spans="1:11">
      <c r="A997">
        <v>15068</v>
      </c>
      <c r="B997" t="s">
        <v>1362</v>
      </c>
      <c r="C997" t="s">
        <v>725</v>
      </c>
      <c r="E997" t="s">
        <v>1066</v>
      </c>
      <c r="F997">
        <v>24</v>
      </c>
      <c r="G997">
        <v>1956</v>
      </c>
      <c r="H997">
        <v>110</v>
      </c>
      <c r="I997">
        <v>22.251000000000001</v>
      </c>
      <c r="J997">
        <v>1307.3409999999999</v>
      </c>
      <c r="K997">
        <v>363</v>
      </c>
    </row>
    <row r="998" spans="1:11">
      <c r="A998">
        <v>19005</v>
      </c>
      <c r="B998" t="s">
        <v>1758</v>
      </c>
      <c r="C998" t="s">
        <v>643</v>
      </c>
      <c r="E998" t="s">
        <v>1069</v>
      </c>
      <c r="F998">
        <v>28</v>
      </c>
      <c r="G998">
        <v>1959</v>
      </c>
      <c r="H998">
        <v>496</v>
      </c>
      <c r="I998">
        <v>3.5</v>
      </c>
      <c r="J998">
        <v>100.492</v>
      </c>
      <c r="K998">
        <v>0</v>
      </c>
    </row>
    <row r="999" spans="1:11">
      <c r="A999">
        <v>97262</v>
      </c>
      <c r="B999" t="s">
        <v>1008</v>
      </c>
      <c r="C999" t="s">
        <v>775</v>
      </c>
      <c r="D999" t="s">
        <v>107</v>
      </c>
      <c r="E999" t="s">
        <v>1069</v>
      </c>
      <c r="F999">
        <v>28</v>
      </c>
      <c r="G999">
        <v>1964</v>
      </c>
      <c r="H999">
        <v>1007</v>
      </c>
      <c r="I999">
        <v>0</v>
      </c>
      <c r="J999">
        <v>0</v>
      </c>
      <c r="K999">
        <v>0</v>
      </c>
    </row>
    <row r="1000" spans="1:11">
      <c r="A1000">
        <v>21820</v>
      </c>
      <c r="B1000" t="s">
        <v>1009</v>
      </c>
      <c r="C1000" t="s">
        <v>942</v>
      </c>
      <c r="E1000" t="s">
        <v>220</v>
      </c>
      <c r="F1000">
        <v>36</v>
      </c>
      <c r="G1000">
        <v>1959</v>
      </c>
      <c r="H1000">
        <v>1008</v>
      </c>
      <c r="I1000">
        <v>0</v>
      </c>
      <c r="J1000">
        <v>0</v>
      </c>
      <c r="K1000">
        <v>0</v>
      </c>
    </row>
    <row r="1001" spans="1:11">
      <c r="A1001">
        <v>16012</v>
      </c>
      <c r="B1001" t="s">
        <v>1363</v>
      </c>
      <c r="C1001" t="s">
        <v>501</v>
      </c>
      <c r="E1001" t="s">
        <v>1179</v>
      </c>
      <c r="F1001">
        <v>79</v>
      </c>
      <c r="G1001">
        <v>2001</v>
      </c>
      <c r="H1001">
        <v>1009</v>
      </c>
      <c r="I1001">
        <v>0</v>
      </c>
      <c r="J1001">
        <v>0</v>
      </c>
      <c r="K1001">
        <v>0</v>
      </c>
    </row>
    <row r="1002" spans="1:11">
      <c r="A1002">
        <v>18021</v>
      </c>
      <c r="B1002" t="s">
        <v>1564</v>
      </c>
      <c r="C1002" t="s">
        <v>894</v>
      </c>
      <c r="D1002" t="s">
        <v>107</v>
      </c>
      <c r="E1002" t="s">
        <v>1473</v>
      </c>
      <c r="F1002">
        <v>87</v>
      </c>
      <c r="G1002">
        <v>1938</v>
      </c>
      <c r="H1002">
        <v>372</v>
      </c>
      <c r="I1002">
        <v>4.97</v>
      </c>
      <c r="J1002">
        <v>232.43299999999999</v>
      </c>
      <c r="K1002">
        <v>40</v>
      </c>
    </row>
    <row r="1003" spans="1:11">
      <c r="A1003">
        <v>17049</v>
      </c>
      <c r="B1003" t="s">
        <v>1455</v>
      </c>
      <c r="C1003" t="s">
        <v>538</v>
      </c>
      <c r="E1003" t="s">
        <v>220</v>
      </c>
      <c r="F1003">
        <v>36</v>
      </c>
      <c r="G1003">
        <v>1951</v>
      </c>
      <c r="H1003">
        <v>1010</v>
      </c>
      <c r="I1003">
        <v>0</v>
      </c>
      <c r="J1003">
        <v>0</v>
      </c>
      <c r="K1003">
        <v>0</v>
      </c>
    </row>
    <row r="1004" spans="1:11">
      <c r="A1004">
        <v>19044</v>
      </c>
      <c r="B1004" t="s">
        <v>1759</v>
      </c>
      <c r="C1004" t="s">
        <v>854</v>
      </c>
      <c r="D1004" t="s">
        <v>91</v>
      </c>
      <c r="E1004" t="s">
        <v>493</v>
      </c>
      <c r="F1004">
        <v>1</v>
      </c>
      <c r="G1004">
        <v>2007</v>
      </c>
      <c r="H1004">
        <v>480</v>
      </c>
      <c r="I1004">
        <v>3</v>
      </c>
      <c r="J1004">
        <v>110.42700000000001</v>
      </c>
      <c r="K1004">
        <v>0</v>
      </c>
    </row>
    <row r="1005" spans="1:11">
      <c r="A1005">
        <v>20575</v>
      </c>
      <c r="B1005" t="s">
        <v>1760</v>
      </c>
      <c r="C1005" t="s">
        <v>1761</v>
      </c>
      <c r="D1005" t="s">
        <v>610</v>
      </c>
      <c r="E1005" t="s">
        <v>493</v>
      </c>
      <c r="F1005">
        <v>1</v>
      </c>
      <c r="G1005">
        <v>2009</v>
      </c>
      <c r="H1005">
        <v>1011</v>
      </c>
      <c r="I1005">
        <v>0</v>
      </c>
      <c r="J1005">
        <v>0</v>
      </c>
      <c r="K1005">
        <v>0</v>
      </c>
    </row>
    <row r="1006" spans="1:11">
      <c r="A1006">
        <v>15026</v>
      </c>
      <c r="B1006" t="s">
        <v>1010</v>
      </c>
      <c r="C1006" t="s">
        <v>531</v>
      </c>
      <c r="E1006" t="s">
        <v>487</v>
      </c>
      <c r="F1006">
        <v>64</v>
      </c>
      <c r="G1006">
        <v>1964</v>
      </c>
      <c r="H1006">
        <v>549</v>
      </c>
      <c r="I1006">
        <v>1.5</v>
      </c>
      <c r="J1006">
        <v>64.031999999999996</v>
      </c>
      <c r="K1006">
        <v>0</v>
      </c>
    </row>
    <row r="1007" spans="1:11">
      <c r="A1007">
        <v>16059</v>
      </c>
      <c r="B1007" t="s">
        <v>1010</v>
      </c>
      <c r="C1007" t="s">
        <v>521</v>
      </c>
      <c r="E1007" t="s">
        <v>1236</v>
      </c>
      <c r="F1007">
        <v>83</v>
      </c>
      <c r="G1007">
        <v>1975</v>
      </c>
      <c r="H1007">
        <v>1012</v>
      </c>
      <c r="I1007">
        <v>0</v>
      </c>
      <c r="J1007">
        <v>0</v>
      </c>
      <c r="K1007">
        <v>0</v>
      </c>
    </row>
    <row r="1008" spans="1:11">
      <c r="A1008">
        <v>24258</v>
      </c>
      <c r="B1008" t="s">
        <v>1010</v>
      </c>
      <c r="C1008" t="s">
        <v>1011</v>
      </c>
      <c r="E1008" t="s">
        <v>493</v>
      </c>
      <c r="F1008">
        <v>1</v>
      </c>
      <c r="G1008">
        <v>1942</v>
      </c>
      <c r="H1008">
        <v>1013</v>
      </c>
      <c r="I1008">
        <v>0</v>
      </c>
      <c r="J1008">
        <v>0</v>
      </c>
      <c r="K1008">
        <v>0</v>
      </c>
    </row>
    <row r="1009" spans="1:11">
      <c r="A1009">
        <v>98369</v>
      </c>
      <c r="B1009" t="s">
        <v>1012</v>
      </c>
      <c r="C1009" t="s">
        <v>884</v>
      </c>
      <c r="D1009" t="s">
        <v>107</v>
      </c>
      <c r="E1009" t="s">
        <v>1069</v>
      </c>
      <c r="F1009">
        <v>28</v>
      </c>
      <c r="G1009">
        <v>1957</v>
      </c>
      <c r="H1009">
        <v>1014</v>
      </c>
      <c r="I1009">
        <v>0</v>
      </c>
      <c r="J1009">
        <v>0</v>
      </c>
      <c r="K1009">
        <v>0</v>
      </c>
    </row>
    <row r="1010" spans="1:11">
      <c r="A1010">
        <v>20522</v>
      </c>
      <c r="B1010" t="s">
        <v>1762</v>
      </c>
      <c r="C1010" t="s">
        <v>544</v>
      </c>
      <c r="D1010" t="s">
        <v>610</v>
      </c>
      <c r="E1010" t="s">
        <v>1223</v>
      </c>
      <c r="F1010">
        <v>77</v>
      </c>
      <c r="G1010">
        <v>2009</v>
      </c>
      <c r="H1010">
        <v>1015</v>
      </c>
      <c r="I1010">
        <v>0</v>
      </c>
      <c r="J1010">
        <v>0</v>
      </c>
      <c r="K1010">
        <v>0</v>
      </c>
    </row>
    <row r="1011" spans="1:11">
      <c r="A1011">
        <v>19057</v>
      </c>
      <c r="B1011" t="s">
        <v>1013</v>
      </c>
      <c r="C1011" t="s">
        <v>706</v>
      </c>
      <c r="D1011" t="s">
        <v>91</v>
      </c>
      <c r="E1011" t="s">
        <v>1223</v>
      </c>
      <c r="F1011">
        <v>77</v>
      </c>
      <c r="G1011">
        <v>2007</v>
      </c>
      <c r="H1011">
        <v>1016</v>
      </c>
      <c r="I1011">
        <v>0</v>
      </c>
      <c r="J1011">
        <v>0</v>
      </c>
      <c r="K1011">
        <v>0</v>
      </c>
    </row>
    <row r="1012" spans="1:11">
      <c r="A1012">
        <v>24275</v>
      </c>
      <c r="B1012" t="s">
        <v>1013</v>
      </c>
      <c r="C1012" t="s">
        <v>700</v>
      </c>
      <c r="E1012" t="s">
        <v>164</v>
      </c>
      <c r="F1012">
        <v>52</v>
      </c>
      <c r="G1012">
        <v>1963</v>
      </c>
      <c r="H1012">
        <v>316</v>
      </c>
      <c r="I1012">
        <v>6.3129999999999997</v>
      </c>
      <c r="J1012">
        <v>319.01900000000001</v>
      </c>
      <c r="K1012">
        <v>122</v>
      </c>
    </row>
    <row r="1013" spans="1:11">
      <c r="A1013">
        <v>14019</v>
      </c>
      <c r="B1013" t="s">
        <v>1364</v>
      </c>
      <c r="C1013" t="s">
        <v>623</v>
      </c>
      <c r="D1013" t="s">
        <v>107</v>
      </c>
      <c r="E1013" t="s">
        <v>472</v>
      </c>
      <c r="F1013">
        <v>54</v>
      </c>
      <c r="G1013">
        <v>1945</v>
      </c>
      <c r="H1013">
        <v>1017</v>
      </c>
      <c r="I1013">
        <v>0</v>
      </c>
      <c r="J1013">
        <v>0</v>
      </c>
      <c r="K1013">
        <v>0</v>
      </c>
    </row>
    <row r="1014" spans="1:11">
      <c r="A1014">
        <v>27080</v>
      </c>
      <c r="B1014" t="s">
        <v>1014</v>
      </c>
      <c r="C1014" t="s">
        <v>503</v>
      </c>
      <c r="E1014" t="s">
        <v>1070</v>
      </c>
      <c r="F1014">
        <v>42</v>
      </c>
      <c r="G1014">
        <v>1970</v>
      </c>
      <c r="H1014">
        <v>241</v>
      </c>
      <c r="I1014">
        <v>4.5</v>
      </c>
      <c r="J1014">
        <v>494.70499999999998</v>
      </c>
      <c r="K1014">
        <v>296</v>
      </c>
    </row>
    <row r="1015" spans="1:11">
      <c r="A1015">
        <v>15028</v>
      </c>
      <c r="B1015" t="s">
        <v>1365</v>
      </c>
      <c r="C1015" t="s">
        <v>526</v>
      </c>
      <c r="E1015" t="s">
        <v>1179</v>
      </c>
      <c r="F1015">
        <v>79</v>
      </c>
      <c r="G1015">
        <v>1987</v>
      </c>
      <c r="H1015">
        <v>352</v>
      </c>
      <c r="I1015">
        <v>6.5940000000000003</v>
      </c>
      <c r="J1015">
        <v>255.16399999999999</v>
      </c>
      <c r="K1015">
        <v>0</v>
      </c>
    </row>
    <row r="1016" spans="1:11">
      <c r="A1016">
        <v>23086</v>
      </c>
      <c r="B1016" t="s">
        <v>1015</v>
      </c>
      <c r="C1016" t="s">
        <v>520</v>
      </c>
      <c r="E1016" t="s">
        <v>163</v>
      </c>
      <c r="F1016">
        <v>43</v>
      </c>
      <c r="G1016">
        <v>1955</v>
      </c>
      <c r="H1016">
        <v>21</v>
      </c>
      <c r="I1016">
        <v>38.938000000000002</v>
      </c>
      <c r="J1016">
        <v>2384.299</v>
      </c>
      <c r="K1016">
        <v>914</v>
      </c>
    </row>
    <row r="1017" spans="1:11">
      <c r="A1017">
        <v>16090</v>
      </c>
      <c r="B1017" t="s">
        <v>1366</v>
      </c>
      <c r="C1017" t="s">
        <v>584</v>
      </c>
      <c r="D1017" t="s">
        <v>107</v>
      </c>
      <c r="E1017" t="s">
        <v>1473</v>
      </c>
      <c r="F1017">
        <v>87</v>
      </c>
      <c r="G1017">
        <v>1945</v>
      </c>
      <c r="H1017">
        <v>504</v>
      </c>
      <c r="I1017">
        <v>0.93799999999999994</v>
      </c>
      <c r="J1017">
        <v>93.903999999999996</v>
      </c>
      <c r="K1017">
        <v>49</v>
      </c>
    </row>
    <row r="1018" spans="1:11">
      <c r="A1018">
        <v>26010</v>
      </c>
      <c r="B1018" t="s">
        <v>1016</v>
      </c>
      <c r="C1018" t="s">
        <v>531</v>
      </c>
      <c r="E1018" t="s">
        <v>493</v>
      </c>
      <c r="F1018">
        <v>1</v>
      </c>
      <c r="G1018">
        <v>1953</v>
      </c>
      <c r="H1018">
        <v>47</v>
      </c>
      <c r="I1018">
        <v>28.189</v>
      </c>
      <c r="J1018">
        <v>1885.9159999999999</v>
      </c>
      <c r="K1018">
        <v>692</v>
      </c>
    </row>
    <row r="1019" spans="1:11">
      <c r="A1019">
        <v>14022</v>
      </c>
      <c r="B1019" t="s">
        <v>1017</v>
      </c>
      <c r="C1019" t="s">
        <v>884</v>
      </c>
      <c r="D1019" t="s">
        <v>107</v>
      </c>
      <c r="E1019" t="s">
        <v>1063</v>
      </c>
      <c r="F1019">
        <v>55</v>
      </c>
      <c r="G1019">
        <v>1985</v>
      </c>
      <c r="H1019">
        <v>1018</v>
      </c>
      <c r="I1019">
        <v>0</v>
      </c>
      <c r="J1019">
        <v>0</v>
      </c>
      <c r="K1019">
        <v>0</v>
      </c>
    </row>
    <row r="1020" spans="1:11">
      <c r="A1020">
        <v>28009</v>
      </c>
      <c r="B1020" t="s">
        <v>1017</v>
      </c>
      <c r="C1020" t="s">
        <v>1018</v>
      </c>
      <c r="D1020" t="s">
        <v>107</v>
      </c>
      <c r="E1020" t="s">
        <v>493</v>
      </c>
      <c r="F1020">
        <v>1</v>
      </c>
      <c r="G1020">
        <v>1955</v>
      </c>
      <c r="H1020">
        <v>456</v>
      </c>
      <c r="I1020">
        <v>2.657</v>
      </c>
      <c r="J1020">
        <v>134.91499999999999</v>
      </c>
      <c r="K1020">
        <v>33</v>
      </c>
    </row>
    <row r="1021" spans="1:11">
      <c r="A1021">
        <v>16066</v>
      </c>
      <c r="B1021" t="s">
        <v>1367</v>
      </c>
      <c r="C1021" t="s">
        <v>1368</v>
      </c>
      <c r="D1021" t="s">
        <v>107</v>
      </c>
      <c r="E1021" t="s">
        <v>1060</v>
      </c>
      <c r="F1021">
        <v>70</v>
      </c>
      <c r="G1021">
        <v>1945</v>
      </c>
      <c r="H1021">
        <v>1019</v>
      </c>
      <c r="I1021">
        <v>0</v>
      </c>
      <c r="J1021">
        <v>0</v>
      </c>
      <c r="K1021">
        <v>0</v>
      </c>
    </row>
    <row r="1022" spans="1:11">
      <c r="A1022">
        <v>20509</v>
      </c>
      <c r="B1022" t="s">
        <v>1763</v>
      </c>
      <c r="C1022" t="s">
        <v>725</v>
      </c>
      <c r="E1022" t="s">
        <v>582</v>
      </c>
      <c r="F1022">
        <v>45</v>
      </c>
      <c r="G1022">
        <v>1971</v>
      </c>
      <c r="H1022">
        <v>373</v>
      </c>
      <c r="I1022">
        <v>6.625</v>
      </c>
      <c r="J1022">
        <v>232.267</v>
      </c>
      <c r="K1022">
        <v>54</v>
      </c>
    </row>
    <row r="1023" spans="1:11">
      <c r="A1023">
        <v>19031</v>
      </c>
      <c r="B1023" t="s">
        <v>1764</v>
      </c>
      <c r="C1023" t="s">
        <v>517</v>
      </c>
      <c r="D1023" t="s">
        <v>91</v>
      </c>
      <c r="E1023" t="s">
        <v>481</v>
      </c>
      <c r="F1023">
        <v>69</v>
      </c>
      <c r="G1023">
        <v>2006</v>
      </c>
      <c r="H1023">
        <v>275</v>
      </c>
      <c r="I1023">
        <v>8.2210000000000001</v>
      </c>
      <c r="J1023">
        <v>423.82600000000002</v>
      </c>
      <c r="K1023">
        <v>141</v>
      </c>
    </row>
    <row r="1024" spans="1:11">
      <c r="A1024">
        <v>19017</v>
      </c>
      <c r="B1024" t="s">
        <v>1765</v>
      </c>
      <c r="C1024" t="s">
        <v>544</v>
      </c>
      <c r="D1024" t="s">
        <v>107</v>
      </c>
      <c r="E1024" t="s">
        <v>1393</v>
      </c>
      <c r="F1024">
        <v>86</v>
      </c>
      <c r="G1024">
        <v>1995</v>
      </c>
      <c r="H1024">
        <v>1020</v>
      </c>
      <c r="I1024">
        <v>0</v>
      </c>
      <c r="J1024">
        <v>0</v>
      </c>
      <c r="K10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18</v>
      </c>
      <c r="B1" s="71" t="s">
        <v>113</v>
      </c>
      <c r="C1" s="71" t="s">
        <v>99</v>
      </c>
      <c r="D1" s="72"/>
      <c r="E1" s="70"/>
      <c r="F1">
        <f>VLOOKUP(A1,'Hra 2P'!I8:J390,2,0)</f>
        <v>110</v>
      </c>
      <c r="L1">
        <f ca="1">IF(TRIM(B3)="-",0,1) + IF(TRIM(B4)="-",0,1) + IF(TRIM(B5)="-",0,1) + IF(TRIM(B6)="-",0,1)</f>
        <v>3</v>
      </c>
      <c r="R1">
        <f ca="1">INDIRECT(ADDRESS(4,A1,1,1,"Hřiště"))</f>
        <v>18</v>
      </c>
      <c r="S1">
        <f ca="1">INDIRECT(ADDRESS(5,A1,1,1,"Hřiště"))</f>
        <v>18</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18 1. KPK Vrchlabí - Michalička Lukáš</v>
      </c>
      <c r="C3" s="70"/>
      <c r="D3" s="70"/>
      <c r="E3" s="70"/>
    </row>
    <row r="4" spans="1:20" ht="19.5">
      <c r="A4" s="70">
        <v>2</v>
      </c>
      <c r="B4" s="43" t="str">
        <f ca="1">IF(TYPE(VLOOKUP(CONCATENATE($C$1,A4),Skupiny!$A$3:$B$258,2,0))&gt;4," - ",VLOOKUP(CONCATENATE($C$1,A4),Skupiny!$A$3:$B$258,2,0))</f>
        <v>69 PC Mimo Done - Radechovský Milan</v>
      </c>
      <c r="C4" s="70"/>
      <c r="D4" s="70"/>
      <c r="E4" s="70"/>
    </row>
    <row r="5" spans="1:20" ht="19.5">
      <c r="A5" s="70">
        <v>3</v>
      </c>
      <c r="B5" s="43" t="str">
        <f ca="1">IF(TYPE(VLOOKUP(CONCATENATE($C$1,A5),Skupiny!$A$3:$B$258,2,0))&gt;4," - ",VLOOKUP(CONCATENATE($C$1,A5),Skupiny!$A$3:$B$258,2,0))</f>
        <v>104 PK Polouvsí - Ondryhal Josef</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18 1. KPK Vrchlabí - Michalička Lukáš</v>
      </c>
      <c r="C8" s="74" t="str">
        <f>IF(('Hra 2P'!E110=""),"",'Hra 2P'!E110)</f>
        <v/>
      </c>
      <c r="D8" s="74" t="str">
        <f>IF(('Hra 2P'!F110=""),"",'Hra 2P'!F110)</f>
        <v/>
      </c>
      <c r="E8" s="43" t="str">
        <f ca="1">B6</f>
        <v xml:space="preserve"> - </v>
      </c>
    </row>
    <row r="9" spans="1:20" ht="19.5">
      <c r="A9" s="70"/>
      <c r="B9" s="43" t="str">
        <f ca="1">B4</f>
        <v>69 PC Mimo Done - Radechovský Milan</v>
      </c>
      <c r="C9" s="74">
        <f>IF(('Hra 2P'!E111=""),"",'Hra 2P'!E111)</f>
        <v>10</v>
      </c>
      <c r="D9" s="74">
        <f>IF(('Hra 2P'!F111=""),"",'Hra 2P'!F111)</f>
        <v>13</v>
      </c>
      <c r="E9" s="43" t="str">
        <f ca="1">B5</f>
        <v>104 PK Polouvsí - Ondryhal Josef</v>
      </c>
    </row>
    <row r="10" spans="1:20" ht="19.5">
      <c r="A10" s="75" t="s">
        <v>46</v>
      </c>
      <c r="B10" s="43" t="str">
        <f ca="1">IF(TRIM(E8)="-",B8,IF(AND(C8="",D8="")," ",IF(N(C8)&gt;N(D8),B8,E8)))</f>
        <v>18 1. KPK Vrchlabí - Michalička Lukáš</v>
      </c>
      <c r="C10" s="74">
        <f>IF(('Hra 2P'!E112=""),"",'Hra 2P'!E112)</f>
        <v>12</v>
      </c>
      <c r="D10" s="74">
        <f>IF(('Hra 2P'!F112=""),"",'Hra 2P'!F112)</f>
        <v>13</v>
      </c>
      <c r="E10" s="43" t="str">
        <f ca="1">IF(AND(C9="",D9="")," ",IF(N(C9)&gt;N(D9),B9,E9))</f>
        <v>104 PK Polouvsí - Ondryhal Josef</v>
      </c>
    </row>
    <row r="11" spans="1:20" ht="19.5">
      <c r="A11" s="75" t="s">
        <v>47</v>
      </c>
      <c r="B11" s="43" t="str">
        <f ca="1">IF(TRIM(E8)="-",E8,IF(AND(C8="",D8="")," ",IF(N(C8)&gt;N(D8),E8,B8)))</f>
        <v xml:space="preserve"> - </v>
      </c>
      <c r="C11" s="74" t="str">
        <f>IF(('Hra 2P'!E113=""),"",'Hra 2P'!E113)</f>
        <v/>
      </c>
      <c r="D11" s="74">
        <f>IF(('Hra 2P'!F113=""),"",'Hra 2P'!F113)</f>
        <v>13</v>
      </c>
      <c r="E11" s="43" t="str">
        <f ca="1">IF(TRIM(E9)="",E9,IF(AND(C9="",D9="")," ",IF(N(C9)&gt;N(D9),E9,B9)))</f>
        <v>69 PC Mimo Done - Radechovský Milan</v>
      </c>
    </row>
    <row r="12" spans="1:20" ht="19.5">
      <c r="A12" s="75" t="s">
        <v>48</v>
      </c>
      <c r="B12" s="43" t="str">
        <f ca="1">IF(TRIM(E10)="",E10,IF(AND(C10="",D10="")," ",IF(N(C10)&gt;N(D10),E10,B10)))</f>
        <v>18 1. KPK Vrchlabí - Michalička Lukáš</v>
      </c>
      <c r="C12" s="74">
        <f>IF(('Hra 2P'!E114=""),"",'Hra 2P'!E114)</f>
        <v>13</v>
      </c>
      <c r="D12" s="74">
        <f>IF(('Hra 2P'!F114=""),"",'Hra 2P'!F114)</f>
        <v>11</v>
      </c>
      <c r="E12" s="43" t="str">
        <f ca="1">IF(AND(TRIM(B11)="",TRIM(E8)=""),E11,IF(AND(C11="",D11="")," ",IF(N(C11)&gt;N(D11),B11,E11)))</f>
        <v>69 PC Mimo Done - Radechovský Milan</v>
      </c>
    </row>
    <row r="13" spans="1:20" ht="37.15" customHeight="1">
      <c r="A13" s="70"/>
      <c r="B13" s="76" t="s">
        <v>52</v>
      </c>
      <c r="C13" s="77" t="s">
        <v>116</v>
      </c>
      <c r="D13" s="70"/>
      <c r="E13" s="70"/>
    </row>
    <row r="14" spans="1:20" ht="19.5">
      <c r="A14" s="70" t="s">
        <v>31</v>
      </c>
      <c r="B14" s="43" t="str">
        <f ca="1">IF(N(C10)+N(D10)&gt;0,IF(N(C10)&gt;N(D10),B10,E10),"")</f>
        <v>104 PK Polouvsí - Ondryhal Josef</v>
      </c>
      <c r="C14" s="73" t="str">
        <f>CONCATENATE($C$1,A3)</f>
        <v>R1</v>
      </c>
      <c r="D14" s="70"/>
      <c r="E14" s="70"/>
    </row>
    <row r="15" spans="1:20" ht="19.5">
      <c r="A15" s="70" t="s">
        <v>32</v>
      </c>
      <c r="B15" s="43" t="str">
        <f ca="1">IF(N(C12)+N(D12)&gt;0,IF(N(C12)&gt;N(D12),B12,E12),"")</f>
        <v>18 1. KPK Vrchlabí - Michalička Lukáš</v>
      </c>
      <c r="C15" s="73" t="str">
        <f>CONCATENATE($C$1,A4)</f>
        <v>R2</v>
      </c>
      <c r="D15" s="70"/>
      <c r="E15" s="70"/>
    </row>
    <row r="16" spans="1:20" ht="19.5">
      <c r="A16" s="70" t="s">
        <v>33</v>
      </c>
      <c r="B16" s="43" t="str">
        <f ca="1">IF(N(C12)+N(D12)&gt;0,IF(N(C12)&gt;N(D12),E12,B12),"")</f>
        <v>69 PC Mimo Done - Radechovský Milan</v>
      </c>
      <c r="C16" s="73" t="str">
        <f>CONCATENATE($C$1,A5)</f>
        <v>R3</v>
      </c>
      <c r="D16" s="70"/>
      <c r="E16" s="70"/>
    </row>
    <row r="17" spans="1:5" ht="19.5">
      <c r="A17" s="70" t="s">
        <v>34</v>
      </c>
      <c r="B17" s="78" t="str">
        <f ca="1">IF(N(C11)+N(D11)&gt;0,IF(N(C11)&gt;N(D11),E11,B11),"")</f>
        <v xml:space="preserve"> - </v>
      </c>
      <c r="C17" s="73" t="str">
        <f>CONCATENATE($C$1,A6)</f>
        <v>R4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19</v>
      </c>
      <c r="B1" s="71" t="s">
        <v>113</v>
      </c>
      <c r="C1" s="71" t="s">
        <v>100</v>
      </c>
      <c r="D1" s="72"/>
      <c r="E1" s="70"/>
      <c r="F1">
        <f>VLOOKUP(A1,'Hra 2P'!I8:J390,2,0)</f>
        <v>116</v>
      </c>
      <c r="L1">
        <f ca="1">IF(TRIM(B3)="-",0,1) + IF(TRIM(B4)="-",0,1) + IF(TRIM(B5)="-",0,1) + IF(TRIM(B6)="-",0,1)</f>
        <v>3</v>
      </c>
      <c r="R1">
        <f ca="1">INDIRECT(ADDRESS(4,A1,1,1,"Hřiště"))</f>
        <v>19</v>
      </c>
      <c r="S1">
        <f ca="1">INDIRECT(ADDRESS(5,A1,1,1,"Hřiště"))</f>
        <v>19</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19 1. KPK Vrchlabí - Srnský Lubomír</v>
      </c>
      <c r="C3" s="70"/>
      <c r="D3" s="70"/>
      <c r="E3" s="70"/>
    </row>
    <row r="4" spans="1:20" ht="19.5">
      <c r="A4" s="70">
        <v>2</v>
      </c>
      <c r="B4" s="43" t="str">
        <f ca="1">IF(TYPE(VLOOKUP(CONCATENATE($C$1,A4),Skupiny!$A$3:$B$258,2,0))&gt;4," - ",VLOOKUP(CONCATENATE($C$1,A4),Skupiny!$A$3:$B$258,2,0))</f>
        <v>68 HAPEK - Burešová Jana</v>
      </c>
      <c r="C4" s="70"/>
      <c r="D4" s="70"/>
      <c r="E4" s="70"/>
    </row>
    <row r="5" spans="1:20" ht="19.5">
      <c r="A5" s="70">
        <v>3</v>
      </c>
      <c r="B5" s="43" t="str">
        <f ca="1">IF(TYPE(VLOOKUP(CONCATENATE($C$1,A5),Skupiny!$A$3:$B$258,2,0))&gt;4," - ",VLOOKUP(CONCATENATE($C$1,A5),Skupiny!$A$3:$B$258,2,0))</f>
        <v>105 PC Mimo Done - Zikmunda Matěj</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19 1. KPK Vrchlabí - Srnský Lubomír</v>
      </c>
      <c r="C8" s="74" t="str">
        <f>IF(('Hra 2P'!E116=""),"",'Hra 2P'!E116)</f>
        <v/>
      </c>
      <c r="D8" s="74" t="str">
        <f>IF(('Hra 2P'!F116=""),"",'Hra 2P'!F116)</f>
        <v/>
      </c>
      <c r="E8" s="43" t="str">
        <f ca="1">B6</f>
        <v xml:space="preserve"> - </v>
      </c>
    </row>
    <row r="9" spans="1:20" ht="19.5">
      <c r="A9" s="70"/>
      <c r="B9" s="43" t="str">
        <f ca="1">B4</f>
        <v>68 HAPEK - Burešová Jana</v>
      </c>
      <c r="C9" s="74">
        <f>IF(('Hra 2P'!E117=""),"",'Hra 2P'!E117)</f>
        <v>8</v>
      </c>
      <c r="D9" s="74">
        <f>IF(('Hra 2P'!F117=""),"",'Hra 2P'!F117)</f>
        <v>13</v>
      </c>
      <c r="E9" s="43" t="str">
        <f ca="1">B5</f>
        <v>105 PC Mimo Done - Zikmunda Matěj</v>
      </c>
    </row>
    <row r="10" spans="1:20" ht="19.5">
      <c r="A10" s="75" t="s">
        <v>46</v>
      </c>
      <c r="B10" s="43" t="str">
        <f ca="1">IF(TRIM(E8)="-",B8,IF(AND(C8="",D8="")," ",IF(N(C8)&gt;N(D8),B8,E8)))</f>
        <v>19 1. KPK Vrchlabí - Srnský Lubomír</v>
      </c>
      <c r="C10" s="74">
        <f>IF(('Hra 2P'!E118=""),"",'Hra 2P'!E118)</f>
        <v>13</v>
      </c>
      <c r="D10" s="74">
        <f>IF(('Hra 2P'!F118=""),"",'Hra 2P'!F118)</f>
        <v>0</v>
      </c>
      <c r="E10" s="43" t="str">
        <f ca="1">IF(AND(C9="",D9="")," ",IF(N(C9)&gt;N(D9),B9,E9))</f>
        <v>105 PC Mimo Done - Zikmunda Matěj</v>
      </c>
    </row>
    <row r="11" spans="1:20" ht="19.5">
      <c r="A11" s="75" t="s">
        <v>47</v>
      </c>
      <c r="B11" s="43" t="str">
        <f ca="1">IF(TRIM(E8)="-",E8,IF(AND(C8="",D8="")," ",IF(N(C8)&gt;N(D8),E8,B8)))</f>
        <v xml:space="preserve"> - </v>
      </c>
      <c r="C11" s="74" t="str">
        <f>IF(('Hra 2P'!E119=""),"",'Hra 2P'!E119)</f>
        <v/>
      </c>
      <c r="D11" s="74">
        <f>IF(('Hra 2P'!F119=""),"",'Hra 2P'!F119)</f>
        <v>13</v>
      </c>
      <c r="E11" s="43" t="str">
        <f ca="1">IF(TRIM(E9)="",E9,IF(AND(C9="",D9="")," ",IF(N(C9)&gt;N(D9),E9,B9)))</f>
        <v>68 HAPEK - Burešová Jana</v>
      </c>
    </row>
    <row r="12" spans="1:20" ht="19.5">
      <c r="A12" s="75" t="s">
        <v>48</v>
      </c>
      <c r="B12" s="43" t="str">
        <f ca="1">IF(TRIM(E10)="",E10,IF(AND(C10="",D10="")," ",IF(N(C10)&gt;N(D10),E10,B10)))</f>
        <v>105 PC Mimo Done - Zikmunda Matěj</v>
      </c>
      <c r="C12" s="74">
        <f>IF(('Hra 2P'!E120=""),"",'Hra 2P'!E120)</f>
        <v>13</v>
      </c>
      <c r="D12" s="74">
        <f>IF(('Hra 2P'!F120=""),"",'Hra 2P'!F120)</f>
        <v>6</v>
      </c>
      <c r="E12" s="43" t="str">
        <f ca="1">IF(AND(TRIM(B11)="",TRIM(E8)=""),E11,IF(AND(C11="",D11="")," ",IF(N(C11)&gt;N(D11),B11,E11)))</f>
        <v>68 HAPEK - Burešová Jana</v>
      </c>
    </row>
    <row r="13" spans="1:20" ht="37.15" customHeight="1">
      <c r="A13" s="70"/>
      <c r="B13" s="76" t="s">
        <v>52</v>
      </c>
      <c r="C13" s="77" t="s">
        <v>116</v>
      </c>
      <c r="D13" s="70"/>
      <c r="E13" s="70"/>
    </row>
    <row r="14" spans="1:20" ht="19.5">
      <c r="A14" s="70" t="s">
        <v>31</v>
      </c>
      <c r="B14" s="43" t="str">
        <f ca="1">IF(N(C10)+N(D10)&gt;0,IF(N(C10)&gt;N(D10),B10,E10),"")</f>
        <v>19 1. KPK Vrchlabí - Srnský Lubomír</v>
      </c>
      <c r="C14" s="73" t="str">
        <f>CONCATENATE($C$1,A3)</f>
        <v>S1</v>
      </c>
      <c r="D14" s="70"/>
      <c r="E14" s="70"/>
    </row>
    <row r="15" spans="1:20" ht="19.5">
      <c r="A15" s="70" t="s">
        <v>32</v>
      </c>
      <c r="B15" s="43" t="str">
        <f ca="1">IF(N(C12)+N(D12)&gt;0,IF(N(C12)&gt;N(D12),B12,E12),"")</f>
        <v>105 PC Mimo Done - Zikmunda Matěj</v>
      </c>
      <c r="C15" s="73" t="str">
        <f>CONCATENATE($C$1,A4)</f>
        <v>S2</v>
      </c>
      <c r="D15" s="70"/>
      <c r="E15" s="70"/>
    </row>
    <row r="16" spans="1:20" ht="19.5">
      <c r="A16" s="70" t="s">
        <v>33</v>
      </c>
      <c r="B16" s="43" t="str">
        <f ca="1">IF(N(C12)+N(D12)&gt;0,IF(N(C12)&gt;N(D12),E12,B12),"")</f>
        <v>68 HAPEK - Burešová Jana</v>
      </c>
      <c r="C16" s="73" t="str">
        <f>CONCATENATE($C$1,A5)</f>
        <v>S3</v>
      </c>
      <c r="D16" s="70"/>
      <c r="E16" s="70"/>
    </row>
    <row r="17" spans="1:5" ht="19.5">
      <c r="A17" s="70" t="s">
        <v>34</v>
      </c>
      <c r="B17" s="78" t="str">
        <f ca="1">IF(N(C11)+N(D11)&gt;0,IF(N(C11)&gt;N(D11),E11,B11),"")</f>
        <v xml:space="preserve"> - </v>
      </c>
      <c r="C17" s="73" t="str">
        <f>CONCATENATE($C$1,A6)</f>
        <v>S4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20</v>
      </c>
      <c r="B1" s="71" t="s">
        <v>113</v>
      </c>
      <c r="C1" s="71" t="s">
        <v>101</v>
      </c>
      <c r="D1" s="72"/>
      <c r="E1" s="70"/>
      <c r="F1">
        <f>VLOOKUP(A1,'Hra 2P'!I8:J390,2,0)</f>
        <v>122</v>
      </c>
      <c r="L1">
        <f ca="1">IF(TRIM(B3)="-",0,1) + IF(TRIM(B4)="-",0,1) + IF(TRIM(B5)="-",0,1) + IF(TRIM(B6)="-",0,1)</f>
        <v>3</v>
      </c>
      <c r="R1">
        <f ca="1">INDIRECT(ADDRESS(4,A1,1,1,"Hřiště"))</f>
        <v>20</v>
      </c>
      <c r="S1">
        <f ca="1">INDIRECT(ADDRESS(5,A1,1,1,"Hřiště"))</f>
        <v>20</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20 SKP Hranice VI-Valšovice - Jakeš Zbyněk</v>
      </c>
      <c r="C3" s="70"/>
      <c r="D3" s="70"/>
      <c r="E3" s="70"/>
    </row>
    <row r="4" spans="1:20" ht="19.5">
      <c r="A4" s="70">
        <v>2</v>
      </c>
      <c r="B4" s="43" t="str">
        <f ca="1">IF(TYPE(VLOOKUP(CONCATENATE($C$1,A4),Skupiny!$A$3:$B$258,2,0))&gt;4," - ",VLOOKUP(CONCATENATE($C$1,A4),Skupiny!$A$3:$B$258,2,0))</f>
        <v>67 POP Praha - Žárský Kamil</v>
      </c>
      <c r="C4" s="70"/>
      <c r="D4" s="70"/>
      <c r="E4" s="70"/>
    </row>
    <row r="5" spans="1:20" ht="19.5">
      <c r="A5" s="70">
        <v>3</v>
      </c>
      <c r="B5" s="43" t="str">
        <f ca="1">IF(TYPE(VLOOKUP(CONCATENATE($C$1,A5),Skupiny!$A$3:$B$258,2,0))&gt;4," - ",VLOOKUP(CONCATENATE($C$1,A5),Skupiny!$A$3:$B$258,2,0))</f>
        <v>106 SENIOR TÝM Praha 1 - Blieková Alena</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20 SKP Hranice VI-Valšovice - Jakeš Zbyněk</v>
      </c>
      <c r="C8" s="74" t="str">
        <f>IF(('Hra 2P'!E122=""),"",'Hra 2P'!E122)</f>
        <v/>
      </c>
      <c r="D8" s="74" t="str">
        <f>IF(('Hra 2P'!F122=""),"",'Hra 2P'!F122)</f>
        <v/>
      </c>
      <c r="E8" s="43" t="str">
        <f ca="1">B6</f>
        <v xml:space="preserve"> - </v>
      </c>
    </row>
    <row r="9" spans="1:20" ht="19.5">
      <c r="A9" s="70"/>
      <c r="B9" s="43" t="str">
        <f ca="1">B4</f>
        <v>67 POP Praha - Žárský Kamil</v>
      </c>
      <c r="C9" s="74">
        <f>IF(('Hra 2P'!E123=""),"",'Hra 2P'!E123)</f>
        <v>13</v>
      </c>
      <c r="D9" s="74">
        <f>IF(('Hra 2P'!F123=""),"",'Hra 2P'!F123)</f>
        <v>4</v>
      </c>
      <c r="E9" s="43" t="str">
        <f ca="1">B5</f>
        <v>106 SENIOR TÝM Praha 1 - Blieková Alena</v>
      </c>
    </row>
    <row r="10" spans="1:20" ht="19.5">
      <c r="A10" s="75" t="s">
        <v>46</v>
      </c>
      <c r="B10" s="43" t="str">
        <f ca="1">IF(TRIM(E8)="-",B8,IF(AND(C8="",D8="")," ",IF(N(C8)&gt;N(D8),B8,E8)))</f>
        <v>20 SKP Hranice VI-Valšovice - Jakeš Zbyněk</v>
      </c>
      <c r="C10" s="74">
        <f>IF(('Hra 2P'!E124=""),"",'Hra 2P'!E124)</f>
        <v>13</v>
      </c>
      <c r="D10" s="74">
        <f>IF(('Hra 2P'!F124=""),"",'Hra 2P'!F124)</f>
        <v>6</v>
      </c>
      <c r="E10" s="43" t="str">
        <f ca="1">IF(AND(C9="",D9="")," ",IF(N(C9)&gt;N(D9),B9,E9))</f>
        <v>67 POP Praha - Žárský Kamil</v>
      </c>
    </row>
    <row r="11" spans="1:20" ht="19.5">
      <c r="A11" s="75" t="s">
        <v>47</v>
      </c>
      <c r="B11" s="43" t="str">
        <f ca="1">IF(TRIM(E8)="-",E8,IF(AND(C8="",D8="")," ",IF(N(C8)&gt;N(D8),E8,B8)))</f>
        <v xml:space="preserve"> - </v>
      </c>
      <c r="C11" s="74" t="str">
        <f>IF(('Hra 2P'!E125=""),"",'Hra 2P'!E125)</f>
        <v/>
      </c>
      <c r="D11" s="74">
        <f>IF(('Hra 2P'!F125=""),"",'Hra 2P'!F125)</f>
        <v>13</v>
      </c>
      <c r="E11" s="43" t="str">
        <f ca="1">IF(TRIM(E9)="",E9,IF(AND(C9="",D9="")," ",IF(N(C9)&gt;N(D9),E9,B9)))</f>
        <v>106 SENIOR TÝM Praha 1 - Blieková Alena</v>
      </c>
    </row>
    <row r="12" spans="1:20" ht="19.5">
      <c r="A12" s="75" t="s">
        <v>48</v>
      </c>
      <c r="B12" s="43" t="str">
        <f ca="1">IF(TRIM(E10)="",E10,IF(AND(C10="",D10="")," ",IF(N(C10)&gt;N(D10),E10,B10)))</f>
        <v>67 POP Praha - Žárský Kamil</v>
      </c>
      <c r="C12" s="74">
        <f>IF(('Hra 2P'!E126=""),"",'Hra 2P'!E126)</f>
        <v>13</v>
      </c>
      <c r="D12" s="74">
        <f>IF(('Hra 2P'!F126=""),"",'Hra 2P'!F126)</f>
        <v>9</v>
      </c>
      <c r="E12" s="43" t="str">
        <f ca="1">IF(AND(TRIM(B11)="",TRIM(E8)=""),E11,IF(AND(C11="",D11="")," ",IF(N(C11)&gt;N(D11),B11,E11)))</f>
        <v>106 SENIOR TÝM Praha 1 - Blieková Alena</v>
      </c>
    </row>
    <row r="13" spans="1:20" ht="37.15" customHeight="1">
      <c r="A13" s="70"/>
      <c r="B13" s="76" t="s">
        <v>52</v>
      </c>
      <c r="C13" s="77" t="s">
        <v>116</v>
      </c>
      <c r="D13" s="70"/>
      <c r="E13" s="70"/>
    </row>
    <row r="14" spans="1:20" ht="19.5">
      <c r="A14" s="70" t="s">
        <v>31</v>
      </c>
      <c r="B14" s="43" t="str">
        <f ca="1">IF(N(C10)+N(D10)&gt;0,IF(N(C10)&gt;N(D10),B10,E10),"")</f>
        <v>20 SKP Hranice VI-Valšovice - Jakeš Zbyněk</v>
      </c>
      <c r="C14" s="73" t="str">
        <f>CONCATENATE($C$1,A3)</f>
        <v>T1</v>
      </c>
      <c r="D14" s="70"/>
      <c r="E14" s="70"/>
    </row>
    <row r="15" spans="1:20" ht="19.5">
      <c r="A15" s="70" t="s">
        <v>32</v>
      </c>
      <c r="B15" s="43" t="str">
        <f ca="1">IF(N(C12)+N(D12)&gt;0,IF(N(C12)&gt;N(D12),B12,E12),"")</f>
        <v>67 POP Praha - Žárský Kamil</v>
      </c>
      <c r="C15" s="73" t="str">
        <f>CONCATENATE($C$1,A4)</f>
        <v>T2</v>
      </c>
      <c r="D15" s="70"/>
      <c r="E15" s="70"/>
    </row>
    <row r="16" spans="1:20" ht="19.5">
      <c r="A16" s="70" t="s">
        <v>33</v>
      </c>
      <c r="B16" s="43" t="str">
        <f ca="1">IF(N(C12)+N(D12)&gt;0,IF(N(C12)&gt;N(D12),E12,B12),"")</f>
        <v>106 SENIOR TÝM Praha 1 - Blieková Alena</v>
      </c>
      <c r="C16" s="73" t="str">
        <f>CONCATENATE($C$1,A5)</f>
        <v>T3</v>
      </c>
      <c r="D16" s="70"/>
      <c r="E16" s="70"/>
    </row>
    <row r="17" spans="1:5" ht="19.5">
      <c r="A17" s="70" t="s">
        <v>34</v>
      </c>
      <c r="B17" s="78" t="str">
        <f ca="1">IF(N(C11)+N(D11)&gt;0,IF(N(C11)&gt;N(D11),E11,B11),"")</f>
        <v xml:space="preserve"> - </v>
      </c>
      <c r="C17" s="73" t="str">
        <f>CONCATENATE($C$1,A6)</f>
        <v>T4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21</v>
      </c>
      <c r="B1" s="71" t="s">
        <v>113</v>
      </c>
      <c r="C1" s="71" t="s">
        <v>102</v>
      </c>
      <c r="D1" s="72"/>
      <c r="E1" s="70"/>
      <c r="F1">
        <f>VLOOKUP(A1,'Hra 2P'!I8:J390,2,0)</f>
        <v>128</v>
      </c>
      <c r="L1">
        <f ca="1">IF(TRIM(B3)="-",0,1) + IF(TRIM(B4)="-",0,1) + IF(TRIM(B5)="-",0,1) + IF(TRIM(B6)="-",0,1)</f>
        <v>3</v>
      </c>
      <c r="R1">
        <f ca="1">INDIRECT(ADDRESS(4,A1,1,1,"Hřiště"))</f>
        <v>21</v>
      </c>
      <c r="S1">
        <f ca="1">INDIRECT(ADDRESS(5,A1,1,1,"Hřiště"))</f>
        <v>21</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21 PLUK Jablonec - Lukášová Jana</v>
      </c>
      <c r="C3" s="70"/>
      <c r="D3" s="70"/>
      <c r="E3" s="70"/>
    </row>
    <row r="4" spans="1:20" ht="19.5">
      <c r="A4" s="70">
        <v>2</v>
      </c>
      <c r="B4" s="43" t="str">
        <f ca="1">IF(TYPE(VLOOKUP(CONCATENATE($C$1,A4),Skupiny!$A$3:$B$258,2,0))&gt;4," - ",VLOOKUP(CONCATENATE($C$1,A4),Skupiny!$A$3:$B$258,2,0))</f>
        <v>66 PK 1293 Vojnův Městec - Fereš Pavel</v>
      </c>
      <c r="C4" s="70"/>
      <c r="D4" s="70"/>
      <c r="E4" s="70"/>
    </row>
    <row r="5" spans="1:20" ht="19.5">
      <c r="A5" s="70">
        <v>3</v>
      </c>
      <c r="B5" s="43" t="str">
        <f ca="1">IF(TYPE(VLOOKUP(CONCATENATE($C$1,A5),Skupiny!$A$3:$B$258,2,0))&gt;4," - ",VLOOKUP(CONCATENATE($C$1,A5),Skupiny!$A$3:$B$258,2,0))</f>
        <v>107 1. KPK Vrchlabí - Srnský Jakub</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21 PLUK Jablonec - Lukášová Jana</v>
      </c>
      <c r="C8" s="74" t="str">
        <f>IF(('Hra 2P'!E128=""),"",'Hra 2P'!E128)</f>
        <v/>
      </c>
      <c r="D8" s="74" t="str">
        <f>IF(('Hra 2P'!F128=""),"",'Hra 2P'!F128)</f>
        <v/>
      </c>
      <c r="E8" s="43" t="str">
        <f ca="1">B6</f>
        <v xml:space="preserve"> - </v>
      </c>
    </row>
    <row r="9" spans="1:20" ht="19.5">
      <c r="A9" s="70"/>
      <c r="B9" s="43" t="str">
        <f ca="1">B4</f>
        <v>66 PK 1293 Vojnův Městec - Fereš Pavel</v>
      </c>
      <c r="C9" s="74">
        <f>IF(('Hra 2P'!E129=""),"",'Hra 2P'!E129)</f>
        <v>13</v>
      </c>
      <c r="D9" s="74">
        <f>IF(('Hra 2P'!F129=""),"",'Hra 2P'!F129)</f>
        <v>2</v>
      </c>
      <c r="E9" s="43" t="str">
        <f ca="1">B5</f>
        <v>107 1. KPK Vrchlabí - Srnský Jakub</v>
      </c>
    </row>
    <row r="10" spans="1:20" ht="19.5">
      <c r="A10" s="75" t="s">
        <v>46</v>
      </c>
      <c r="B10" s="43" t="str">
        <f ca="1">IF(TRIM(E8)="-",B8,IF(AND(C8="",D8="")," ",IF(N(C8)&gt;N(D8),B8,E8)))</f>
        <v>21 PLUK Jablonec - Lukášová Jana</v>
      </c>
      <c r="C10" s="74">
        <f>IF(('Hra 2P'!E130=""),"",'Hra 2P'!E130)</f>
        <v>11</v>
      </c>
      <c r="D10" s="74">
        <f>IF(('Hra 2P'!F130=""),"",'Hra 2P'!F130)</f>
        <v>13</v>
      </c>
      <c r="E10" s="43" t="str">
        <f ca="1">IF(AND(C9="",D9="")," ",IF(N(C9)&gt;N(D9),B9,E9))</f>
        <v>66 PK 1293 Vojnův Městec - Fereš Pavel</v>
      </c>
    </row>
    <row r="11" spans="1:20" ht="19.5">
      <c r="A11" s="75" t="s">
        <v>47</v>
      </c>
      <c r="B11" s="43" t="str">
        <f ca="1">IF(TRIM(E8)="-",E8,IF(AND(C8="",D8="")," ",IF(N(C8)&gt;N(D8),E8,B8)))</f>
        <v xml:space="preserve"> - </v>
      </c>
      <c r="C11" s="74" t="str">
        <f>IF(('Hra 2P'!E131=""),"",'Hra 2P'!E131)</f>
        <v/>
      </c>
      <c r="D11" s="74">
        <f>IF(('Hra 2P'!F131=""),"",'Hra 2P'!F131)</f>
        <v>13</v>
      </c>
      <c r="E11" s="43" t="str">
        <f ca="1">IF(TRIM(E9)="",E9,IF(AND(C9="",D9="")," ",IF(N(C9)&gt;N(D9),E9,B9)))</f>
        <v>107 1. KPK Vrchlabí - Srnský Jakub</v>
      </c>
    </row>
    <row r="12" spans="1:20" ht="19.5">
      <c r="A12" s="75" t="s">
        <v>48</v>
      </c>
      <c r="B12" s="43" t="str">
        <f ca="1">IF(TRIM(E10)="",E10,IF(AND(C10="",D10="")," ",IF(N(C10)&gt;N(D10),E10,B10)))</f>
        <v>21 PLUK Jablonec - Lukášová Jana</v>
      </c>
      <c r="C12" s="74">
        <f>IF(('Hra 2P'!E132=""),"",'Hra 2P'!E132)</f>
        <v>13</v>
      </c>
      <c r="D12" s="74">
        <f>IF(('Hra 2P'!F132=""),"",'Hra 2P'!F132)</f>
        <v>6</v>
      </c>
      <c r="E12" s="43" t="str">
        <f ca="1">IF(AND(TRIM(B11)="",TRIM(E8)=""),E11,IF(AND(C11="",D11="")," ",IF(N(C11)&gt;N(D11),B11,E11)))</f>
        <v>107 1. KPK Vrchlabí - Srnský Jakub</v>
      </c>
    </row>
    <row r="13" spans="1:20" ht="37.15" customHeight="1">
      <c r="A13" s="70"/>
      <c r="B13" s="76" t="s">
        <v>52</v>
      </c>
      <c r="C13" s="77" t="s">
        <v>116</v>
      </c>
      <c r="D13" s="70"/>
      <c r="E13" s="70"/>
    </row>
    <row r="14" spans="1:20" ht="19.5">
      <c r="A14" s="70" t="s">
        <v>31</v>
      </c>
      <c r="B14" s="43" t="str">
        <f ca="1">IF(N(C10)+N(D10)&gt;0,IF(N(C10)&gt;N(D10),B10,E10),"")</f>
        <v>66 PK 1293 Vojnův Městec - Fereš Pavel</v>
      </c>
      <c r="C14" s="73" t="str">
        <f>CONCATENATE($C$1,A3)</f>
        <v>U1</v>
      </c>
      <c r="D14" s="70"/>
      <c r="E14" s="70"/>
    </row>
    <row r="15" spans="1:20" ht="19.5">
      <c r="A15" s="70" t="s">
        <v>32</v>
      </c>
      <c r="B15" s="43" t="str">
        <f ca="1">IF(N(C12)+N(D12)&gt;0,IF(N(C12)&gt;N(D12),B12,E12),"")</f>
        <v>21 PLUK Jablonec - Lukášová Jana</v>
      </c>
      <c r="C15" s="73" t="str">
        <f>CONCATENATE($C$1,A4)</f>
        <v>U2</v>
      </c>
      <c r="D15" s="70"/>
      <c r="E15" s="70"/>
    </row>
    <row r="16" spans="1:20" ht="19.5">
      <c r="A16" s="70" t="s">
        <v>33</v>
      </c>
      <c r="B16" s="43" t="str">
        <f ca="1">IF(N(C12)+N(D12)&gt;0,IF(N(C12)&gt;N(D12),E12,B12),"")</f>
        <v>107 1. KPK Vrchlabí - Srnský Jakub</v>
      </c>
      <c r="C16" s="73" t="str">
        <f>CONCATENATE($C$1,A5)</f>
        <v>U3</v>
      </c>
      <c r="D16" s="70"/>
      <c r="E16" s="70"/>
    </row>
    <row r="17" spans="1:5" ht="19.5">
      <c r="A17" s="70" t="s">
        <v>34</v>
      </c>
      <c r="B17" s="78" t="str">
        <f ca="1">IF(N(C11)+N(D11)&gt;0,IF(N(C11)&gt;N(D11),E11,B11),"")</f>
        <v xml:space="preserve"> - </v>
      </c>
      <c r="C17" s="73" t="str">
        <f>CONCATENATE($C$1,A6)</f>
        <v>U4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22</v>
      </c>
      <c r="B1" s="71" t="s">
        <v>113</v>
      </c>
      <c r="C1" s="71" t="s">
        <v>103</v>
      </c>
      <c r="D1" s="72"/>
      <c r="E1" s="70"/>
      <c r="F1">
        <f>VLOOKUP(A1,'Hra 2P'!I8:J390,2,0)</f>
        <v>134</v>
      </c>
      <c r="L1">
        <f ca="1">IF(TRIM(B3)="-",0,1) + IF(TRIM(B4)="-",0,1) + IF(TRIM(B5)="-",0,1) + IF(TRIM(B6)="-",0,1)</f>
        <v>3</v>
      </c>
      <c r="R1">
        <f ca="1">INDIRECT(ADDRESS(4,A1,1,1,"Hřiště"))</f>
        <v>22</v>
      </c>
      <c r="S1">
        <f ca="1">INDIRECT(ADDRESS(5,A1,1,1,"Hřiště"))</f>
        <v>22</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22 UBU Únětice - Fuksa Petr</v>
      </c>
      <c r="C3" s="70"/>
      <c r="D3" s="70"/>
      <c r="E3" s="70"/>
    </row>
    <row r="4" spans="1:20" ht="19.5">
      <c r="A4" s="70">
        <v>2</v>
      </c>
      <c r="B4" s="43" t="str">
        <f ca="1">IF(TYPE(VLOOKUP(CONCATENATE($C$1,A4),Skupiny!$A$3:$B$258,2,0))&gt;4," - ",VLOOKUP(CONCATENATE($C$1,A4),Skupiny!$A$3:$B$258,2,0))</f>
        <v>65 Sokol Kostomlaty - Vaníčková Alena</v>
      </c>
      <c r="C4" s="70"/>
      <c r="D4" s="70"/>
      <c r="E4" s="70"/>
    </row>
    <row r="5" spans="1:20" ht="19.5">
      <c r="A5" s="70">
        <v>3</v>
      </c>
      <c r="B5" s="43" t="str">
        <f ca="1">IF(TYPE(VLOOKUP(CONCATENATE($C$1,A5),Skupiny!$A$3:$B$258,2,0))&gt;4," - ",VLOOKUP(CONCATENATE($C$1,A5),Skupiny!$A$3:$B$258,2,0))</f>
        <v>108 Bowle 09 Klatovy - Hůrka Jindřich</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22 UBU Únětice - Fuksa Petr</v>
      </c>
      <c r="C8" s="74" t="str">
        <f>IF(('Hra 2P'!E134=""),"",'Hra 2P'!E134)</f>
        <v/>
      </c>
      <c r="D8" s="74" t="str">
        <f>IF(('Hra 2P'!F134=""),"",'Hra 2P'!F134)</f>
        <v/>
      </c>
      <c r="E8" s="43" t="str">
        <f ca="1">B6</f>
        <v xml:space="preserve"> - </v>
      </c>
    </row>
    <row r="9" spans="1:20" ht="19.5">
      <c r="A9" s="70"/>
      <c r="B9" s="43" t="str">
        <f ca="1">B4</f>
        <v>65 Sokol Kostomlaty - Vaníčková Alena</v>
      </c>
      <c r="C9" s="74">
        <f>IF(('Hra 2P'!E135=""),"",'Hra 2P'!E135)</f>
        <v>13</v>
      </c>
      <c r="D9" s="74">
        <f>IF(('Hra 2P'!F135=""),"",'Hra 2P'!F135)</f>
        <v>7</v>
      </c>
      <c r="E9" s="43" t="str">
        <f ca="1">B5</f>
        <v>108 Bowle 09 Klatovy - Hůrka Jindřich</v>
      </c>
    </row>
    <row r="10" spans="1:20" ht="19.5">
      <c r="A10" s="75" t="s">
        <v>46</v>
      </c>
      <c r="B10" s="43" t="str">
        <f ca="1">IF(TRIM(E8)="-",B8,IF(AND(C8="",D8="")," ",IF(N(C8)&gt;N(D8),B8,E8)))</f>
        <v>22 UBU Únětice - Fuksa Petr</v>
      </c>
      <c r="C10" s="74">
        <f>IF(('Hra 2P'!E136=""),"",'Hra 2P'!E136)</f>
        <v>8</v>
      </c>
      <c r="D10" s="74">
        <f>IF(('Hra 2P'!F136=""),"",'Hra 2P'!F136)</f>
        <v>13</v>
      </c>
      <c r="E10" s="43" t="str">
        <f ca="1">IF(AND(C9="",D9="")," ",IF(N(C9)&gt;N(D9),B9,E9))</f>
        <v>65 Sokol Kostomlaty - Vaníčková Alena</v>
      </c>
    </row>
    <row r="11" spans="1:20" ht="19.5">
      <c r="A11" s="75" t="s">
        <v>47</v>
      </c>
      <c r="B11" s="43" t="str">
        <f ca="1">IF(TRIM(E8)="-",E8,IF(AND(C8="",D8="")," ",IF(N(C8)&gt;N(D8),E8,B8)))</f>
        <v xml:space="preserve"> - </v>
      </c>
      <c r="C11" s="74" t="str">
        <f>IF(('Hra 2P'!E137=""),"",'Hra 2P'!E137)</f>
        <v/>
      </c>
      <c r="D11" s="74">
        <f>IF(('Hra 2P'!F137=""),"",'Hra 2P'!F137)</f>
        <v>13</v>
      </c>
      <c r="E11" s="43" t="str">
        <f ca="1">IF(TRIM(E9)="",E9,IF(AND(C9="",D9="")," ",IF(N(C9)&gt;N(D9),E9,B9)))</f>
        <v>108 Bowle 09 Klatovy - Hůrka Jindřich</v>
      </c>
    </row>
    <row r="12" spans="1:20" ht="19.5">
      <c r="A12" s="75" t="s">
        <v>48</v>
      </c>
      <c r="B12" s="43" t="str">
        <f ca="1">IF(TRIM(E10)="",E10,IF(AND(C10="",D10="")," ",IF(N(C10)&gt;N(D10),E10,B10)))</f>
        <v>22 UBU Únětice - Fuksa Petr</v>
      </c>
      <c r="C12" s="74">
        <f>IF(('Hra 2P'!E138=""),"",'Hra 2P'!E138)</f>
        <v>13</v>
      </c>
      <c r="D12" s="74">
        <f>IF(('Hra 2P'!F138=""),"",'Hra 2P'!F138)</f>
        <v>7</v>
      </c>
      <c r="E12" s="43" t="str">
        <f ca="1">IF(AND(TRIM(B11)="",TRIM(E8)=""),E11,IF(AND(C11="",D11="")," ",IF(N(C11)&gt;N(D11),B11,E11)))</f>
        <v>108 Bowle 09 Klatovy - Hůrka Jindřich</v>
      </c>
    </row>
    <row r="13" spans="1:20" ht="37.15" customHeight="1">
      <c r="A13" s="70"/>
      <c r="B13" s="76" t="s">
        <v>52</v>
      </c>
      <c r="C13" s="77" t="s">
        <v>116</v>
      </c>
      <c r="D13" s="70"/>
      <c r="E13" s="70"/>
    </row>
    <row r="14" spans="1:20" ht="19.5">
      <c r="A14" s="70" t="s">
        <v>31</v>
      </c>
      <c r="B14" s="43" t="str">
        <f ca="1">IF(N(C10)+N(D10)&gt;0,IF(N(C10)&gt;N(D10),B10,E10),"")</f>
        <v>65 Sokol Kostomlaty - Vaníčková Alena</v>
      </c>
      <c r="C14" s="73" t="str">
        <f>CONCATENATE($C$1,A3)</f>
        <v>V1</v>
      </c>
      <c r="D14" s="70"/>
      <c r="E14" s="70"/>
    </row>
    <row r="15" spans="1:20" ht="19.5">
      <c r="A15" s="70" t="s">
        <v>32</v>
      </c>
      <c r="B15" s="43" t="str">
        <f ca="1">IF(N(C12)+N(D12)&gt;0,IF(N(C12)&gt;N(D12),B12,E12),"")</f>
        <v>22 UBU Únětice - Fuksa Petr</v>
      </c>
      <c r="C15" s="73" t="str">
        <f>CONCATENATE($C$1,A4)</f>
        <v>V2</v>
      </c>
      <c r="D15" s="70"/>
      <c r="E15" s="70"/>
    </row>
    <row r="16" spans="1:20" ht="19.5">
      <c r="A16" s="70" t="s">
        <v>33</v>
      </c>
      <c r="B16" s="43" t="str">
        <f ca="1">IF(N(C12)+N(D12)&gt;0,IF(N(C12)&gt;N(D12),E12,B12),"")</f>
        <v>108 Bowle 09 Klatovy - Hůrka Jindřich</v>
      </c>
      <c r="C16" s="73" t="str">
        <f>CONCATENATE($C$1,A5)</f>
        <v>V3</v>
      </c>
      <c r="D16" s="70"/>
      <c r="E16" s="70"/>
    </row>
    <row r="17" spans="1:5" ht="19.5">
      <c r="A17" s="70" t="s">
        <v>34</v>
      </c>
      <c r="B17" s="78" t="str">
        <f ca="1">IF(N(C11)+N(D11)&gt;0,IF(N(C11)&gt;N(D11),E11,B11),"")</f>
        <v xml:space="preserve"> - </v>
      </c>
      <c r="C17" s="73" t="str">
        <f>CONCATENATE($C$1,A6)</f>
        <v>V4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23</v>
      </c>
      <c r="B1" s="71" t="s">
        <v>113</v>
      </c>
      <c r="C1" s="71" t="s">
        <v>104</v>
      </c>
      <c r="D1" s="72"/>
      <c r="E1" s="70"/>
      <c r="F1">
        <f>VLOOKUP(A1,'Hra 2P'!I8:J390,2,0)</f>
        <v>140</v>
      </c>
      <c r="L1">
        <f ca="1">IF(TRIM(B3)="-",0,1) + IF(TRIM(B4)="-",0,1) + IF(TRIM(B5)="-",0,1) + IF(TRIM(B6)="-",0,1)</f>
        <v>3</v>
      </c>
      <c r="R1">
        <f ca="1">INDIRECT(ADDRESS(4,A1,1,1,"Hřiště"))</f>
        <v>23</v>
      </c>
      <c r="S1">
        <f ca="1">INDIRECT(ADDRESS(5,A1,1,1,"Hřiště"))</f>
        <v>23</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23 Kulový blesk Olomouc - Konečná Jana</v>
      </c>
      <c r="C3" s="70"/>
      <c r="D3" s="70"/>
      <c r="E3" s="70"/>
    </row>
    <row r="4" spans="1:20" ht="19.5">
      <c r="A4" s="70">
        <v>2</v>
      </c>
      <c r="B4" s="43" t="str">
        <f ca="1">IF(TYPE(VLOOKUP(CONCATENATE($C$1,A4),Skupiny!$A$3:$B$258,2,0))&gt;4," - ",VLOOKUP(CONCATENATE($C$1,A4),Skupiny!$A$3:$B$258,2,0))</f>
        <v>64 SK Pétanque Řepy - Ptáček Miroslav</v>
      </c>
      <c r="C4" s="70"/>
      <c r="D4" s="70"/>
      <c r="E4" s="70"/>
    </row>
    <row r="5" spans="1:20" ht="19.5">
      <c r="A5" s="70">
        <v>3</v>
      </c>
      <c r="B5" s="43" t="str">
        <f ca="1">IF(TYPE(VLOOKUP(CONCATENATE($C$1,A5),Skupiny!$A$3:$B$258,2,0))&gt;4," - ",VLOOKUP(CONCATENATE($C$1,A5),Skupiny!$A$3:$B$258,2,0))</f>
        <v>109 JAPKO - Stejskal Petr</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23 Kulový blesk Olomouc - Konečná Jana</v>
      </c>
      <c r="C8" s="74" t="str">
        <f>IF(('Hra 2P'!E140=""),"",'Hra 2P'!E140)</f>
        <v/>
      </c>
      <c r="D8" s="74" t="str">
        <f>IF(('Hra 2P'!F140=""),"",'Hra 2P'!F140)</f>
        <v/>
      </c>
      <c r="E8" s="43" t="str">
        <f ca="1">B6</f>
        <v xml:space="preserve"> - </v>
      </c>
    </row>
    <row r="9" spans="1:20" ht="19.5">
      <c r="A9" s="70"/>
      <c r="B9" s="43" t="str">
        <f ca="1">B4</f>
        <v>64 SK Pétanque Řepy - Ptáček Miroslav</v>
      </c>
      <c r="C9" s="74">
        <f>IF(('Hra 2P'!E141=""),"",'Hra 2P'!E141)</f>
        <v>13</v>
      </c>
      <c r="D9" s="74">
        <f>IF(('Hra 2P'!F141=""),"",'Hra 2P'!F141)</f>
        <v>8</v>
      </c>
      <c r="E9" s="43" t="str">
        <f ca="1">B5</f>
        <v>109 JAPKO - Stejskal Petr</v>
      </c>
    </row>
    <row r="10" spans="1:20" ht="19.5">
      <c r="A10" s="75" t="s">
        <v>46</v>
      </c>
      <c r="B10" s="43" t="str">
        <f ca="1">IF(TRIM(E8)="-",B8,IF(AND(C8="",D8="")," ",IF(N(C8)&gt;N(D8),B8,E8)))</f>
        <v>23 Kulový blesk Olomouc - Konečná Jana</v>
      </c>
      <c r="C10" s="74">
        <f>IF(('Hra 2P'!E142=""),"",'Hra 2P'!E142)</f>
        <v>13</v>
      </c>
      <c r="D10" s="74">
        <f>IF(('Hra 2P'!F142=""),"",'Hra 2P'!F142)</f>
        <v>6</v>
      </c>
      <c r="E10" s="43" t="str">
        <f ca="1">IF(AND(C9="",D9="")," ",IF(N(C9)&gt;N(D9),B9,E9))</f>
        <v>64 SK Pétanque Řepy - Ptáček Miroslav</v>
      </c>
    </row>
    <row r="11" spans="1:20" ht="19.5">
      <c r="A11" s="75" t="s">
        <v>47</v>
      </c>
      <c r="B11" s="43" t="str">
        <f ca="1">IF(TRIM(E8)="-",E8,IF(AND(C8="",D8="")," ",IF(N(C8)&gt;N(D8),E8,B8)))</f>
        <v xml:space="preserve"> - </v>
      </c>
      <c r="C11" s="74" t="str">
        <f>IF(('Hra 2P'!E143=""),"",'Hra 2P'!E143)</f>
        <v/>
      </c>
      <c r="D11" s="74">
        <f>IF(('Hra 2P'!F143=""),"",'Hra 2P'!F143)</f>
        <v>13</v>
      </c>
      <c r="E11" s="43" t="str">
        <f ca="1">IF(TRIM(E9)="",E9,IF(AND(C9="",D9="")," ",IF(N(C9)&gt;N(D9),E9,B9)))</f>
        <v>109 JAPKO - Stejskal Petr</v>
      </c>
    </row>
    <row r="12" spans="1:20" ht="19.5">
      <c r="A12" s="75" t="s">
        <v>48</v>
      </c>
      <c r="B12" s="43" t="str">
        <f ca="1">IF(TRIM(E10)="",E10,IF(AND(C10="",D10="")," ",IF(N(C10)&gt;N(D10),E10,B10)))</f>
        <v>64 SK Pétanque Řepy - Ptáček Miroslav</v>
      </c>
      <c r="C12" s="74">
        <f>IF(('Hra 2P'!E144=""),"",'Hra 2P'!E144)</f>
        <v>9</v>
      </c>
      <c r="D12" s="74">
        <f>IF(('Hra 2P'!F144=""),"",'Hra 2P'!F144)</f>
        <v>13</v>
      </c>
      <c r="E12" s="43" t="str">
        <f ca="1">IF(AND(TRIM(B11)="",TRIM(E8)=""),E11,IF(AND(C11="",D11="")," ",IF(N(C11)&gt;N(D11),B11,E11)))</f>
        <v>109 JAPKO - Stejskal Petr</v>
      </c>
    </row>
    <row r="13" spans="1:20" ht="37.15" customHeight="1">
      <c r="A13" s="70"/>
      <c r="B13" s="76" t="s">
        <v>52</v>
      </c>
      <c r="C13" s="77" t="s">
        <v>116</v>
      </c>
      <c r="D13" s="70"/>
      <c r="E13" s="70"/>
    </row>
    <row r="14" spans="1:20" ht="19.5">
      <c r="A14" s="70" t="s">
        <v>31</v>
      </c>
      <c r="B14" s="43" t="str">
        <f ca="1">IF(N(C10)+N(D10)&gt;0,IF(N(C10)&gt;N(D10),B10,E10),"")</f>
        <v>23 Kulový blesk Olomouc - Konečná Jana</v>
      </c>
      <c r="C14" s="73" t="str">
        <f>CONCATENATE($C$1,A3)</f>
        <v>W1</v>
      </c>
      <c r="D14" s="70"/>
      <c r="E14" s="70"/>
    </row>
    <row r="15" spans="1:20" ht="19.5">
      <c r="A15" s="70" t="s">
        <v>32</v>
      </c>
      <c r="B15" s="43" t="str">
        <f ca="1">IF(N(C12)+N(D12)&gt;0,IF(N(C12)&gt;N(D12),B12,E12),"")</f>
        <v>109 JAPKO - Stejskal Petr</v>
      </c>
      <c r="C15" s="73" t="str">
        <f>CONCATENATE($C$1,A4)</f>
        <v>W2</v>
      </c>
      <c r="D15" s="70"/>
      <c r="E15" s="70"/>
    </row>
    <row r="16" spans="1:20" ht="19.5">
      <c r="A16" s="70" t="s">
        <v>33</v>
      </c>
      <c r="B16" s="43" t="str">
        <f ca="1">IF(N(C12)+N(D12)&gt;0,IF(N(C12)&gt;N(D12),E12,B12),"")</f>
        <v>64 SK Pétanque Řepy - Ptáček Miroslav</v>
      </c>
      <c r="C16" s="73" t="str">
        <f>CONCATENATE($C$1,A5)</f>
        <v>W3</v>
      </c>
      <c r="D16" s="70"/>
      <c r="E16" s="70"/>
    </row>
    <row r="17" spans="1:5" ht="19.5">
      <c r="A17" s="70" t="s">
        <v>34</v>
      </c>
      <c r="B17" s="78" t="str">
        <f ca="1">IF(N(C11)+N(D11)&gt;0,IF(N(C11)&gt;N(D11),E11,B11),"")</f>
        <v xml:space="preserve"> - </v>
      </c>
      <c r="C17" s="73" t="str">
        <f>CONCATENATE($C$1,A6)</f>
        <v>W4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24</v>
      </c>
      <c r="B1" s="71" t="s">
        <v>113</v>
      </c>
      <c r="C1" s="71" t="s">
        <v>105</v>
      </c>
      <c r="D1" s="72"/>
      <c r="E1" s="70"/>
      <c r="F1">
        <f>VLOOKUP(A1,'Hra 2P'!I8:J390,2,0)</f>
        <v>146</v>
      </c>
      <c r="L1">
        <f ca="1">IF(TRIM(B3)="-",0,1) + IF(TRIM(B4)="-",0,1) + IF(TRIM(B5)="-",0,1) + IF(TRIM(B6)="-",0,1)</f>
        <v>3</v>
      </c>
      <c r="R1">
        <f ca="1">INDIRECT(ADDRESS(4,A1,1,1,"Hřiště"))</f>
        <v>24</v>
      </c>
      <c r="S1">
        <f ca="1">INDIRECT(ADDRESS(5,A1,1,1,"Hřiště"))</f>
        <v>24</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24 TOP - ORLOVÁ - Ulmann Jiří</v>
      </c>
      <c r="C3" s="70"/>
      <c r="D3" s="70"/>
      <c r="E3" s="70"/>
    </row>
    <row r="4" spans="1:20" ht="19.5">
      <c r="A4" s="70">
        <v>2</v>
      </c>
      <c r="B4" s="43" t="str">
        <f ca="1">IF(TYPE(VLOOKUP(CONCATENATE($C$1,A4),Skupiny!$A$3:$B$258,2,0))&gt;4," - ",VLOOKUP(CONCATENATE($C$1,A4),Skupiny!$A$3:$B$258,2,0))</f>
        <v>63 HRODE KRUMSÍN - Karásek Jiří</v>
      </c>
      <c r="C4" s="70"/>
      <c r="D4" s="70"/>
      <c r="E4" s="70"/>
    </row>
    <row r="5" spans="1:20" ht="19.5">
      <c r="A5" s="70">
        <v>3</v>
      </c>
      <c r="B5" s="43" t="str">
        <f ca="1">IF(TYPE(VLOOKUP(CONCATENATE($C$1,A5),Skupiny!$A$3:$B$258,2,0))&gt;4," - ",VLOOKUP(CONCATENATE($C$1,A5),Skupiny!$A$3:$B$258,2,0))</f>
        <v>110 PK Polouvsí - Valošková Sára</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24 TOP - ORLOVÁ - Ulmann Jiří</v>
      </c>
      <c r="C8" s="74" t="str">
        <f>IF(('Hra 2P'!E146=""),"",'Hra 2P'!E146)</f>
        <v/>
      </c>
      <c r="D8" s="74" t="str">
        <f>IF(('Hra 2P'!F146=""),"",'Hra 2P'!F146)</f>
        <v/>
      </c>
      <c r="E8" s="43" t="str">
        <f ca="1">B6</f>
        <v xml:space="preserve"> - </v>
      </c>
    </row>
    <row r="9" spans="1:20" ht="19.5">
      <c r="A9" s="70"/>
      <c r="B9" s="43" t="str">
        <f ca="1">B4</f>
        <v>63 HRODE KRUMSÍN - Karásek Jiří</v>
      </c>
      <c r="C9" s="74">
        <f>IF(('Hra 2P'!E147=""),"",'Hra 2P'!E147)</f>
        <v>10</v>
      </c>
      <c r="D9" s="74">
        <f>IF(('Hra 2P'!F147=""),"",'Hra 2P'!F147)</f>
        <v>13</v>
      </c>
      <c r="E9" s="43" t="str">
        <f ca="1">B5</f>
        <v>110 PK Polouvsí - Valošková Sára</v>
      </c>
    </row>
    <row r="10" spans="1:20" ht="19.5">
      <c r="A10" s="75" t="s">
        <v>46</v>
      </c>
      <c r="B10" s="43" t="str">
        <f ca="1">IF(TRIM(E8)="-",B8,IF(AND(C8="",D8="")," ",IF(N(C8)&gt;N(D8),B8,E8)))</f>
        <v>24 TOP - ORLOVÁ - Ulmann Jiří</v>
      </c>
      <c r="C10" s="74">
        <f>IF(('Hra 2P'!E148=""),"",'Hra 2P'!E148)</f>
        <v>11</v>
      </c>
      <c r="D10" s="74">
        <f>IF(('Hra 2P'!F148=""),"",'Hra 2P'!F148)</f>
        <v>13</v>
      </c>
      <c r="E10" s="43" t="str">
        <f ca="1">IF(AND(C9="",D9="")," ",IF(N(C9)&gt;N(D9),B9,E9))</f>
        <v>110 PK Polouvsí - Valošková Sára</v>
      </c>
    </row>
    <row r="11" spans="1:20" ht="19.5">
      <c r="A11" s="75" t="s">
        <v>47</v>
      </c>
      <c r="B11" s="43" t="str">
        <f ca="1">IF(TRIM(E8)="-",E8,IF(AND(C8="",D8="")," ",IF(N(C8)&gt;N(D8),E8,B8)))</f>
        <v xml:space="preserve"> - </v>
      </c>
      <c r="C11" s="74" t="str">
        <f>IF(('Hra 2P'!E149=""),"",'Hra 2P'!E149)</f>
        <v/>
      </c>
      <c r="D11" s="74">
        <f>IF(('Hra 2P'!F149=""),"",'Hra 2P'!F149)</f>
        <v>13</v>
      </c>
      <c r="E11" s="43" t="str">
        <f ca="1">IF(TRIM(E9)="",E9,IF(AND(C9="",D9="")," ",IF(N(C9)&gt;N(D9),E9,B9)))</f>
        <v>63 HRODE KRUMSÍN - Karásek Jiří</v>
      </c>
    </row>
    <row r="12" spans="1:20" ht="19.5">
      <c r="A12" s="75" t="s">
        <v>48</v>
      </c>
      <c r="B12" s="43" t="str">
        <f ca="1">IF(TRIM(E10)="",E10,IF(AND(C10="",D10="")," ",IF(N(C10)&gt;N(D10),E10,B10)))</f>
        <v>24 TOP - ORLOVÁ - Ulmann Jiří</v>
      </c>
      <c r="C12" s="74">
        <f>IF(('Hra 2P'!E150=""),"",'Hra 2P'!E150)</f>
        <v>13</v>
      </c>
      <c r="D12" s="74">
        <f>IF(('Hra 2P'!F150=""),"",'Hra 2P'!F150)</f>
        <v>9</v>
      </c>
      <c r="E12" s="43" t="str">
        <f ca="1">IF(AND(TRIM(B11)="",TRIM(E8)=""),E11,IF(AND(C11="",D11="")," ",IF(N(C11)&gt;N(D11),B11,E11)))</f>
        <v>63 HRODE KRUMSÍN - Karásek Jiří</v>
      </c>
    </row>
    <row r="13" spans="1:20" ht="37.15" customHeight="1">
      <c r="A13" s="70"/>
      <c r="B13" s="76" t="s">
        <v>52</v>
      </c>
      <c r="C13" s="77" t="s">
        <v>116</v>
      </c>
      <c r="D13" s="70"/>
      <c r="E13" s="70"/>
    </row>
    <row r="14" spans="1:20" ht="19.5">
      <c r="A14" s="70" t="s">
        <v>31</v>
      </c>
      <c r="B14" s="43" t="str">
        <f ca="1">IF(N(C10)+N(D10)&gt;0,IF(N(C10)&gt;N(D10),B10,E10),"")</f>
        <v>110 PK Polouvsí - Valošková Sára</v>
      </c>
      <c r="C14" s="73" t="str">
        <f>CONCATENATE($C$1,A3)</f>
        <v>X1</v>
      </c>
      <c r="D14" s="70"/>
      <c r="E14" s="70"/>
    </row>
    <row r="15" spans="1:20" ht="19.5">
      <c r="A15" s="70" t="s">
        <v>32</v>
      </c>
      <c r="B15" s="43" t="str">
        <f ca="1">IF(N(C12)+N(D12)&gt;0,IF(N(C12)&gt;N(D12),B12,E12),"")</f>
        <v>24 TOP - ORLOVÁ - Ulmann Jiří</v>
      </c>
      <c r="C15" s="73" t="str">
        <f>CONCATENATE($C$1,A4)</f>
        <v>X2</v>
      </c>
      <c r="D15" s="70"/>
      <c r="E15" s="70"/>
    </row>
    <row r="16" spans="1:20" ht="19.5">
      <c r="A16" s="70" t="s">
        <v>33</v>
      </c>
      <c r="B16" s="43" t="str">
        <f ca="1">IF(N(C12)+N(D12)&gt;0,IF(N(C12)&gt;N(D12),E12,B12),"")</f>
        <v>63 HRODE KRUMSÍN - Karásek Jiří</v>
      </c>
      <c r="C16" s="73" t="str">
        <f>CONCATENATE($C$1,A5)</f>
        <v>X3</v>
      </c>
      <c r="D16" s="70"/>
      <c r="E16" s="70"/>
    </row>
    <row r="17" spans="1:5" ht="19.5">
      <c r="A17" s="70" t="s">
        <v>34</v>
      </c>
      <c r="B17" s="78" t="str">
        <f ca="1">IF(N(C11)+N(D11)&gt;0,IF(N(C11)&gt;N(D11),E11,B11),"")</f>
        <v xml:space="preserve"> - </v>
      </c>
      <c r="C17" s="73" t="str">
        <f>CONCATENATE($C$1,A6)</f>
        <v>X4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25</v>
      </c>
      <c r="B1" s="71" t="s">
        <v>113</v>
      </c>
      <c r="C1" s="71" t="s">
        <v>106</v>
      </c>
      <c r="D1" s="72"/>
      <c r="E1" s="70"/>
      <c r="F1">
        <f>VLOOKUP(A1,'Hra 2P'!I8:J390,2,0)</f>
        <v>152</v>
      </c>
      <c r="L1">
        <f ca="1">IF(TRIM(B3)="-",0,1) + IF(TRIM(B4)="-",0,1) + IF(TRIM(B5)="-",0,1) + IF(TRIM(B6)="-",0,1)</f>
        <v>3</v>
      </c>
      <c r="R1">
        <f ca="1">INDIRECT(ADDRESS(4,A1,1,1,"Hřiště"))</f>
        <v>25</v>
      </c>
      <c r="S1">
        <f ca="1">INDIRECT(ADDRESS(5,A1,1,1,"Hřiště"))</f>
        <v>25</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25 Club Rodamiento - Dlouhá Ivana</v>
      </c>
      <c r="C3" s="70"/>
      <c r="D3" s="70"/>
      <c r="E3" s="70"/>
    </row>
    <row r="4" spans="1:20" ht="19.5">
      <c r="A4" s="70">
        <v>2</v>
      </c>
      <c r="B4" s="43" t="str">
        <f ca="1">IF(TYPE(VLOOKUP(CONCATENATE($C$1,A4),Skupiny!$A$3:$B$258,2,0))&gt;4," - ",VLOOKUP(CONCATENATE($C$1,A4),Skupiny!$A$3:$B$258,2,0))</f>
        <v>62 Carreau Brno - Grepl Jiří</v>
      </c>
      <c r="C4" s="70"/>
      <c r="D4" s="70"/>
      <c r="E4" s="70"/>
    </row>
    <row r="5" spans="1:20" ht="19.5">
      <c r="A5" s="70">
        <v>3</v>
      </c>
      <c r="B5" s="43" t="str">
        <f ca="1">IF(TYPE(VLOOKUP(CONCATENATE($C$1,A5),Skupiny!$A$3:$B$258,2,0))&gt;4," - ",VLOOKUP(CONCATENATE($C$1,A5),Skupiny!$A$3:$B$258,2,0))</f>
        <v>111 Bowle 09 Klatovy - Hůrková Lucie</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25 Club Rodamiento - Dlouhá Ivana</v>
      </c>
      <c r="C8" s="74" t="str">
        <f>IF(('Hra 2P'!E152=""),"",'Hra 2P'!E152)</f>
        <v/>
      </c>
      <c r="D8" s="74" t="str">
        <f>IF(('Hra 2P'!F152=""),"",'Hra 2P'!F152)</f>
        <v/>
      </c>
      <c r="E8" s="43" t="str">
        <f ca="1">B6</f>
        <v xml:space="preserve"> - </v>
      </c>
    </row>
    <row r="9" spans="1:20" ht="19.5">
      <c r="A9" s="70"/>
      <c r="B9" s="43" t="str">
        <f ca="1">B4</f>
        <v>62 Carreau Brno - Grepl Jiří</v>
      </c>
      <c r="C9" s="74">
        <f>IF(('Hra 2P'!E153=""),"",'Hra 2P'!E153)</f>
        <v>13</v>
      </c>
      <c r="D9" s="74">
        <f>IF(('Hra 2P'!F153=""),"",'Hra 2P'!F153)</f>
        <v>5</v>
      </c>
      <c r="E9" s="43" t="str">
        <f ca="1">B5</f>
        <v>111 Bowle 09 Klatovy - Hůrková Lucie</v>
      </c>
    </row>
    <row r="10" spans="1:20" ht="19.5">
      <c r="A10" s="75" t="s">
        <v>46</v>
      </c>
      <c r="B10" s="43" t="str">
        <f ca="1">IF(TRIM(E8)="-",B8,IF(AND(C8="",D8="")," ",IF(N(C8)&gt;N(D8),B8,E8)))</f>
        <v>25 Club Rodamiento - Dlouhá Ivana</v>
      </c>
      <c r="C10" s="74">
        <f>IF(('Hra 2P'!E154=""),"",'Hra 2P'!E154)</f>
        <v>4</v>
      </c>
      <c r="D10" s="74">
        <f>IF(('Hra 2P'!F154=""),"",'Hra 2P'!F154)</f>
        <v>13</v>
      </c>
      <c r="E10" s="43" t="str">
        <f ca="1">IF(AND(C9="",D9="")," ",IF(N(C9)&gt;N(D9),B9,E9))</f>
        <v>62 Carreau Brno - Grepl Jiří</v>
      </c>
    </row>
    <row r="11" spans="1:20" ht="19.5">
      <c r="A11" s="75" t="s">
        <v>47</v>
      </c>
      <c r="B11" s="43" t="str">
        <f ca="1">IF(TRIM(E8)="-",E8,IF(AND(C8="",D8="")," ",IF(N(C8)&gt;N(D8),E8,B8)))</f>
        <v xml:space="preserve"> - </v>
      </c>
      <c r="C11" s="74" t="str">
        <f>IF(('Hra 2P'!E155=""),"",'Hra 2P'!E155)</f>
        <v/>
      </c>
      <c r="D11" s="74">
        <f>IF(('Hra 2P'!F155=""),"",'Hra 2P'!F155)</f>
        <v>13</v>
      </c>
      <c r="E11" s="43" t="str">
        <f ca="1">IF(TRIM(E9)="",E9,IF(AND(C9="",D9="")," ",IF(N(C9)&gt;N(D9),E9,B9)))</f>
        <v>111 Bowle 09 Klatovy - Hůrková Lucie</v>
      </c>
    </row>
    <row r="12" spans="1:20" ht="19.5">
      <c r="A12" s="75" t="s">
        <v>48</v>
      </c>
      <c r="B12" s="43" t="str">
        <f ca="1">IF(TRIM(E10)="",E10,IF(AND(C10="",D10="")," ",IF(N(C10)&gt;N(D10),E10,B10)))</f>
        <v>25 Club Rodamiento - Dlouhá Ivana</v>
      </c>
      <c r="C12" s="74">
        <f>IF(('Hra 2P'!E156=""),"",'Hra 2P'!E156)</f>
        <v>13</v>
      </c>
      <c r="D12" s="74">
        <f>IF(('Hra 2P'!F156=""),"",'Hra 2P'!F156)</f>
        <v>5</v>
      </c>
      <c r="E12" s="43" t="str">
        <f ca="1">IF(AND(TRIM(B11)="",TRIM(E8)=""),E11,IF(AND(C11="",D11="")," ",IF(N(C11)&gt;N(D11),B11,E11)))</f>
        <v>111 Bowle 09 Klatovy - Hůrková Lucie</v>
      </c>
    </row>
    <row r="13" spans="1:20" ht="37.15" customHeight="1">
      <c r="A13" s="70"/>
      <c r="B13" s="76" t="s">
        <v>52</v>
      </c>
      <c r="C13" s="77" t="s">
        <v>116</v>
      </c>
      <c r="D13" s="70"/>
      <c r="E13" s="70"/>
    </row>
    <row r="14" spans="1:20" ht="19.5">
      <c r="A14" s="70" t="s">
        <v>31</v>
      </c>
      <c r="B14" s="43" t="str">
        <f ca="1">IF(N(C10)+N(D10)&gt;0,IF(N(C10)&gt;N(D10),B10,E10),"")</f>
        <v>62 Carreau Brno - Grepl Jiří</v>
      </c>
      <c r="C14" s="73" t="str">
        <f>CONCATENATE($C$1,A3)</f>
        <v>Y1</v>
      </c>
      <c r="D14" s="70"/>
      <c r="E14" s="70"/>
    </row>
    <row r="15" spans="1:20" ht="19.5">
      <c r="A15" s="70" t="s">
        <v>32</v>
      </c>
      <c r="B15" s="43" t="str">
        <f ca="1">IF(N(C12)+N(D12)&gt;0,IF(N(C12)&gt;N(D12),B12,E12),"")</f>
        <v>25 Club Rodamiento - Dlouhá Ivana</v>
      </c>
      <c r="C15" s="73" t="str">
        <f>CONCATENATE($C$1,A4)</f>
        <v>Y2</v>
      </c>
      <c r="D15" s="70"/>
      <c r="E15" s="70"/>
    </row>
    <row r="16" spans="1:20" ht="19.5">
      <c r="A16" s="70" t="s">
        <v>33</v>
      </c>
      <c r="B16" s="43" t="str">
        <f ca="1">IF(N(C12)+N(D12)&gt;0,IF(N(C12)&gt;N(D12),E12,B12),"")</f>
        <v>111 Bowle 09 Klatovy - Hůrková Lucie</v>
      </c>
      <c r="C16" s="73" t="str">
        <f>CONCATENATE($C$1,A5)</f>
        <v>Y3</v>
      </c>
      <c r="D16" s="70"/>
      <c r="E16" s="70"/>
    </row>
    <row r="17" spans="1:5" ht="19.5">
      <c r="A17" s="70" t="s">
        <v>34</v>
      </c>
      <c r="B17" s="78" t="str">
        <f ca="1">IF(N(C11)+N(D11)&gt;0,IF(N(C11)&gt;N(D11),E11,B11),"")</f>
        <v xml:space="preserve"> - </v>
      </c>
      <c r="C17" s="73" t="str">
        <f>CONCATENATE($C$1,A6)</f>
        <v>Y4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26</v>
      </c>
      <c r="B1" s="71" t="s">
        <v>113</v>
      </c>
      <c r="C1" s="71" t="s">
        <v>107</v>
      </c>
      <c r="D1" s="72"/>
      <c r="E1" s="70"/>
      <c r="F1">
        <f>VLOOKUP(A1,'Hra 2P'!I8:J390,2,0)</f>
        <v>158</v>
      </c>
      <c r="L1">
        <f ca="1">IF(TRIM(B3)="-",0,1) + IF(TRIM(B4)="-",0,1) + IF(TRIM(B5)="-",0,1) + IF(TRIM(B6)="-",0,1)</f>
        <v>3</v>
      </c>
      <c r="R1">
        <f ca="1">INDIRECT(ADDRESS(4,A1,1,1,"Hřiště"))</f>
        <v>26</v>
      </c>
      <c r="S1">
        <f ca="1">INDIRECT(ADDRESS(5,A1,1,1,"Hřiště"))</f>
        <v>26</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26 SK Pétanque Řepy - Holoubek Pavel</v>
      </c>
      <c r="C3" s="70"/>
      <c r="D3" s="70"/>
      <c r="E3" s="70"/>
    </row>
    <row r="4" spans="1:20" ht="19.5">
      <c r="A4" s="70">
        <v>2</v>
      </c>
      <c r="B4" s="43" t="str">
        <f ca="1">IF(TYPE(VLOOKUP(CONCATENATE($C$1,A4),Skupiny!$A$3:$B$258,2,0))&gt;4," - ",VLOOKUP(CONCATENATE($C$1,A4),Skupiny!$A$3:$B$258,2,0))</f>
        <v>61 PC Mimo Done - Kára Jan</v>
      </c>
      <c r="C4" s="70"/>
      <c r="D4" s="70"/>
      <c r="E4" s="70"/>
    </row>
    <row r="5" spans="1:20" ht="19.5">
      <c r="A5" s="70">
        <v>3</v>
      </c>
      <c r="B5" s="43" t="str">
        <f ca="1">IF(TYPE(VLOOKUP(CONCATENATE($C$1,A5),Skupiny!$A$3:$B$258,2,0))&gt;4," - ",VLOOKUP(CONCATENATE($C$1,A5),Skupiny!$A$3:$B$258,2,0))</f>
        <v>112 SK Sahara Vědomice - Gröschl Zdeněk</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26 SK Pétanque Řepy - Holoubek Pavel</v>
      </c>
      <c r="C8" s="74" t="str">
        <f>IF(('Hra 2P'!E158=""),"",'Hra 2P'!E158)</f>
        <v/>
      </c>
      <c r="D8" s="74" t="str">
        <f>IF(('Hra 2P'!F158=""),"",'Hra 2P'!F158)</f>
        <v/>
      </c>
      <c r="E8" s="43" t="str">
        <f ca="1">B6</f>
        <v xml:space="preserve"> - </v>
      </c>
    </row>
    <row r="9" spans="1:20" ht="19.5">
      <c r="A9" s="70"/>
      <c r="B9" s="43" t="str">
        <f ca="1">B4</f>
        <v>61 PC Mimo Done - Kára Jan</v>
      </c>
      <c r="C9" s="74">
        <f>IF(('Hra 2P'!E159=""),"",'Hra 2P'!E159)</f>
        <v>6</v>
      </c>
      <c r="D9" s="74">
        <f>IF(('Hra 2P'!F159=""),"",'Hra 2P'!F159)</f>
        <v>13</v>
      </c>
      <c r="E9" s="43" t="str">
        <f ca="1">B5</f>
        <v>112 SK Sahara Vědomice - Gröschl Zdeněk</v>
      </c>
    </row>
    <row r="10" spans="1:20" ht="19.5">
      <c r="A10" s="75" t="s">
        <v>46</v>
      </c>
      <c r="B10" s="43" t="str">
        <f ca="1">IF(TRIM(E8)="-",B8,IF(AND(C8="",D8="")," ",IF(N(C8)&gt;N(D8),B8,E8)))</f>
        <v>26 SK Pétanque Řepy - Holoubek Pavel</v>
      </c>
      <c r="C10" s="74">
        <f>IF(('Hra 2P'!E160=""),"",'Hra 2P'!E160)</f>
        <v>10</v>
      </c>
      <c r="D10" s="74">
        <f>IF(('Hra 2P'!F160=""),"",'Hra 2P'!F160)</f>
        <v>13</v>
      </c>
      <c r="E10" s="43" t="str">
        <f ca="1">IF(AND(C9="",D9="")," ",IF(N(C9)&gt;N(D9),B9,E9))</f>
        <v>112 SK Sahara Vědomice - Gröschl Zdeněk</v>
      </c>
    </row>
    <row r="11" spans="1:20" ht="19.5">
      <c r="A11" s="75" t="s">
        <v>47</v>
      </c>
      <c r="B11" s="43" t="str">
        <f ca="1">IF(TRIM(E8)="-",E8,IF(AND(C8="",D8="")," ",IF(N(C8)&gt;N(D8),E8,B8)))</f>
        <v xml:space="preserve"> - </v>
      </c>
      <c r="C11" s="74" t="str">
        <f>IF(('Hra 2P'!E161=""),"",'Hra 2P'!E161)</f>
        <v/>
      </c>
      <c r="D11" s="74">
        <f>IF(('Hra 2P'!F161=""),"",'Hra 2P'!F161)</f>
        <v>13</v>
      </c>
      <c r="E11" s="43" t="str">
        <f ca="1">IF(TRIM(E9)="",E9,IF(AND(C9="",D9="")," ",IF(N(C9)&gt;N(D9),E9,B9)))</f>
        <v>61 PC Mimo Done - Kára Jan</v>
      </c>
    </row>
    <row r="12" spans="1:20" ht="19.5">
      <c r="A12" s="75" t="s">
        <v>48</v>
      </c>
      <c r="B12" s="43" t="str">
        <f ca="1">IF(TRIM(E10)="",E10,IF(AND(C10="",D10="")," ",IF(N(C10)&gt;N(D10),E10,B10)))</f>
        <v>26 SK Pétanque Řepy - Holoubek Pavel</v>
      </c>
      <c r="C12" s="74">
        <f>IF(('Hra 2P'!E162=""),"",'Hra 2P'!E162)</f>
        <v>13</v>
      </c>
      <c r="D12" s="74">
        <f>IF(('Hra 2P'!F162=""),"",'Hra 2P'!F162)</f>
        <v>9</v>
      </c>
      <c r="E12" s="43" t="str">
        <f ca="1">IF(AND(TRIM(B11)="",TRIM(E8)=""),E11,IF(AND(C11="",D11="")," ",IF(N(C11)&gt;N(D11),B11,E11)))</f>
        <v>61 PC Mimo Done - Kára Jan</v>
      </c>
    </row>
    <row r="13" spans="1:20" ht="37.15" customHeight="1">
      <c r="A13" s="70"/>
      <c r="B13" s="76" t="s">
        <v>52</v>
      </c>
      <c r="C13" s="77" t="s">
        <v>116</v>
      </c>
      <c r="D13" s="70"/>
      <c r="E13" s="70"/>
    </row>
    <row r="14" spans="1:20" ht="19.5">
      <c r="A14" s="70" t="s">
        <v>31</v>
      </c>
      <c r="B14" s="43" t="str">
        <f ca="1">IF(N(C10)+N(D10)&gt;0,IF(N(C10)&gt;N(D10),B10,E10),"")</f>
        <v>112 SK Sahara Vědomice - Gröschl Zdeněk</v>
      </c>
      <c r="C14" s="73" t="str">
        <f>CONCATENATE($C$1,A3)</f>
        <v>Z1</v>
      </c>
      <c r="D14" s="70"/>
      <c r="E14" s="70"/>
    </row>
    <row r="15" spans="1:20" ht="19.5">
      <c r="A15" s="70" t="s">
        <v>32</v>
      </c>
      <c r="B15" s="43" t="str">
        <f ca="1">IF(N(C12)+N(D12)&gt;0,IF(N(C12)&gt;N(D12),B12,E12),"")</f>
        <v>26 SK Pétanque Řepy - Holoubek Pavel</v>
      </c>
      <c r="C15" s="73" t="str">
        <f>CONCATENATE($C$1,A4)</f>
        <v>Z2</v>
      </c>
      <c r="D15" s="70"/>
      <c r="E15" s="70"/>
    </row>
    <row r="16" spans="1:20" ht="19.5">
      <c r="A16" s="70" t="s">
        <v>33</v>
      </c>
      <c r="B16" s="43" t="str">
        <f ca="1">IF(N(C12)+N(D12)&gt;0,IF(N(C12)&gt;N(D12),E12,B12),"")</f>
        <v>61 PC Mimo Done - Kára Jan</v>
      </c>
      <c r="C16" s="73" t="str">
        <f>CONCATENATE($C$1,A5)</f>
        <v>Z3</v>
      </c>
      <c r="D16" s="70"/>
      <c r="E16" s="70"/>
    </row>
    <row r="17" spans="1:5" ht="19.5">
      <c r="A17" s="70" t="s">
        <v>34</v>
      </c>
      <c r="B17" s="78" t="str">
        <f ca="1">IF(N(C11)+N(D11)&gt;0,IF(N(C11)&gt;N(D11),E11,B11),"")</f>
        <v xml:space="preserve"> - </v>
      </c>
      <c r="C17" s="73" t="str">
        <f>CONCATENATE($C$1,A6)</f>
        <v>Z4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27</v>
      </c>
      <c r="B1" s="71" t="s">
        <v>113</v>
      </c>
      <c r="C1" s="71" t="s">
        <v>81</v>
      </c>
      <c r="D1" s="72"/>
      <c r="E1" s="70"/>
      <c r="F1">
        <f>VLOOKUP(A1,'Hra 2P'!I8:J390,2,0)</f>
        <v>164</v>
      </c>
      <c r="L1">
        <f ca="1">IF(TRIM(B3)="-",0,1) + IF(TRIM(B4)="-",0,1) + IF(TRIM(B5)="-",0,1) + IF(TRIM(B6)="-",0,1)</f>
        <v>3</v>
      </c>
      <c r="R1">
        <f ca="1">INDIRECT(ADDRESS(4,A1,1,1,"Hřiště"))</f>
        <v>27</v>
      </c>
      <c r="S1">
        <f ca="1">INDIRECT(ADDRESS(5,A1,1,1,"Hřiště"))</f>
        <v>27</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27 Sokol Kostomlaty - Vlach Jaromír</v>
      </c>
      <c r="C3" s="70"/>
      <c r="D3" s="70"/>
      <c r="E3" s="70"/>
    </row>
    <row r="4" spans="1:20" ht="19.5">
      <c r="A4" s="70">
        <v>2</v>
      </c>
      <c r="B4" s="43" t="str">
        <f ca="1">IF(TYPE(VLOOKUP(CONCATENATE($C$1,A4),Skupiny!$A$3:$B$258,2,0))&gt;4," - ",VLOOKUP(CONCATENATE($C$1,A4),Skupiny!$A$3:$B$258,2,0))</f>
        <v>60 SKP Hranice VI-Valšovice - Svobodová Lenka</v>
      </c>
      <c r="C4" s="70"/>
      <c r="D4" s="70"/>
      <c r="E4" s="70"/>
    </row>
    <row r="5" spans="1:20" ht="19.5">
      <c r="A5" s="70">
        <v>3</v>
      </c>
      <c r="B5" s="43" t="str">
        <f ca="1">IF(TYPE(VLOOKUP(CONCATENATE($C$1,A5),Skupiny!$A$3:$B$258,2,0))&gt;4," - ",VLOOKUP(CONCATENATE($C$1,A5),Skupiny!$A$3:$B$258,2,0))</f>
        <v>113 PK Polouvsí - Ondryhal Lukáš</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27 Sokol Kostomlaty - Vlach Jaromír</v>
      </c>
      <c r="C8" s="74" t="str">
        <f>IF(('Hra 2P'!E164=""),"",'Hra 2P'!E164)</f>
        <v/>
      </c>
      <c r="D8" s="74" t="str">
        <f>IF(('Hra 2P'!F164=""),"",'Hra 2P'!F164)</f>
        <v/>
      </c>
      <c r="E8" s="43" t="str">
        <f ca="1">B6</f>
        <v xml:space="preserve"> - </v>
      </c>
    </row>
    <row r="9" spans="1:20" ht="19.5">
      <c r="A9" s="70"/>
      <c r="B9" s="43" t="str">
        <f ca="1">B4</f>
        <v>60 SKP Hranice VI-Valšovice - Svobodová Lenka</v>
      </c>
      <c r="C9" s="74">
        <f>IF(('Hra 2P'!E165=""),"",'Hra 2P'!E165)</f>
        <v>13</v>
      </c>
      <c r="D9" s="74">
        <f>IF(('Hra 2P'!F165=""),"",'Hra 2P'!F165)</f>
        <v>10</v>
      </c>
      <c r="E9" s="43" t="str">
        <f ca="1">B5</f>
        <v>113 PK Polouvsí - Ondryhal Lukáš</v>
      </c>
    </row>
    <row r="10" spans="1:20" ht="19.5">
      <c r="A10" s="75" t="s">
        <v>46</v>
      </c>
      <c r="B10" s="43" t="str">
        <f ca="1">IF(TRIM(E8)="-",B8,IF(AND(C8="",D8="")," ",IF(N(C8)&gt;N(D8),B8,E8)))</f>
        <v>27 Sokol Kostomlaty - Vlach Jaromír</v>
      </c>
      <c r="C10" s="74">
        <f>IF(('Hra 2P'!E166=""),"",'Hra 2P'!E166)</f>
        <v>13</v>
      </c>
      <c r="D10" s="74">
        <f>IF(('Hra 2P'!F166=""),"",'Hra 2P'!F166)</f>
        <v>8</v>
      </c>
      <c r="E10" s="43" t="str">
        <f ca="1">IF(AND(C9="",D9="")," ",IF(N(C9)&gt;N(D9),B9,E9))</f>
        <v>60 SKP Hranice VI-Valšovice - Svobodová Lenka</v>
      </c>
    </row>
    <row r="11" spans="1:20" ht="19.5">
      <c r="A11" s="75" t="s">
        <v>47</v>
      </c>
      <c r="B11" s="43" t="str">
        <f ca="1">IF(TRIM(E8)="-",E8,IF(AND(C8="",D8="")," ",IF(N(C8)&gt;N(D8),E8,B8)))</f>
        <v xml:space="preserve"> - </v>
      </c>
      <c r="C11" s="74" t="str">
        <f>IF(('Hra 2P'!E167=""),"",'Hra 2P'!E167)</f>
        <v/>
      </c>
      <c r="D11" s="74">
        <f>IF(('Hra 2P'!F167=""),"",'Hra 2P'!F167)</f>
        <v>13</v>
      </c>
      <c r="E11" s="43" t="str">
        <f ca="1">IF(TRIM(E9)="",E9,IF(AND(C9="",D9="")," ",IF(N(C9)&gt;N(D9),E9,B9)))</f>
        <v>113 PK Polouvsí - Ondryhal Lukáš</v>
      </c>
    </row>
    <row r="12" spans="1:20" ht="19.5">
      <c r="A12" s="75" t="s">
        <v>48</v>
      </c>
      <c r="B12" s="43" t="str">
        <f ca="1">IF(TRIM(E10)="",E10,IF(AND(C10="",D10="")," ",IF(N(C10)&gt;N(D10),E10,B10)))</f>
        <v>60 SKP Hranice VI-Valšovice - Svobodová Lenka</v>
      </c>
      <c r="C12" s="74">
        <f>IF(('Hra 2P'!E168=""),"",'Hra 2P'!E168)</f>
        <v>13</v>
      </c>
      <c r="D12" s="74">
        <f>IF(('Hra 2P'!F168=""),"",'Hra 2P'!F168)</f>
        <v>9</v>
      </c>
      <c r="E12" s="43" t="str">
        <f ca="1">IF(AND(TRIM(B11)="",TRIM(E8)=""),E11,IF(AND(C11="",D11="")," ",IF(N(C11)&gt;N(D11),B11,E11)))</f>
        <v>113 PK Polouvsí - Ondryhal Lukáš</v>
      </c>
    </row>
    <row r="13" spans="1:20" ht="37.15" customHeight="1">
      <c r="A13" s="70"/>
      <c r="B13" s="76" t="s">
        <v>52</v>
      </c>
      <c r="C13" s="77" t="s">
        <v>116</v>
      </c>
      <c r="D13" s="70"/>
      <c r="E13" s="70"/>
    </row>
    <row r="14" spans="1:20" ht="19.5">
      <c r="A14" s="70" t="s">
        <v>31</v>
      </c>
      <c r="B14" s="43" t="str">
        <f ca="1">IF(N(C10)+N(D10)&gt;0,IF(N(C10)&gt;N(D10),B10,E10),"")</f>
        <v>27 Sokol Kostomlaty - Vlach Jaromír</v>
      </c>
      <c r="C14" s="73" t="str">
        <f>CONCATENATE($C$1,A3)</f>
        <v>AA1</v>
      </c>
      <c r="D14" s="70"/>
      <c r="E14" s="70"/>
    </row>
    <row r="15" spans="1:20" ht="19.5">
      <c r="A15" s="70" t="s">
        <v>32</v>
      </c>
      <c r="B15" s="43" t="str">
        <f ca="1">IF(N(C12)+N(D12)&gt;0,IF(N(C12)&gt;N(D12),B12,E12),"")</f>
        <v>60 SKP Hranice VI-Valšovice - Svobodová Lenka</v>
      </c>
      <c r="C15" s="73" t="str">
        <f>CONCATENATE($C$1,A4)</f>
        <v>AA2</v>
      </c>
      <c r="D15" s="70"/>
      <c r="E15" s="70"/>
    </row>
    <row r="16" spans="1:20" ht="19.5">
      <c r="A16" s="70" t="s">
        <v>33</v>
      </c>
      <c r="B16" s="43" t="str">
        <f ca="1">IF(N(C12)+N(D12)&gt;0,IF(N(C12)&gt;N(D12),E12,B12),"")</f>
        <v>113 PK Polouvsí - Ondryhal Lukáš</v>
      </c>
      <c r="C16" s="73" t="str">
        <f>CONCATENATE($C$1,A5)</f>
        <v>AA3</v>
      </c>
      <c r="D16" s="70"/>
      <c r="E16" s="70"/>
    </row>
    <row r="17" spans="1:5" ht="19.5">
      <c r="A17" s="70" t="s">
        <v>34</v>
      </c>
      <c r="B17" s="78" t="str">
        <f ca="1">IF(N(C11)+N(D11)&gt;0,IF(N(C11)&gt;N(D11),E11,B11),"")</f>
        <v xml:space="preserve"> - </v>
      </c>
      <c r="C17" s="73" t="str">
        <f>CONCATENATE($C$1,A6)</f>
        <v>AA4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sheetPr codeName="List59">
    <tabColor rgb="FF00B0F0"/>
  </sheetPr>
  <dimension ref="A1:H1302"/>
  <sheetViews>
    <sheetView topLeftCell="A539" workbookViewId="0">
      <selection activeCell="J553" sqref="J553"/>
    </sheetView>
  </sheetViews>
  <sheetFormatPr defaultRowHeight="12.75"/>
  <cols>
    <col min="1" max="1" width="13.7109375" style="164" customWidth="1"/>
    <col min="2" max="2" width="39.7109375" style="164" customWidth="1"/>
    <col min="3" max="3" width="28.85546875" style="164" customWidth="1"/>
    <col min="4" max="4" width="17.42578125" style="164" customWidth="1"/>
    <col min="5" max="5" width="5.42578125" customWidth="1"/>
    <col min="6" max="6" width="9.42578125" customWidth="1"/>
  </cols>
  <sheetData>
    <row r="1" spans="1:8" ht="31.15" customHeight="1">
      <c r="A1" s="502"/>
      <c r="B1" s="502"/>
      <c r="C1" s="502"/>
      <c r="D1" s="502"/>
      <c r="E1" s="503">
        <v>20035</v>
      </c>
      <c r="F1" s="502"/>
      <c r="G1" s="392" t="s">
        <v>459</v>
      </c>
      <c r="H1" s="14"/>
    </row>
    <row r="2" spans="1:8" ht="13.15" customHeight="1">
      <c r="A2" s="502"/>
      <c r="B2" s="502" t="s">
        <v>1836</v>
      </c>
      <c r="C2" s="502"/>
      <c r="D2" s="502"/>
      <c r="E2" s="502"/>
      <c r="F2" s="502"/>
      <c r="H2" s="14"/>
    </row>
    <row r="3" spans="1:8" ht="13.15" customHeight="1">
      <c r="A3" s="502" t="s">
        <v>1837</v>
      </c>
      <c r="B3" s="502" t="s">
        <v>1048</v>
      </c>
      <c r="C3" s="504" t="s">
        <v>1838</v>
      </c>
      <c r="D3" s="502"/>
      <c r="E3" s="505">
        <v>44086</v>
      </c>
      <c r="F3" s="502" t="s">
        <v>1839</v>
      </c>
      <c r="G3" s="390" t="s">
        <v>460</v>
      </c>
      <c r="H3" s="14"/>
    </row>
    <row r="4" spans="1:8" ht="10.9" customHeight="1">
      <c r="A4" s="502"/>
      <c r="B4" s="502"/>
      <c r="C4" s="502"/>
      <c r="D4" s="502"/>
      <c r="E4" s="502"/>
      <c r="F4" s="502"/>
      <c r="G4" s="390" t="s">
        <v>453</v>
      </c>
      <c r="H4" s="14"/>
    </row>
    <row r="5" spans="1:8" ht="13.15" customHeight="1">
      <c r="A5" s="502"/>
      <c r="B5" s="502"/>
      <c r="C5" s="502"/>
      <c r="D5" s="502"/>
      <c r="E5" s="502"/>
      <c r="F5" s="502"/>
      <c r="G5" s="390" t="s">
        <v>0</v>
      </c>
      <c r="H5" s="14"/>
    </row>
    <row r="6" spans="1:8" ht="26.45" customHeight="1">
      <c r="A6" s="502"/>
      <c r="B6" s="502"/>
      <c r="C6" s="502"/>
      <c r="D6" s="502"/>
      <c r="E6" s="502"/>
      <c r="F6" s="502"/>
      <c r="G6" s="14"/>
      <c r="H6" s="14"/>
    </row>
    <row r="7" spans="1:8" ht="8.4499999999999993" customHeight="1">
      <c r="A7" s="502"/>
      <c r="B7" s="502"/>
      <c r="C7" s="502"/>
      <c r="D7" s="502"/>
      <c r="E7" s="502"/>
      <c r="F7" s="502"/>
      <c r="G7" s="14"/>
      <c r="H7" s="14"/>
    </row>
    <row r="8" spans="1:8" ht="26.45" customHeight="1">
      <c r="A8" s="502" t="s">
        <v>1840</v>
      </c>
      <c r="B8" s="504" t="s">
        <v>1841</v>
      </c>
      <c r="C8" s="502" t="s">
        <v>60</v>
      </c>
      <c r="D8" s="502">
        <v>1</v>
      </c>
      <c r="E8" s="502" t="s">
        <v>61</v>
      </c>
      <c r="F8" s="502" t="s">
        <v>1842</v>
      </c>
      <c r="G8" s="390"/>
      <c r="H8" s="14"/>
    </row>
    <row r="9" spans="1:8" ht="14.25">
      <c r="A9" s="503">
        <v>99532</v>
      </c>
      <c r="B9" s="502" t="s">
        <v>1843</v>
      </c>
      <c r="C9" s="502" t="s">
        <v>198</v>
      </c>
      <c r="D9" s="502"/>
      <c r="E9" s="503">
        <v>2</v>
      </c>
      <c r="F9" s="503" t="s">
        <v>1844</v>
      </c>
      <c r="G9" s="390" t="s">
        <v>455</v>
      </c>
      <c r="H9" s="14"/>
    </row>
    <row r="10" spans="1:8" ht="14.25">
      <c r="A10" s="502"/>
      <c r="B10" s="502"/>
      <c r="C10" s="502"/>
      <c r="D10" s="502"/>
      <c r="E10" s="502"/>
      <c r="F10" s="502"/>
      <c r="G10" s="390" t="s">
        <v>452</v>
      </c>
      <c r="H10" s="14"/>
    </row>
    <row r="11" spans="1:8">
      <c r="A11" s="502"/>
      <c r="B11" s="502"/>
      <c r="C11" s="502"/>
      <c r="D11" s="502"/>
      <c r="E11" s="502"/>
      <c r="F11" s="502"/>
      <c r="H11" s="14"/>
    </row>
    <row r="12" spans="1:8" ht="14.25">
      <c r="A12" s="502"/>
      <c r="B12" s="502"/>
      <c r="C12" s="502"/>
      <c r="D12" s="502"/>
      <c r="E12" s="502"/>
      <c r="F12" s="502"/>
      <c r="G12" s="390"/>
      <c r="H12" s="14"/>
    </row>
    <row r="13" spans="1:8" ht="14.25">
      <c r="A13" s="502" t="s">
        <v>1840</v>
      </c>
      <c r="B13" s="504" t="s">
        <v>1841</v>
      </c>
      <c r="C13" s="502" t="s">
        <v>60</v>
      </c>
      <c r="D13" s="502">
        <v>2</v>
      </c>
      <c r="E13" s="502" t="s">
        <v>61</v>
      </c>
      <c r="F13" s="502" t="s">
        <v>1845</v>
      </c>
      <c r="G13" s="390"/>
      <c r="H13" s="14"/>
    </row>
    <row r="14" spans="1:8" ht="14.25">
      <c r="A14" s="503">
        <v>29062</v>
      </c>
      <c r="B14" s="502" t="s">
        <v>1846</v>
      </c>
      <c r="C14" s="502" t="s">
        <v>202</v>
      </c>
      <c r="D14" s="502"/>
      <c r="E14" s="503">
        <v>4</v>
      </c>
      <c r="F14" s="503" t="s">
        <v>1847</v>
      </c>
      <c r="G14" s="390"/>
      <c r="H14" s="14"/>
    </row>
    <row r="15" spans="1:8" ht="14.25">
      <c r="A15" s="502"/>
      <c r="B15" s="502"/>
      <c r="C15" s="502"/>
      <c r="D15" s="502"/>
      <c r="E15" s="502"/>
      <c r="F15" s="502"/>
      <c r="G15" s="390"/>
      <c r="H15" s="14"/>
    </row>
    <row r="16" spans="1:8" ht="14.25">
      <c r="A16" s="502"/>
      <c r="B16" s="502"/>
      <c r="C16" s="502"/>
      <c r="D16" s="502"/>
      <c r="E16" s="502"/>
      <c r="F16" s="502"/>
      <c r="G16" s="390"/>
      <c r="H16" s="14"/>
    </row>
    <row r="17" spans="1:8" ht="14.25">
      <c r="A17" s="502"/>
      <c r="B17" s="502"/>
      <c r="C17" s="502"/>
      <c r="D17" s="502"/>
      <c r="E17" s="502"/>
      <c r="F17" s="502"/>
      <c r="G17" s="390"/>
      <c r="H17" s="14"/>
    </row>
    <row r="18" spans="1:8" ht="14.25">
      <c r="A18" s="502" t="s">
        <v>1840</v>
      </c>
      <c r="B18" s="504" t="s">
        <v>1841</v>
      </c>
      <c r="C18" s="502" t="s">
        <v>60</v>
      </c>
      <c r="D18" s="502">
        <v>3</v>
      </c>
      <c r="E18" s="502" t="s">
        <v>61</v>
      </c>
      <c r="F18" s="502" t="s">
        <v>1848</v>
      </c>
      <c r="G18" s="390"/>
      <c r="H18" s="14"/>
    </row>
    <row r="19" spans="1:8" ht="14.25">
      <c r="A19" s="503">
        <v>21774</v>
      </c>
      <c r="B19" s="502" t="s">
        <v>1849</v>
      </c>
      <c r="C19" s="502" t="s">
        <v>198</v>
      </c>
      <c r="D19" s="502"/>
      <c r="E19" s="503">
        <v>6</v>
      </c>
      <c r="F19" s="503" t="s">
        <v>1850</v>
      </c>
      <c r="G19" s="390"/>
      <c r="H19" s="14"/>
    </row>
    <row r="20" spans="1:8">
      <c r="A20" s="502"/>
      <c r="B20" s="502"/>
      <c r="C20" s="502"/>
      <c r="D20" s="502"/>
      <c r="E20" s="502"/>
      <c r="F20" s="502"/>
      <c r="G20" s="14"/>
      <c r="H20" s="14"/>
    </row>
    <row r="21" spans="1:8">
      <c r="A21" s="502"/>
      <c r="B21" s="502"/>
      <c r="C21" s="502"/>
      <c r="D21" s="502"/>
      <c r="E21" s="502"/>
      <c r="F21" s="502"/>
      <c r="G21" s="14"/>
      <c r="H21" s="14"/>
    </row>
    <row r="22" spans="1:8">
      <c r="A22" s="502"/>
      <c r="B22" s="502"/>
      <c r="C22" s="502"/>
      <c r="D22" s="502"/>
      <c r="E22" s="502"/>
      <c r="F22" s="502"/>
      <c r="G22" s="14"/>
      <c r="H22" s="14"/>
    </row>
    <row r="23" spans="1:8">
      <c r="A23" s="502" t="s">
        <v>1840</v>
      </c>
      <c r="B23" s="504" t="s">
        <v>1841</v>
      </c>
      <c r="C23" s="502" t="s">
        <v>60</v>
      </c>
      <c r="D23" s="502">
        <v>4</v>
      </c>
      <c r="E23" s="502" t="s">
        <v>61</v>
      </c>
      <c r="F23" s="502" t="s">
        <v>1851</v>
      </c>
      <c r="G23" s="14"/>
      <c r="H23" s="14"/>
    </row>
    <row r="24" spans="1:8">
      <c r="A24" s="503">
        <v>27039</v>
      </c>
      <c r="B24" s="502" t="s">
        <v>1852</v>
      </c>
      <c r="C24" s="502" t="s">
        <v>200</v>
      </c>
      <c r="D24" s="502"/>
      <c r="E24" s="503">
        <v>1</v>
      </c>
      <c r="F24" s="503" t="s">
        <v>1853</v>
      </c>
      <c r="G24" s="14"/>
      <c r="H24" s="14"/>
    </row>
    <row r="25" spans="1:8">
      <c r="A25" s="502"/>
      <c r="B25" s="502"/>
      <c r="C25" s="502"/>
      <c r="D25" s="502"/>
      <c r="E25" s="502"/>
      <c r="F25" s="502"/>
      <c r="G25" s="14"/>
      <c r="H25" s="14"/>
    </row>
    <row r="26" spans="1:8">
      <c r="A26" s="502"/>
      <c r="B26" s="502"/>
      <c r="C26" s="502"/>
      <c r="D26" s="502"/>
      <c r="E26" s="502"/>
      <c r="F26" s="502"/>
      <c r="G26" s="14"/>
      <c r="H26" s="14"/>
    </row>
    <row r="27" spans="1:8">
      <c r="A27" s="502"/>
      <c r="B27" s="502"/>
      <c r="C27" s="502"/>
      <c r="D27" s="502"/>
      <c r="E27" s="502"/>
      <c r="F27" s="502"/>
      <c r="G27" s="14"/>
      <c r="H27" s="14"/>
    </row>
    <row r="28" spans="1:8">
      <c r="A28" s="502" t="s">
        <v>1840</v>
      </c>
      <c r="B28" s="504" t="s">
        <v>1841</v>
      </c>
      <c r="C28" s="502" t="s">
        <v>60</v>
      </c>
      <c r="D28" s="502">
        <v>5</v>
      </c>
      <c r="E28" s="502" t="s">
        <v>61</v>
      </c>
      <c r="F28" s="502" t="s">
        <v>1854</v>
      </c>
      <c r="G28" s="14"/>
      <c r="H28" s="14"/>
    </row>
    <row r="29" spans="1:8">
      <c r="A29" s="503">
        <v>12022</v>
      </c>
      <c r="B29" s="502" t="s">
        <v>1855</v>
      </c>
      <c r="C29" s="502" t="s">
        <v>198</v>
      </c>
      <c r="D29" s="502"/>
      <c r="E29" s="503">
        <v>5</v>
      </c>
      <c r="F29" s="503" t="s">
        <v>1856</v>
      </c>
      <c r="G29" s="14"/>
      <c r="H29" s="14"/>
    </row>
    <row r="30" spans="1:8">
      <c r="A30" s="502"/>
      <c r="B30" s="502"/>
      <c r="C30" s="502"/>
      <c r="D30" s="502"/>
      <c r="E30" s="502"/>
      <c r="F30" s="502"/>
      <c r="G30" s="14"/>
      <c r="H30" s="14"/>
    </row>
    <row r="31" spans="1:8">
      <c r="A31" s="502"/>
      <c r="B31" s="502"/>
      <c r="C31" s="502"/>
      <c r="D31" s="502"/>
      <c r="E31" s="502"/>
      <c r="F31" s="502"/>
      <c r="G31" s="14"/>
      <c r="H31" s="14"/>
    </row>
    <row r="32" spans="1:8">
      <c r="A32" s="502"/>
      <c r="B32" s="502"/>
      <c r="C32" s="502"/>
      <c r="D32" s="502"/>
      <c r="E32" s="502"/>
      <c r="F32" s="502"/>
      <c r="G32" s="14"/>
      <c r="H32" s="14"/>
    </row>
    <row r="33" spans="1:8">
      <c r="A33" s="502" t="s">
        <v>1840</v>
      </c>
      <c r="B33" s="504" t="s">
        <v>1841</v>
      </c>
      <c r="C33" s="502" t="s">
        <v>60</v>
      </c>
      <c r="D33" s="502">
        <v>6</v>
      </c>
      <c r="E33" s="502" t="s">
        <v>61</v>
      </c>
      <c r="F33" s="502" t="s">
        <v>1857</v>
      </c>
      <c r="G33" s="14"/>
      <c r="H33" s="14"/>
    </row>
    <row r="34" spans="1:8">
      <c r="A34" s="503">
        <v>14075</v>
      </c>
      <c r="B34" s="502" t="s">
        <v>1858</v>
      </c>
      <c r="C34" s="502" t="s">
        <v>202</v>
      </c>
      <c r="D34" s="502"/>
      <c r="E34" s="503">
        <v>13</v>
      </c>
      <c r="F34" s="503" t="s">
        <v>1859</v>
      </c>
      <c r="G34" s="14"/>
      <c r="H34" s="14"/>
    </row>
    <row r="35" spans="1:8">
      <c r="A35" s="502"/>
      <c r="B35" s="502"/>
      <c r="C35" s="502"/>
      <c r="D35" s="502"/>
      <c r="E35" s="502"/>
      <c r="F35" s="502"/>
      <c r="G35" s="14"/>
      <c r="H35" s="14"/>
    </row>
    <row r="36" spans="1:8">
      <c r="A36" s="502"/>
      <c r="B36" s="502"/>
      <c r="C36" s="502"/>
      <c r="D36" s="502"/>
      <c r="E36" s="502"/>
      <c r="F36" s="502"/>
      <c r="G36" s="14"/>
      <c r="H36" s="14"/>
    </row>
    <row r="37" spans="1:8">
      <c r="A37" s="502"/>
      <c r="B37" s="502"/>
      <c r="C37" s="502"/>
      <c r="D37" s="502"/>
      <c r="E37" s="502"/>
      <c r="F37" s="502"/>
      <c r="G37" s="14"/>
      <c r="H37" s="14"/>
    </row>
    <row r="38" spans="1:8">
      <c r="A38" s="502" t="s">
        <v>1840</v>
      </c>
      <c r="B38" s="504" t="s">
        <v>1841</v>
      </c>
      <c r="C38" s="502" t="s">
        <v>60</v>
      </c>
      <c r="D38" s="502">
        <v>7</v>
      </c>
      <c r="E38" s="502" t="s">
        <v>61</v>
      </c>
      <c r="F38" s="502" t="s">
        <v>1860</v>
      </c>
      <c r="G38" s="14"/>
      <c r="H38" s="14"/>
    </row>
    <row r="39" spans="1:8">
      <c r="A39" s="503">
        <v>11039</v>
      </c>
      <c r="B39" s="502" t="s">
        <v>1861</v>
      </c>
      <c r="C39" s="502" t="s">
        <v>1284</v>
      </c>
      <c r="D39" s="502"/>
      <c r="E39" s="503">
        <v>8</v>
      </c>
      <c r="F39" s="503" t="s">
        <v>1862</v>
      </c>
      <c r="G39" s="14"/>
      <c r="H39" s="14"/>
    </row>
    <row r="40" spans="1:8">
      <c r="A40" s="502"/>
      <c r="B40" s="502"/>
      <c r="C40" s="502"/>
      <c r="D40" s="502"/>
      <c r="E40" s="502"/>
      <c r="F40" s="502"/>
      <c r="G40" s="14"/>
      <c r="H40" s="14"/>
    </row>
    <row r="41" spans="1:8">
      <c r="A41" s="502"/>
      <c r="B41" s="502"/>
      <c r="C41" s="502"/>
      <c r="D41" s="502"/>
      <c r="E41" s="502"/>
      <c r="F41" s="502"/>
      <c r="G41" s="14"/>
      <c r="H41" s="14"/>
    </row>
    <row r="42" spans="1:8">
      <c r="A42" s="502"/>
      <c r="B42" s="502"/>
      <c r="C42" s="502"/>
      <c r="D42" s="502"/>
      <c r="E42" s="502"/>
      <c r="F42" s="502"/>
      <c r="G42" s="14"/>
      <c r="H42" s="14"/>
    </row>
    <row r="43" spans="1:8" ht="25.5">
      <c r="A43" s="502" t="s">
        <v>1840</v>
      </c>
      <c r="B43" s="504" t="s">
        <v>1841</v>
      </c>
      <c r="C43" s="502" t="s">
        <v>60</v>
      </c>
      <c r="D43" s="502">
        <v>8</v>
      </c>
      <c r="E43" s="502" t="s">
        <v>61</v>
      </c>
      <c r="F43" s="502" t="s">
        <v>1863</v>
      </c>
      <c r="G43" s="14"/>
      <c r="H43" s="14"/>
    </row>
    <row r="44" spans="1:8">
      <c r="A44" s="503">
        <v>13040</v>
      </c>
      <c r="B44" s="502" t="s">
        <v>1864</v>
      </c>
      <c r="C44" s="502" t="s">
        <v>153</v>
      </c>
      <c r="D44" s="502"/>
      <c r="E44" s="503">
        <v>11</v>
      </c>
      <c r="F44" s="503" t="s">
        <v>1865</v>
      </c>
      <c r="G44" s="14"/>
      <c r="H44" s="14"/>
    </row>
    <row r="45" spans="1:8">
      <c r="A45" s="502"/>
      <c r="B45" s="502"/>
      <c r="C45" s="502"/>
      <c r="D45" s="502"/>
      <c r="E45" s="502"/>
      <c r="F45" s="502"/>
      <c r="G45" s="14"/>
      <c r="H45" s="14"/>
    </row>
    <row r="46" spans="1:8">
      <c r="A46" s="502"/>
      <c r="B46" s="502"/>
      <c r="C46" s="502"/>
      <c r="D46" s="502"/>
      <c r="E46" s="502"/>
      <c r="F46" s="502"/>
      <c r="G46" s="14"/>
      <c r="H46" s="14"/>
    </row>
    <row r="47" spans="1:8">
      <c r="A47" s="502"/>
      <c r="B47" s="502"/>
      <c r="C47" s="502"/>
      <c r="D47" s="502"/>
      <c r="E47" s="502"/>
      <c r="F47" s="502"/>
      <c r="G47" s="14"/>
      <c r="H47" s="14"/>
    </row>
    <row r="48" spans="1:8">
      <c r="A48" s="502" t="s">
        <v>1840</v>
      </c>
      <c r="B48" s="504" t="s">
        <v>1841</v>
      </c>
      <c r="C48" s="502" t="s">
        <v>60</v>
      </c>
      <c r="D48" s="502">
        <v>9</v>
      </c>
      <c r="E48" s="502" t="s">
        <v>61</v>
      </c>
      <c r="F48" s="502" t="s">
        <v>1866</v>
      </c>
      <c r="G48" s="14"/>
      <c r="H48" s="14"/>
    </row>
    <row r="49" spans="1:8">
      <c r="A49" s="503">
        <v>21755</v>
      </c>
      <c r="B49" s="502" t="s">
        <v>1867</v>
      </c>
      <c r="C49" s="502" t="s">
        <v>212</v>
      </c>
      <c r="D49" s="502"/>
      <c r="E49" s="503">
        <v>7</v>
      </c>
      <c r="F49" s="503" t="s">
        <v>1868</v>
      </c>
      <c r="G49" s="14"/>
      <c r="H49" s="14"/>
    </row>
    <row r="50" spans="1:8">
      <c r="A50" s="502"/>
      <c r="B50" s="502"/>
      <c r="C50" s="502"/>
      <c r="D50" s="502"/>
      <c r="E50" s="502"/>
      <c r="F50" s="502"/>
      <c r="G50" s="14"/>
      <c r="H50" s="14"/>
    </row>
    <row r="51" spans="1:8">
      <c r="A51" s="502"/>
      <c r="B51" s="502"/>
      <c r="C51" s="502"/>
      <c r="D51" s="502"/>
      <c r="E51" s="502"/>
      <c r="F51" s="502"/>
      <c r="G51" s="14"/>
      <c r="H51" s="14"/>
    </row>
    <row r="52" spans="1:8">
      <c r="A52" s="502"/>
      <c r="B52" s="502"/>
      <c r="C52" s="502"/>
      <c r="D52" s="502"/>
      <c r="E52" s="502"/>
      <c r="F52" s="502"/>
      <c r="G52" s="14"/>
      <c r="H52" s="14"/>
    </row>
    <row r="53" spans="1:8" ht="25.5">
      <c r="A53" s="502" t="s">
        <v>1840</v>
      </c>
      <c r="B53" s="504" t="s">
        <v>1841</v>
      </c>
      <c r="C53" s="502" t="s">
        <v>60</v>
      </c>
      <c r="D53" s="502">
        <v>10</v>
      </c>
      <c r="E53" s="502" t="s">
        <v>61</v>
      </c>
      <c r="F53" s="502" t="s">
        <v>1869</v>
      </c>
      <c r="G53" s="14"/>
      <c r="H53" s="14"/>
    </row>
    <row r="54" spans="1:8">
      <c r="A54" s="503">
        <v>14008</v>
      </c>
      <c r="B54" s="502" t="s">
        <v>1870</v>
      </c>
      <c r="C54" s="502" t="s">
        <v>161</v>
      </c>
      <c r="D54" s="502"/>
      <c r="E54" s="503">
        <v>28</v>
      </c>
      <c r="F54" s="503" t="s">
        <v>1871</v>
      </c>
      <c r="G54" s="14"/>
      <c r="H54" s="14"/>
    </row>
    <row r="55" spans="1:8">
      <c r="A55" s="502"/>
      <c r="B55" s="502"/>
      <c r="C55" s="502"/>
      <c r="D55" s="502"/>
      <c r="E55" s="502"/>
      <c r="F55" s="502"/>
      <c r="G55" s="14"/>
      <c r="H55" s="14"/>
    </row>
    <row r="56" spans="1:8">
      <c r="A56" s="502"/>
      <c r="B56" s="502"/>
      <c r="C56" s="502"/>
      <c r="D56" s="502"/>
      <c r="E56" s="502"/>
      <c r="F56" s="502"/>
      <c r="G56" s="14"/>
      <c r="H56" s="14"/>
    </row>
    <row r="57" spans="1:8">
      <c r="A57" s="502"/>
      <c r="B57" s="502"/>
      <c r="C57" s="502"/>
      <c r="D57" s="502"/>
      <c r="E57" s="502"/>
      <c r="F57" s="502"/>
      <c r="G57" s="14"/>
      <c r="H57" s="14"/>
    </row>
    <row r="58" spans="1:8" ht="25.5">
      <c r="A58" s="502" t="s">
        <v>1840</v>
      </c>
      <c r="B58" s="504" t="s">
        <v>1841</v>
      </c>
      <c r="C58" s="502" t="s">
        <v>60</v>
      </c>
      <c r="D58" s="502">
        <v>11</v>
      </c>
      <c r="E58" s="502" t="s">
        <v>61</v>
      </c>
      <c r="F58" s="502" t="s">
        <v>1872</v>
      </c>
      <c r="G58" s="14"/>
      <c r="H58" s="14"/>
    </row>
    <row r="59" spans="1:8">
      <c r="A59" s="503">
        <v>98446</v>
      </c>
      <c r="B59" s="502" t="s">
        <v>1873</v>
      </c>
      <c r="C59" s="502" t="s">
        <v>202</v>
      </c>
      <c r="D59" s="502"/>
      <c r="E59" s="503">
        <v>17</v>
      </c>
      <c r="F59" s="503" t="s">
        <v>1874</v>
      </c>
      <c r="G59" s="14"/>
      <c r="H59" s="14"/>
    </row>
    <row r="60" spans="1:8">
      <c r="A60" s="502"/>
      <c r="B60" s="502"/>
      <c r="C60" s="502"/>
      <c r="D60" s="502"/>
      <c r="E60" s="502"/>
      <c r="F60" s="502"/>
      <c r="G60" s="14"/>
      <c r="H60" s="14"/>
    </row>
    <row r="61" spans="1:8">
      <c r="A61" s="502"/>
      <c r="B61" s="502"/>
      <c r="C61" s="502"/>
      <c r="D61" s="502"/>
      <c r="E61" s="502"/>
      <c r="F61" s="502"/>
      <c r="G61" s="14"/>
      <c r="H61" s="14"/>
    </row>
    <row r="62" spans="1:8">
      <c r="A62" s="502"/>
      <c r="B62" s="502"/>
      <c r="C62" s="502"/>
      <c r="D62" s="502"/>
      <c r="E62" s="502"/>
      <c r="F62" s="502"/>
      <c r="G62" s="14"/>
      <c r="H62" s="14"/>
    </row>
    <row r="63" spans="1:8" ht="25.5">
      <c r="A63" s="502" t="s">
        <v>1840</v>
      </c>
      <c r="B63" s="504" t="s">
        <v>1841</v>
      </c>
      <c r="C63" s="502" t="s">
        <v>60</v>
      </c>
      <c r="D63" s="502">
        <v>12</v>
      </c>
      <c r="E63" s="502" t="s">
        <v>61</v>
      </c>
      <c r="F63" s="502" t="s">
        <v>1875</v>
      </c>
      <c r="G63" s="14"/>
      <c r="H63" s="14"/>
    </row>
    <row r="64" spans="1:8">
      <c r="A64" s="503">
        <v>23086</v>
      </c>
      <c r="B64" s="502" t="s">
        <v>1876</v>
      </c>
      <c r="C64" s="502" t="s">
        <v>163</v>
      </c>
      <c r="D64" s="502"/>
      <c r="E64" s="503">
        <v>21</v>
      </c>
      <c r="F64" s="503" t="s">
        <v>1877</v>
      </c>
      <c r="G64" s="14"/>
      <c r="H64" s="14"/>
    </row>
    <row r="65" spans="1:8">
      <c r="A65" s="502"/>
      <c r="B65" s="502"/>
      <c r="C65" s="502"/>
      <c r="D65" s="502"/>
      <c r="E65" s="502"/>
      <c r="F65" s="502"/>
      <c r="G65" s="14"/>
      <c r="H65" s="14"/>
    </row>
    <row r="66" spans="1:8">
      <c r="A66" s="502"/>
      <c r="B66" s="502"/>
      <c r="C66" s="502"/>
      <c r="D66" s="502"/>
      <c r="E66" s="502"/>
      <c r="F66" s="502"/>
      <c r="G66" s="14"/>
      <c r="H66" s="14"/>
    </row>
    <row r="67" spans="1:8">
      <c r="A67" s="502"/>
      <c r="B67" s="502"/>
      <c r="C67" s="502"/>
      <c r="D67" s="502"/>
      <c r="E67" s="502"/>
      <c r="F67" s="502"/>
      <c r="G67" s="14"/>
      <c r="H67" s="14"/>
    </row>
    <row r="68" spans="1:8" ht="25.5">
      <c r="A68" s="502" t="s">
        <v>1840</v>
      </c>
      <c r="B68" s="504" t="s">
        <v>1841</v>
      </c>
      <c r="C68" s="502" t="s">
        <v>60</v>
      </c>
      <c r="D68" s="502">
        <v>13</v>
      </c>
      <c r="E68" s="502" t="s">
        <v>61</v>
      </c>
      <c r="F68" s="502" t="s">
        <v>1878</v>
      </c>
      <c r="G68" s="14"/>
      <c r="H68" s="14"/>
    </row>
    <row r="69" spans="1:8">
      <c r="A69" s="503">
        <v>15058</v>
      </c>
      <c r="B69" s="502" t="s">
        <v>1879</v>
      </c>
      <c r="C69" s="502" t="s">
        <v>202</v>
      </c>
      <c r="D69" s="502"/>
      <c r="E69" s="503">
        <v>10</v>
      </c>
      <c r="F69" s="503" t="s">
        <v>1880</v>
      </c>
      <c r="G69" s="14"/>
      <c r="H69" s="14"/>
    </row>
    <row r="70" spans="1:8">
      <c r="A70" s="502"/>
      <c r="B70" s="502"/>
      <c r="C70" s="502"/>
      <c r="D70" s="502"/>
      <c r="E70" s="502"/>
      <c r="F70" s="502"/>
      <c r="G70" s="14"/>
      <c r="H70" s="14"/>
    </row>
    <row r="71" spans="1:8">
      <c r="A71" s="502"/>
      <c r="B71" s="502"/>
      <c r="C71" s="502"/>
      <c r="D71" s="502"/>
      <c r="E71" s="502"/>
      <c r="F71" s="502"/>
      <c r="G71" s="14"/>
      <c r="H71" s="14"/>
    </row>
    <row r="72" spans="1:8">
      <c r="A72" s="502"/>
      <c r="B72" s="502"/>
      <c r="C72" s="502"/>
      <c r="D72" s="502"/>
      <c r="E72" s="502"/>
      <c r="F72" s="502"/>
      <c r="G72" s="14"/>
      <c r="H72" s="14"/>
    </row>
    <row r="73" spans="1:8" ht="25.5">
      <c r="A73" s="502" t="s">
        <v>1840</v>
      </c>
      <c r="B73" s="504" t="s">
        <v>1841</v>
      </c>
      <c r="C73" s="502" t="s">
        <v>60</v>
      </c>
      <c r="D73" s="502">
        <v>14</v>
      </c>
      <c r="E73" s="502" t="s">
        <v>61</v>
      </c>
      <c r="F73" s="502" t="s">
        <v>1881</v>
      </c>
      <c r="G73" s="14"/>
      <c r="H73" s="14"/>
    </row>
    <row r="74" spans="1:8">
      <c r="A74" s="503">
        <v>23021</v>
      </c>
      <c r="B74" s="502" t="s">
        <v>1882</v>
      </c>
      <c r="C74" s="502" t="s">
        <v>163</v>
      </c>
      <c r="D74" s="502"/>
      <c r="E74" s="503">
        <v>9</v>
      </c>
      <c r="F74" s="503" t="s">
        <v>1883</v>
      </c>
      <c r="G74" s="14"/>
      <c r="H74" s="14"/>
    </row>
    <row r="75" spans="1:8">
      <c r="A75" s="502"/>
      <c r="B75" s="502"/>
      <c r="C75" s="502"/>
      <c r="D75" s="502"/>
      <c r="E75" s="502"/>
      <c r="F75" s="502"/>
      <c r="G75" s="14"/>
      <c r="H75" s="14"/>
    </row>
    <row r="76" spans="1:8">
      <c r="A76" s="502"/>
      <c r="B76" s="502"/>
      <c r="C76" s="502"/>
      <c r="D76" s="502"/>
      <c r="E76" s="502"/>
      <c r="F76" s="502"/>
      <c r="G76" s="14"/>
      <c r="H76" s="14"/>
    </row>
    <row r="77" spans="1:8">
      <c r="A77" s="502"/>
      <c r="B77" s="502"/>
      <c r="C77" s="502"/>
      <c r="D77" s="502"/>
      <c r="E77" s="502"/>
      <c r="F77" s="502"/>
      <c r="G77" s="14"/>
      <c r="H77" s="14"/>
    </row>
    <row r="78" spans="1:8">
      <c r="A78" s="502" t="s">
        <v>1840</v>
      </c>
      <c r="B78" s="504" t="s">
        <v>1841</v>
      </c>
      <c r="C78" s="502" t="s">
        <v>60</v>
      </c>
      <c r="D78" s="502">
        <v>15</v>
      </c>
      <c r="E78" s="502" t="s">
        <v>61</v>
      </c>
      <c r="F78" s="502" t="s">
        <v>1884</v>
      </c>
      <c r="G78" s="14"/>
      <c r="H78" s="14"/>
    </row>
    <row r="79" spans="1:8">
      <c r="A79" s="503">
        <v>14024</v>
      </c>
      <c r="B79" s="502" t="s">
        <v>1885</v>
      </c>
      <c r="C79" s="502" t="s">
        <v>1284</v>
      </c>
      <c r="D79" s="502"/>
      <c r="E79" s="503">
        <v>12</v>
      </c>
      <c r="F79" s="503" t="s">
        <v>1886</v>
      </c>
      <c r="G79" s="14"/>
      <c r="H79" s="14"/>
    </row>
    <row r="80" spans="1:8">
      <c r="A80" s="502"/>
      <c r="B80" s="502"/>
      <c r="C80" s="502"/>
      <c r="D80" s="502"/>
      <c r="E80" s="502"/>
      <c r="F80" s="502"/>
      <c r="G80" s="14"/>
      <c r="H80" s="14"/>
    </row>
    <row r="81" spans="1:8">
      <c r="A81" s="502"/>
      <c r="B81" s="502"/>
      <c r="C81" s="502"/>
      <c r="D81" s="502"/>
      <c r="E81" s="502"/>
      <c r="F81" s="502"/>
      <c r="G81" s="14"/>
      <c r="H81" s="14"/>
    </row>
    <row r="82" spans="1:8">
      <c r="A82" s="502"/>
      <c r="B82" s="502"/>
      <c r="C82" s="502"/>
      <c r="D82" s="502"/>
      <c r="E82" s="502"/>
      <c r="F82" s="502"/>
      <c r="G82" s="14"/>
      <c r="H82" s="14"/>
    </row>
    <row r="83" spans="1:8">
      <c r="A83" s="502" t="s">
        <v>1840</v>
      </c>
      <c r="B83" s="504" t="s">
        <v>1841</v>
      </c>
      <c r="C83" s="502" t="s">
        <v>60</v>
      </c>
      <c r="D83" s="502">
        <v>16</v>
      </c>
      <c r="E83" s="502" t="s">
        <v>61</v>
      </c>
      <c r="F83" s="502" t="s">
        <v>1887</v>
      </c>
      <c r="G83" s="14"/>
      <c r="H83" s="14"/>
    </row>
    <row r="84" spans="1:8">
      <c r="A84" s="503">
        <v>26075</v>
      </c>
      <c r="B84" s="502" t="s">
        <v>1888</v>
      </c>
      <c r="C84" s="502" t="s">
        <v>1066</v>
      </c>
      <c r="D84" s="502"/>
      <c r="E84" s="503">
        <v>14</v>
      </c>
      <c r="F84" s="503" t="s">
        <v>1889</v>
      </c>
      <c r="G84" s="14"/>
      <c r="H84" s="14"/>
    </row>
    <row r="85" spans="1:8">
      <c r="A85" s="502"/>
      <c r="B85" s="502"/>
      <c r="C85" s="502"/>
      <c r="D85" s="502"/>
      <c r="E85" s="502"/>
      <c r="F85" s="502"/>
      <c r="G85" s="14"/>
      <c r="H85" s="14"/>
    </row>
    <row r="86" spans="1:8">
      <c r="A86" s="502"/>
      <c r="B86" s="502"/>
      <c r="C86" s="502"/>
      <c r="D86" s="502"/>
      <c r="E86" s="502"/>
      <c r="F86" s="502"/>
      <c r="G86" s="14"/>
      <c r="H86" s="14"/>
    </row>
    <row r="87" spans="1:8">
      <c r="A87" s="502"/>
      <c r="B87" s="502"/>
      <c r="C87" s="502"/>
      <c r="D87" s="502"/>
      <c r="E87" s="502"/>
      <c r="F87" s="502"/>
      <c r="G87" s="14"/>
      <c r="H87" s="14"/>
    </row>
    <row r="88" spans="1:8">
      <c r="A88" s="502" t="s">
        <v>1840</v>
      </c>
      <c r="B88" s="504" t="s">
        <v>1841</v>
      </c>
      <c r="C88" s="502" t="s">
        <v>60</v>
      </c>
      <c r="D88" s="502">
        <v>17</v>
      </c>
      <c r="E88" s="502" t="s">
        <v>61</v>
      </c>
      <c r="F88" s="502" t="s">
        <v>1890</v>
      </c>
      <c r="G88" s="14"/>
      <c r="H88" s="14"/>
    </row>
    <row r="89" spans="1:8">
      <c r="A89" s="503">
        <v>99574</v>
      </c>
      <c r="B89" s="502" t="s">
        <v>1891</v>
      </c>
      <c r="C89" s="502" t="s">
        <v>472</v>
      </c>
      <c r="D89" s="502"/>
      <c r="E89" s="503">
        <v>24</v>
      </c>
      <c r="F89" s="503" t="s">
        <v>1892</v>
      </c>
      <c r="G89" s="14"/>
      <c r="H89" s="14"/>
    </row>
    <row r="90" spans="1:8">
      <c r="A90" s="502"/>
      <c r="B90" s="502"/>
      <c r="C90" s="502"/>
      <c r="D90" s="502"/>
      <c r="E90" s="502"/>
      <c r="F90" s="502"/>
      <c r="G90" s="14"/>
      <c r="H90" s="14"/>
    </row>
    <row r="91" spans="1:8">
      <c r="A91" s="502"/>
      <c r="B91" s="502"/>
      <c r="C91" s="502"/>
      <c r="D91" s="502"/>
      <c r="E91" s="502"/>
      <c r="F91" s="502"/>
      <c r="G91" s="14"/>
      <c r="H91" s="14"/>
    </row>
    <row r="92" spans="1:8">
      <c r="A92" s="502"/>
      <c r="B92" s="502"/>
      <c r="C92" s="502"/>
      <c r="D92" s="502"/>
      <c r="E92" s="502"/>
      <c r="F92" s="502"/>
      <c r="G92" s="14"/>
      <c r="H92" s="14"/>
    </row>
    <row r="93" spans="1:8">
      <c r="A93" s="502" t="s">
        <v>1840</v>
      </c>
      <c r="B93" s="504" t="s">
        <v>1841</v>
      </c>
      <c r="C93" s="502" t="s">
        <v>60</v>
      </c>
      <c r="D93" s="502">
        <v>18</v>
      </c>
      <c r="E93" s="502" t="s">
        <v>61</v>
      </c>
      <c r="F93" s="502" t="s">
        <v>1893</v>
      </c>
      <c r="G93" s="14"/>
      <c r="H93" s="14"/>
    </row>
    <row r="94" spans="1:8">
      <c r="A94" s="503">
        <v>13064</v>
      </c>
      <c r="B94" s="502" t="s">
        <v>1894</v>
      </c>
      <c r="C94" s="502" t="s">
        <v>153</v>
      </c>
      <c r="D94" s="502"/>
      <c r="E94" s="503">
        <v>19</v>
      </c>
      <c r="F94" s="503" t="s">
        <v>1895</v>
      </c>
      <c r="G94" s="14"/>
      <c r="H94" s="14"/>
    </row>
    <row r="95" spans="1:8">
      <c r="A95" s="502"/>
      <c r="B95" s="502"/>
      <c r="C95" s="502"/>
      <c r="D95" s="502"/>
      <c r="E95" s="502"/>
      <c r="F95" s="502"/>
      <c r="G95" s="14"/>
      <c r="H95" s="14"/>
    </row>
    <row r="96" spans="1:8">
      <c r="A96" s="502"/>
      <c r="B96" s="502"/>
      <c r="C96" s="502"/>
      <c r="D96" s="502"/>
      <c r="E96" s="502"/>
      <c r="F96" s="502"/>
      <c r="G96" s="14"/>
      <c r="H96" s="14"/>
    </row>
    <row r="97" spans="1:8">
      <c r="A97" s="502"/>
      <c r="B97" s="502"/>
      <c r="C97" s="502"/>
      <c r="D97" s="502"/>
      <c r="E97" s="502"/>
      <c r="F97" s="502"/>
      <c r="G97" s="14"/>
      <c r="H97" s="14"/>
    </row>
    <row r="98" spans="1:8" ht="25.5">
      <c r="A98" s="502" t="s">
        <v>1840</v>
      </c>
      <c r="B98" s="504" t="s">
        <v>1841</v>
      </c>
      <c r="C98" s="502" t="s">
        <v>60</v>
      </c>
      <c r="D98" s="502">
        <v>19</v>
      </c>
      <c r="E98" s="502" t="s">
        <v>61</v>
      </c>
      <c r="F98" s="502" t="s">
        <v>1896</v>
      </c>
      <c r="G98" s="14"/>
      <c r="H98" s="14"/>
    </row>
    <row r="99" spans="1:8">
      <c r="A99" s="503">
        <v>27015</v>
      </c>
      <c r="B99" s="502" t="s">
        <v>1897</v>
      </c>
      <c r="C99" s="502" t="s">
        <v>153</v>
      </c>
      <c r="D99" s="502"/>
      <c r="E99" s="503">
        <v>57</v>
      </c>
      <c r="F99" s="503" t="s">
        <v>1898</v>
      </c>
      <c r="G99" s="14"/>
      <c r="H99" s="14"/>
    </row>
    <row r="100" spans="1:8">
      <c r="A100" s="502"/>
      <c r="B100" s="502"/>
      <c r="C100" s="502"/>
      <c r="D100" s="502"/>
      <c r="E100" s="502"/>
      <c r="F100" s="502"/>
      <c r="G100" s="14"/>
      <c r="H100" s="14"/>
    </row>
    <row r="101" spans="1:8">
      <c r="A101" s="502"/>
      <c r="B101" s="502"/>
      <c r="C101" s="502"/>
      <c r="D101" s="502"/>
      <c r="E101" s="502"/>
      <c r="F101" s="502"/>
      <c r="G101" s="14"/>
      <c r="H101" s="14"/>
    </row>
    <row r="102" spans="1:8">
      <c r="A102" s="502"/>
      <c r="B102" s="502"/>
      <c r="C102" s="502"/>
      <c r="D102" s="502"/>
      <c r="E102" s="502"/>
      <c r="F102" s="502"/>
      <c r="G102" s="14"/>
      <c r="H102" s="14"/>
    </row>
    <row r="103" spans="1:8">
      <c r="A103" s="502" t="s">
        <v>1840</v>
      </c>
      <c r="B103" s="504" t="s">
        <v>1841</v>
      </c>
      <c r="C103" s="502" t="s">
        <v>60</v>
      </c>
      <c r="D103" s="502">
        <v>20</v>
      </c>
      <c r="E103" s="502" t="s">
        <v>61</v>
      </c>
      <c r="F103" s="502" t="s">
        <v>1899</v>
      </c>
      <c r="G103" s="14"/>
      <c r="H103" s="14"/>
    </row>
    <row r="104" spans="1:8">
      <c r="A104" s="503">
        <v>25055</v>
      </c>
      <c r="B104" s="502" t="s">
        <v>1900</v>
      </c>
      <c r="C104" s="502" t="s">
        <v>1901</v>
      </c>
      <c r="D104" s="502"/>
      <c r="E104" s="503">
        <v>55</v>
      </c>
      <c r="F104" s="503" t="s">
        <v>1902</v>
      </c>
      <c r="G104" s="14"/>
      <c r="H104" s="14"/>
    </row>
    <row r="105" spans="1:8">
      <c r="A105" s="502"/>
      <c r="B105" s="502"/>
      <c r="C105" s="502"/>
      <c r="D105" s="502"/>
      <c r="E105" s="502"/>
      <c r="F105" s="502"/>
      <c r="G105" s="14"/>
      <c r="H105" s="14"/>
    </row>
    <row r="106" spans="1:8">
      <c r="A106" s="502"/>
      <c r="B106" s="502"/>
      <c r="C106" s="502"/>
      <c r="D106" s="502"/>
      <c r="E106" s="502"/>
      <c r="F106" s="502"/>
      <c r="G106" s="14"/>
      <c r="H106" s="14"/>
    </row>
    <row r="107" spans="1:8">
      <c r="A107" s="502"/>
      <c r="B107" s="502"/>
      <c r="C107" s="502"/>
      <c r="D107" s="502"/>
      <c r="E107" s="502"/>
      <c r="F107" s="502"/>
      <c r="G107" s="14"/>
      <c r="H107" s="14"/>
    </row>
    <row r="108" spans="1:8">
      <c r="A108" s="502" t="s">
        <v>1840</v>
      </c>
      <c r="B108" s="504" t="s">
        <v>1841</v>
      </c>
      <c r="C108" s="502" t="s">
        <v>60</v>
      </c>
      <c r="D108" s="502">
        <v>21</v>
      </c>
      <c r="E108" s="502" t="s">
        <v>61</v>
      </c>
      <c r="F108" s="502" t="s">
        <v>1903</v>
      </c>
      <c r="G108" s="14"/>
      <c r="H108" s="14"/>
    </row>
    <row r="109" spans="1:8">
      <c r="A109" s="503">
        <v>11002</v>
      </c>
      <c r="B109" s="502" t="s">
        <v>1904</v>
      </c>
      <c r="C109" s="502" t="s">
        <v>1284</v>
      </c>
      <c r="D109" s="502"/>
      <c r="E109" s="503">
        <v>27</v>
      </c>
      <c r="F109" s="503" t="s">
        <v>1905</v>
      </c>
      <c r="G109" s="14"/>
      <c r="H109" s="14"/>
    </row>
    <row r="110" spans="1:8">
      <c r="A110" s="502"/>
      <c r="B110" s="502"/>
      <c r="C110" s="502"/>
      <c r="D110" s="502"/>
      <c r="E110" s="502"/>
      <c r="F110" s="502"/>
      <c r="G110" s="14"/>
      <c r="H110" s="14"/>
    </row>
    <row r="111" spans="1:8">
      <c r="A111" s="502"/>
      <c r="B111" s="502"/>
      <c r="C111" s="502"/>
      <c r="D111" s="502"/>
      <c r="E111" s="502"/>
      <c r="F111" s="502"/>
      <c r="G111" s="14"/>
      <c r="H111" s="14"/>
    </row>
    <row r="112" spans="1:8">
      <c r="A112" s="502"/>
      <c r="B112" s="502"/>
      <c r="C112" s="502"/>
      <c r="D112" s="502"/>
      <c r="E112" s="502"/>
      <c r="F112" s="502"/>
      <c r="G112" s="14"/>
      <c r="H112" s="14"/>
    </row>
    <row r="113" spans="1:8" ht="25.5">
      <c r="A113" s="502" t="s">
        <v>1840</v>
      </c>
      <c r="B113" s="504" t="s">
        <v>1841</v>
      </c>
      <c r="C113" s="502" t="s">
        <v>60</v>
      </c>
      <c r="D113" s="502">
        <v>22</v>
      </c>
      <c r="E113" s="502" t="s">
        <v>61</v>
      </c>
      <c r="F113" s="502" t="s">
        <v>1906</v>
      </c>
      <c r="G113" s="14"/>
      <c r="H113" s="14"/>
    </row>
    <row r="114" spans="1:8">
      <c r="A114" s="503">
        <v>24218</v>
      </c>
      <c r="B114" s="502" t="s">
        <v>1907</v>
      </c>
      <c r="C114" s="502" t="s">
        <v>242</v>
      </c>
      <c r="D114" s="502"/>
      <c r="E114" s="503">
        <v>16</v>
      </c>
      <c r="F114" s="503" t="s">
        <v>1908</v>
      </c>
      <c r="G114" s="14"/>
      <c r="H114" s="14"/>
    </row>
    <row r="115" spans="1:8">
      <c r="A115" s="502"/>
      <c r="B115" s="502"/>
      <c r="C115" s="502"/>
      <c r="D115" s="502"/>
      <c r="E115" s="502"/>
      <c r="F115" s="502"/>
      <c r="G115" s="14"/>
      <c r="H115" s="14"/>
    </row>
    <row r="116" spans="1:8">
      <c r="A116" s="502"/>
      <c r="B116" s="502"/>
      <c r="C116" s="502"/>
      <c r="D116" s="502"/>
      <c r="E116" s="502"/>
      <c r="F116" s="502"/>
      <c r="G116" s="14"/>
      <c r="H116" s="14"/>
    </row>
    <row r="117" spans="1:8">
      <c r="A117" s="502"/>
      <c r="B117" s="502"/>
      <c r="C117" s="502"/>
      <c r="D117" s="502"/>
      <c r="E117" s="502"/>
      <c r="F117" s="502"/>
      <c r="G117" s="14"/>
      <c r="H117" s="14"/>
    </row>
    <row r="118" spans="1:8">
      <c r="A118" s="502" t="s">
        <v>1840</v>
      </c>
      <c r="B118" s="504" t="s">
        <v>1841</v>
      </c>
      <c r="C118" s="502" t="s">
        <v>60</v>
      </c>
      <c r="D118" s="502">
        <v>23</v>
      </c>
      <c r="E118" s="502" t="s">
        <v>61</v>
      </c>
      <c r="F118" s="502" t="s">
        <v>1909</v>
      </c>
      <c r="G118" s="14"/>
      <c r="H118" s="14"/>
    </row>
    <row r="119" spans="1:8">
      <c r="A119" s="503">
        <v>24235</v>
      </c>
      <c r="B119" s="502" t="s">
        <v>1910</v>
      </c>
      <c r="C119" s="502" t="s">
        <v>1081</v>
      </c>
      <c r="D119" s="502"/>
      <c r="E119" s="503">
        <v>38</v>
      </c>
      <c r="F119" s="503" t="s">
        <v>1911</v>
      </c>
      <c r="G119" s="14"/>
      <c r="H119" s="14"/>
    </row>
    <row r="120" spans="1:8">
      <c r="A120" s="502"/>
      <c r="B120" s="502"/>
      <c r="C120" s="502"/>
      <c r="D120" s="502"/>
      <c r="E120" s="502"/>
      <c r="F120" s="502"/>
      <c r="G120" s="14"/>
      <c r="H120" s="14"/>
    </row>
    <row r="121" spans="1:8">
      <c r="A121" s="502"/>
      <c r="B121" s="502"/>
      <c r="C121" s="502"/>
      <c r="D121" s="502"/>
      <c r="E121" s="502"/>
      <c r="F121" s="502"/>
      <c r="G121" s="14"/>
      <c r="H121" s="14"/>
    </row>
    <row r="122" spans="1:8">
      <c r="A122" s="502"/>
      <c r="B122" s="502"/>
      <c r="C122" s="502"/>
      <c r="D122" s="502"/>
      <c r="E122" s="502"/>
      <c r="F122" s="502"/>
      <c r="G122" s="14"/>
      <c r="H122" s="14"/>
    </row>
    <row r="123" spans="1:8" ht="25.5">
      <c r="A123" s="502" t="s">
        <v>1840</v>
      </c>
      <c r="B123" s="504" t="s">
        <v>1841</v>
      </c>
      <c r="C123" s="502" t="s">
        <v>60</v>
      </c>
      <c r="D123" s="502">
        <v>24</v>
      </c>
      <c r="E123" s="502" t="s">
        <v>61</v>
      </c>
      <c r="F123" s="502" t="s">
        <v>1912</v>
      </c>
      <c r="G123" s="14"/>
      <c r="H123" s="14"/>
    </row>
    <row r="124" spans="1:8">
      <c r="A124" s="503">
        <v>15001</v>
      </c>
      <c r="B124" s="502" t="s">
        <v>1913</v>
      </c>
      <c r="C124" s="502" t="s">
        <v>161</v>
      </c>
      <c r="D124" s="502"/>
      <c r="E124" s="503">
        <v>48</v>
      </c>
      <c r="F124" s="503" t="s">
        <v>1914</v>
      </c>
      <c r="G124" s="14"/>
      <c r="H124" s="14"/>
    </row>
    <row r="125" spans="1:8">
      <c r="A125" s="502"/>
      <c r="B125" s="502"/>
      <c r="C125" s="502"/>
      <c r="D125" s="502"/>
      <c r="E125" s="502"/>
      <c r="F125" s="502"/>
      <c r="G125" s="14"/>
      <c r="H125" s="14"/>
    </row>
    <row r="126" spans="1:8">
      <c r="A126" s="502"/>
      <c r="B126" s="502"/>
      <c r="C126" s="502"/>
      <c r="D126" s="502"/>
      <c r="E126" s="502"/>
      <c r="F126" s="502"/>
      <c r="G126" s="14"/>
      <c r="H126" s="14"/>
    </row>
    <row r="127" spans="1:8">
      <c r="A127" s="502"/>
      <c r="B127" s="502"/>
      <c r="C127" s="502"/>
      <c r="D127" s="502"/>
      <c r="E127" s="502"/>
      <c r="F127" s="502"/>
      <c r="G127" s="14"/>
      <c r="H127" s="14"/>
    </row>
    <row r="128" spans="1:8" ht="25.5">
      <c r="A128" s="502" t="s">
        <v>1840</v>
      </c>
      <c r="B128" s="504" t="s">
        <v>1841</v>
      </c>
      <c r="C128" s="502" t="s">
        <v>60</v>
      </c>
      <c r="D128" s="502">
        <v>25</v>
      </c>
      <c r="E128" s="502" t="s">
        <v>61</v>
      </c>
      <c r="F128" s="502" t="s">
        <v>1915</v>
      </c>
      <c r="G128" s="14"/>
      <c r="H128" s="14"/>
    </row>
    <row r="129" spans="1:8">
      <c r="A129" s="503">
        <v>13027</v>
      </c>
      <c r="B129" s="502" t="s">
        <v>1916</v>
      </c>
      <c r="C129" s="502" t="s">
        <v>1062</v>
      </c>
      <c r="D129" s="502"/>
      <c r="E129" s="503">
        <v>50</v>
      </c>
      <c r="F129" s="503" t="s">
        <v>1917</v>
      </c>
      <c r="G129" s="14"/>
      <c r="H129" s="14"/>
    </row>
    <row r="130" spans="1:8">
      <c r="A130" s="502"/>
      <c r="B130" s="502"/>
      <c r="C130" s="502"/>
      <c r="D130" s="502"/>
      <c r="E130" s="502"/>
      <c r="F130" s="502"/>
      <c r="G130" s="14"/>
      <c r="H130" s="14"/>
    </row>
    <row r="131" spans="1:8">
      <c r="A131" s="502"/>
      <c r="B131" s="502"/>
      <c r="C131" s="502"/>
      <c r="D131" s="502"/>
      <c r="E131" s="502"/>
      <c r="F131" s="502"/>
      <c r="G131" s="14"/>
      <c r="H131" s="14"/>
    </row>
    <row r="132" spans="1:8">
      <c r="A132" s="502"/>
      <c r="B132" s="502"/>
      <c r="C132" s="502"/>
      <c r="D132" s="502"/>
      <c r="E132" s="502"/>
      <c r="F132" s="502"/>
      <c r="G132" s="14"/>
      <c r="H132" s="14"/>
    </row>
    <row r="133" spans="1:8" ht="25.5">
      <c r="A133" s="502" t="s">
        <v>1840</v>
      </c>
      <c r="B133" s="504" t="s">
        <v>1841</v>
      </c>
      <c r="C133" s="502" t="s">
        <v>60</v>
      </c>
      <c r="D133" s="502">
        <v>26</v>
      </c>
      <c r="E133" s="502" t="s">
        <v>61</v>
      </c>
      <c r="F133" s="502" t="s">
        <v>1918</v>
      </c>
      <c r="G133" s="14"/>
      <c r="H133" s="14"/>
    </row>
    <row r="134" spans="1:8">
      <c r="A134" s="503">
        <v>16077</v>
      </c>
      <c r="B134" s="502" t="s">
        <v>1919</v>
      </c>
      <c r="C134" s="502" t="s">
        <v>1920</v>
      </c>
      <c r="D134" s="502"/>
      <c r="E134" s="503">
        <v>58</v>
      </c>
      <c r="F134" s="503" t="s">
        <v>1921</v>
      </c>
      <c r="G134" s="14"/>
      <c r="H134" s="14"/>
    </row>
    <row r="135" spans="1:8">
      <c r="A135" s="502"/>
      <c r="B135" s="502"/>
      <c r="C135" s="502"/>
      <c r="D135" s="502"/>
      <c r="E135" s="502"/>
      <c r="F135" s="502"/>
      <c r="G135" s="14"/>
      <c r="H135" s="14"/>
    </row>
    <row r="136" spans="1:8">
      <c r="A136" s="502"/>
      <c r="B136" s="502"/>
      <c r="C136" s="502"/>
      <c r="D136" s="502"/>
      <c r="E136" s="502"/>
      <c r="F136" s="502"/>
      <c r="G136" s="14"/>
      <c r="H136" s="14"/>
    </row>
    <row r="137" spans="1:8">
      <c r="A137" s="502"/>
      <c r="B137" s="502"/>
      <c r="C137" s="502"/>
      <c r="D137" s="502"/>
      <c r="E137" s="502"/>
      <c r="F137" s="502"/>
      <c r="G137" s="14"/>
      <c r="H137" s="14"/>
    </row>
    <row r="138" spans="1:8">
      <c r="A138" s="502" t="s">
        <v>1840</v>
      </c>
      <c r="B138" s="504" t="s">
        <v>1841</v>
      </c>
      <c r="C138" s="502" t="s">
        <v>60</v>
      </c>
      <c r="D138" s="502">
        <v>27</v>
      </c>
      <c r="E138" s="502" t="s">
        <v>61</v>
      </c>
      <c r="F138" s="502" t="s">
        <v>1922</v>
      </c>
      <c r="G138" s="14"/>
      <c r="H138" s="14"/>
    </row>
    <row r="139" spans="1:8">
      <c r="A139" s="503">
        <v>19001</v>
      </c>
      <c r="B139" s="502" t="s">
        <v>1923</v>
      </c>
      <c r="C139" s="502" t="s">
        <v>1223</v>
      </c>
      <c r="D139" s="502"/>
      <c r="E139" s="503">
        <v>35</v>
      </c>
      <c r="F139" s="503" t="s">
        <v>1924</v>
      </c>
      <c r="G139" s="14"/>
      <c r="H139" s="14"/>
    </row>
    <row r="140" spans="1:8">
      <c r="A140" s="502"/>
      <c r="B140" s="502"/>
      <c r="C140" s="502"/>
      <c r="D140" s="502"/>
      <c r="E140" s="502"/>
      <c r="F140" s="502"/>
      <c r="G140" s="14"/>
      <c r="H140" s="14"/>
    </row>
    <row r="141" spans="1:8">
      <c r="A141" s="502"/>
      <c r="B141" s="502"/>
      <c r="C141" s="502"/>
      <c r="D141" s="502"/>
      <c r="E141" s="502"/>
      <c r="F141" s="502"/>
      <c r="G141" s="14"/>
      <c r="H141" s="14"/>
    </row>
    <row r="142" spans="1:8">
      <c r="A142" s="502"/>
      <c r="B142" s="502"/>
      <c r="C142" s="502"/>
      <c r="D142" s="502"/>
      <c r="E142" s="502"/>
      <c r="F142" s="502"/>
      <c r="G142" s="14"/>
      <c r="H142" s="14"/>
    </row>
    <row r="143" spans="1:8" ht="25.5">
      <c r="A143" s="502" t="s">
        <v>1840</v>
      </c>
      <c r="B143" s="504" t="s">
        <v>1841</v>
      </c>
      <c r="C143" s="502" t="s">
        <v>60</v>
      </c>
      <c r="D143" s="502">
        <v>28</v>
      </c>
      <c r="E143" s="502" t="s">
        <v>61</v>
      </c>
      <c r="F143" s="502" t="s">
        <v>1925</v>
      </c>
      <c r="G143" s="14"/>
      <c r="H143" s="14"/>
    </row>
    <row r="144" spans="1:8">
      <c r="A144" s="503">
        <v>16082</v>
      </c>
      <c r="B144" s="502" t="s">
        <v>1926</v>
      </c>
      <c r="C144" s="502" t="s">
        <v>1920</v>
      </c>
      <c r="D144" s="502"/>
      <c r="E144" s="503">
        <v>45</v>
      </c>
      <c r="F144" s="503" t="s">
        <v>1927</v>
      </c>
      <c r="G144" s="14"/>
      <c r="H144" s="14"/>
    </row>
    <row r="145" spans="1:8">
      <c r="A145" s="502"/>
      <c r="B145" s="502"/>
      <c r="C145" s="502"/>
      <c r="D145" s="502"/>
      <c r="E145" s="502"/>
      <c r="F145" s="502"/>
      <c r="G145" s="14"/>
      <c r="H145" s="14"/>
    </row>
    <row r="146" spans="1:8">
      <c r="A146" s="502"/>
      <c r="B146" s="502"/>
      <c r="C146" s="502"/>
      <c r="D146" s="502"/>
      <c r="E146" s="502"/>
      <c r="F146" s="502"/>
      <c r="G146" s="14"/>
      <c r="H146" s="14"/>
    </row>
    <row r="147" spans="1:8">
      <c r="A147" s="502"/>
      <c r="B147" s="502"/>
      <c r="C147" s="502"/>
      <c r="D147" s="502"/>
      <c r="E147" s="502"/>
      <c r="F147" s="502"/>
      <c r="G147" s="14"/>
      <c r="H147" s="14"/>
    </row>
    <row r="148" spans="1:8" ht="25.5">
      <c r="A148" s="502" t="s">
        <v>1840</v>
      </c>
      <c r="B148" s="504" t="s">
        <v>1841</v>
      </c>
      <c r="C148" s="502" t="s">
        <v>60</v>
      </c>
      <c r="D148" s="502">
        <v>29</v>
      </c>
      <c r="E148" s="502" t="s">
        <v>61</v>
      </c>
      <c r="F148" s="502" t="s">
        <v>1928</v>
      </c>
      <c r="G148" s="14"/>
      <c r="H148" s="14"/>
    </row>
    <row r="149" spans="1:8">
      <c r="A149" s="503">
        <v>14074</v>
      </c>
      <c r="B149" s="502" t="s">
        <v>1929</v>
      </c>
      <c r="C149" s="502" t="s">
        <v>202</v>
      </c>
      <c r="D149" s="502"/>
      <c r="E149" s="503">
        <v>18</v>
      </c>
      <c r="F149" s="503" t="s">
        <v>1930</v>
      </c>
      <c r="G149" s="14"/>
      <c r="H149" s="14"/>
    </row>
    <row r="150" spans="1:8">
      <c r="A150" s="502"/>
      <c r="B150" s="502"/>
      <c r="C150" s="502"/>
      <c r="D150" s="502"/>
      <c r="E150" s="502"/>
      <c r="F150" s="502"/>
      <c r="G150" s="14"/>
      <c r="H150" s="14"/>
    </row>
    <row r="151" spans="1:8">
      <c r="A151" s="502"/>
      <c r="B151" s="502"/>
      <c r="C151" s="502"/>
      <c r="D151" s="502"/>
      <c r="E151" s="502"/>
      <c r="F151" s="502"/>
      <c r="G151" s="14"/>
      <c r="H151" s="14"/>
    </row>
    <row r="152" spans="1:8">
      <c r="A152" s="502"/>
      <c r="B152" s="502"/>
      <c r="C152" s="502"/>
      <c r="D152" s="502"/>
      <c r="E152" s="502"/>
      <c r="F152" s="502"/>
      <c r="G152" s="14"/>
      <c r="H152" s="14"/>
    </row>
    <row r="153" spans="1:8" ht="25.5">
      <c r="A153" s="502" t="s">
        <v>1840</v>
      </c>
      <c r="B153" s="504" t="s">
        <v>1841</v>
      </c>
      <c r="C153" s="502" t="s">
        <v>60</v>
      </c>
      <c r="D153" s="502">
        <v>31</v>
      </c>
      <c r="E153" s="502" t="s">
        <v>61</v>
      </c>
      <c r="F153" s="502" t="s">
        <v>1931</v>
      </c>
      <c r="G153" s="14"/>
      <c r="H153" s="14"/>
    </row>
    <row r="154" spans="1:8">
      <c r="A154" s="503">
        <v>22007</v>
      </c>
      <c r="B154" s="502" t="s">
        <v>1932</v>
      </c>
      <c r="C154" s="502" t="s">
        <v>1066</v>
      </c>
      <c r="D154" s="502"/>
      <c r="E154" s="503">
        <v>22</v>
      </c>
      <c r="F154" s="503" t="s">
        <v>1933</v>
      </c>
      <c r="G154" s="14"/>
      <c r="H154" s="14"/>
    </row>
    <row r="155" spans="1:8">
      <c r="A155" s="502"/>
      <c r="B155" s="502"/>
      <c r="C155" s="502"/>
      <c r="D155" s="502"/>
      <c r="E155" s="502"/>
      <c r="F155" s="502"/>
      <c r="G155" s="14"/>
      <c r="H155" s="14"/>
    </row>
    <row r="156" spans="1:8">
      <c r="A156" s="502"/>
      <c r="B156" s="502"/>
      <c r="C156" s="502"/>
      <c r="D156" s="502"/>
      <c r="E156" s="502"/>
      <c r="F156" s="502"/>
      <c r="G156" s="14"/>
      <c r="H156" s="14"/>
    </row>
    <row r="157" spans="1:8">
      <c r="A157" s="502"/>
      <c r="B157" s="502"/>
      <c r="C157" s="502"/>
      <c r="D157" s="502"/>
      <c r="E157" s="502"/>
      <c r="F157" s="502"/>
      <c r="G157" s="14"/>
      <c r="H157" s="14"/>
    </row>
    <row r="158" spans="1:8" ht="25.5">
      <c r="A158" s="502" t="s">
        <v>1840</v>
      </c>
      <c r="B158" s="504" t="s">
        <v>1841</v>
      </c>
      <c r="C158" s="502" t="s">
        <v>60</v>
      </c>
      <c r="D158" s="502">
        <v>30</v>
      </c>
      <c r="E158" s="502" t="s">
        <v>61</v>
      </c>
      <c r="F158" s="502" t="s">
        <v>1931</v>
      </c>
      <c r="G158" s="14"/>
      <c r="H158" s="14"/>
    </row>
    <row r="159" spans="1:8">
      <c r="A159" s="503">
        <v>11001</v>
      </c>
      <c r="B159" s="502" t="s">
        <v>1934</v>
      </c>
      <c r="C159" s="502" t="s">
        <v>1284</v>
      </c>
      <c r="D159" s="502"/>
      <c r="E159" s="503">
        <v>32</v>
      </c>
      <c r="F159" s="503" t="s">
        <v>1933</v>
      </c>
      <c r="G159" s="14"/>
      <c r="H159" s="14"/>
    </row>
    <row r="160" spans="1:8">
      <c r="A160" s="502"/>
      <c r="B160" s="502"/>
      <c r="C160" s="502"/>
      <c r="D160" s="502"/>
      <c r="E160" s="502"/>
      <c r="F160" s="502"/>
      <c r="G160" s="14"/>
      <c r="H160" s="14"/>
    </row>
    <row r="161" spans="1:8">
      <c r="A161" s="502"/>
      <c r="B161" s="502"/>
      <c r="C161" s="502"/>
      <c r="D161" s="502"/>
      <c r="E161" s="502"/>
      <c r="F161" s="502"/>
      <c r="G161" s="14"/>
      <c r="H161" s="14"/>
    </row>
    <row r="162" spans="1:8">
      <c r="A162" s="502"/>
      <c r="B162" s="502"/>
      <c r="C162" s="502"/>
      <c r="D162" s="502"/>
      <c r="E162" s="502"/>
      <c r="F162" s="502"/>
      <c r="G162" s="14"/>
      <c r="H162" s="14"/>
    </row>
    <row r="163" spans="1:8" ht="25.5">
      <c r="A163" s="502" t="s">
        <v>1840</v>
      </c>
      <c r="B163" s="504" t="s">
        <v>1841</v>
      </c>
      <c r="C163" s="502" t="s">
        <v>60</v>
      </c>
      <c r="D163" s="502">
        <v>32</v>
      </c>
      <c r="E163" s="502" t="s">
        <v>61</v>
      </c>
      <c r="F163" s="502" t="s">
        <v>1935</v>
      </c>
      <c r="G163" s="14"/>
      <c r="H163" s="14"/>
    </row>
    <row r="164" spans="1:8">
      <c r="A164" s="503">
        <v>13029</v>
      </c>
      <c r="B164" s="502" t="s">
        <v>1936</v>
      </c>
      <c r="C164" s="502" t="s">
        <v>1062</v>
      </c>
      <c r="D164" s="502"/>
      <c r="E164" s="503">
        <v>33</v>
      </c>
      <c r="F164" s="503" t="s">
        <v>1937</v>
      </c>
      <c r="G164" s="14"/>
      <c r="H164" s="14"/>
    </row>
    <row r="165" spans="1:8">
      <c r="A165" s="502"/>
      <c r="B165" s="502"/>
      <c r="C165" s="502"/>
      <c r="D165" s="502"/>
      <c r="E165" s="502"/>
      <c r="F165" s="502"/>
      <c r="G165" s="14"/>
      <c r="H165" s="14"/>
    </row>
    <row r="166" spans="1:8">
      <c r="A166" s="502"/>
      <c r="B166" s="502"/>
      <c r="C166" s="502"/>
      <c r="D166" s="502"/>
      <c r="E166" s="502"/>
      <c r="F166" s="502"/>
      <c r="G166" s="14"/>
      <c r="H166" s="14"/>
    </row>
    <row r="167" spans="1:8">
      <c r="A167" s="502"/>
      <c r="B167" s="502"/>
      <c r="C167" s="502"/>
      <c r="D167" s="502"/>
      <c r="E167" s="502"/>
      <c r="F167" s="502"/>
      <c r="G167" s="14"/>
      <c r="H167" s="14"/>
    </row>
    <row r="168" spans="1:8">
      <c r="A168" s="502" t="s">
        <v>1840</v>
      </c>
      <c r="B168" s="504" t="s">
        <v>1841</v>
      </c>
      <c r="C168" s="502" t="s">
        <v>60</v>
      </c>
      <c r="D168" s="502">
        <v>33</v>
      </c>
      <c r="E168" s="502" t="s">
        <v>61</v>
      </c>
      <c r="F168" s="502" t="s">
        <v>1938</v>
      </c>
      <c r="G168" s="14"/>
      <c r="H168" s="14"/>
    </row>
    <row r="169" spans="1:8">
      <c r="A169" s="503">
        <v>26011</v>
      </c>
      <c r="B169" s="502" t="s">
        <v>1939</v>
      </c>
      <c r="C169" s="502" t="s">
        <v>153</v>
      </c>
      <c r="D169" s="502"/>
      <c r="E169" s="503">
        <v>89</v>
      </c>
      <c r="F169" s="503" t="s">
        <v>1940</v>
      </c>
      <c r="G169" s="14"/>
      <c r="H169" s="14"/>
    </row>
    <row r="170" spans="1:8">
      <c r="A170" s="502"/>
      <c r="B170" s="502"/>
      <c r="C170" s="502"/>
      <c r="D170" s="502"/>
      <c r="E170" s="502"/>
      <c r="F170" s="502"/>
      <c r="G170" s="14"/>
      <c r="H170" s="14"/>
    </row>
    <row r="171" spans="1:8">
      <c r="A171" s="502"/>
      <c r="B171" s="502"/>
      <c r="C171" s="502"/>
      <c r="D171" s="502"/>
      <c r="E171" s="502"/>
      <c r="F171" s="502"/>
      <c r="G171" s="14"/>
      <c r="H171" s="14"/>
    </row>
    <row r="172" spans="1:8">
      <c r="A172" s="502"/>
      <c r="B172" s="502"/>
      <c r="C172" s="502"/>
      <c r="D172" s="502"/>
      <c r="E172" s="502"/>
      <c r="F172" s="502"/>
      <c r="G172" s="14"/>
      <c r="H172" s="14"/>
    </row>
    <row r="173" spans="1:8" ht="25.5">
      <c r="A173" s="502" t="s">
        <v>1840</v>
      </c>
      <c r="B173" s="504" t="s">
        <v>1841</v>
      </c>
      <c r="C173" s="502" t="s">
        <v>60</v>
      </c>
      <c r="D173" s="502">
        <v>34</v>
      </c>
      <c r="E173" s="502" t="s">
        <v>61</v>
      </c>
      <c r="F173" s="502" t="s">
        <v>1941</v>
      </c>
      <c r="G173" s="14"/>
      <c r="H173" s="14"/>
    </row>
    <row r="174" spans="1:8">
      <c r="A174" s="503">
        <v>12017</v>
      </c>
      <c r="B174" s="502" t="s">
        <v>1942</v>
      </c>
      <c r="C174" s="502" t="s">
        <v>242</v>
      </c>
      <c r="D174" s="502"/>
      <c r="E174" s="503">
        <v>49</v>
      </c>
      <c r="F174" s="503" t="s">
        <v>1943</v>
      </c>
      <c r="G174" s="14"/>
      <c r="H174" s="14"/>
    </row>
    <row r="175" spans="1:8">
      <c r="A175" s="502"/>
      <c r="B175" s="502"/>
      <c r="C175" s="502"/>
      <c r="D175" s="502"/>
      <c r="E175" s="502"/>
      <c r="F175" s="502"/>
      <c r="G175" s="14"/>
      <c r="H175" s="14"/>
    </row>
    <row r="176" spans="1:8">
      <c r="A176" s="502"/>
      <c r="B176" s="502"/>
      <c r="C176" s="502"/>
      <c r="D176" s="502"/>
      <c r="E176" s="502"/>
      <c r="F176" s="502"/>
      <c r="G176" s="14"/>
      <c r="H176" s="14"/>
    </row>
    <row r="177" spans="1:8">
      <c r="A177" s="502"/>
      <c r="B177" s="502"/>
      <c r="C177" s="502"/>
      <c r="D177" s="502"/>
      <c r="E177" s="502"/>
      <c r="F177" s="502"/>
      <c r="G177" s="14"/>
      <c r="H177" s="14"/>
    </row>
    <row r="178" spans="1:8" ht="25.5">
      <c r="A178" s="502" t="s">
        <v>1840</v>
      </c>
      <c r="B178" s="504" t="s">
        <v>1841</v>
      </c>
      <c r="C178" s="502" t="s">
        <v>60</v>
      </c>
      <c r="D178" s="502">
        <v>35</v>
      </c>
      <c r="E178" s="502" t="s">
        <v>61</v>
      </c>
      <c r="F178" s="502" t="s">
        <v>1944</v>
      </c>
      <c r="G178" s="14"/>
      <c r="H178" s="14"/>
    </row>
    <row r="179" spans="1:8">
      <c r="A179" s="503">
        <v>99510</v>
      </c>
      <c r="B179" s="502" t="s">
        <v>1945</v>
      </c>
      <c r="C179" s="502" t="s">
        <v>472</v>
      </c>
      <c r="D179" s="502"/>
      <c r="E179" s="503">
        <v>74</v>
      </c>
      <c r="F179" s="503" t="s">
        <v>1946</v>
      </c>
      <c r="G179" s="14"/>
      <c r="H179" s="14"/>
    </row>
    <row r="180" spans="1:8">
      <c r="A180" s="502"/>
      <c r="B180" s="502"/>
      <c r="C180" s="502"/>
      <c r="D180" s="502"/>
      <c r="E180" s="502"/>
      <c r="F180" s="502"/>
      <c r="G180" s="14"/>
      <c r="H180" s="14"/>
    </row>
    <row r="181" spans="1:8">
      <c r="A181" s="502"/>
      <c r="B181" s="502"/>
      <c r="C181" s="502"/>
      <c r="D181" s="502"/>
      <c r="E181" s="502"/>
      <c r="F181" s="502"/>
      <c r="G181" s="14"/>
      <c r="H181" s="14"/>
    </row>
    <row r="182" spans="1:8">
      <c r="A182" s="502"/>
      <c r="B182" s="502"/>
      <c r="C182" s="502"/>
      <c r="D182" s="502"/>
      <c r="E182" s="502"/>
      <c r="F182" s="502"/>
      <c r="G182" s="14"/>
      <c r="H182" s="14"/>
    </row>
    <row r="183" spans="1:8" ht="25.5">
      <c r="A183" s="502" t="s">
        <v>1840</v>
      </c>
      <c r="B183" s="504" t="s">
        <v>1841</v>
      </c>
      <c r="C183" s="502" t="s">
        <v>60</v>
      </c>
      <c r="D183" s="502">
        <v>36</v>
      </c>
      <c r="E183" s="502" t="s">
        <v>61</v>
      </c>
      <c r="F183" s="502" t="s">
        <v>1947</v>
      </c>
      <c r="G183" s="14"/>
      <c r="H183" s="14"/>
    </row>
    <row r="184" spans="1:8">
      <c r="A184" s="503">
        <v>99555</v>
      </c>
      <c r="B184" s="502" t="s">
        <v>1948</v>
      </c>
      <c r="C184" s="502" t="s">
        <v>1377</v>
      </c>
      <c r="D184" s="502"/>
      <c r="E184" s="503">
        <v>43</v>
      </c>
      <c r="F184" s="503" t="s">
        <v>1949</v>
      </c>
      <c r="G184" s="14"/>
      <c r="H184" s="14"/>
    </row>
    <row r="185" spans="1:8">
      <c r="A185" s="502"/>
      <c r="B185" s="502"/>
      <c r="C185" s="502"/>
      <c r="D185" s="502"/>
      <c r="E185" s="502"/>
      <c r="F185" s="502"/>
      <c r="G185" s="14"/>
      <c r="H185" s="14"/>
    </row>
    <row r="186" spans="1:8">
      <c r="A186" s="502"/>
      <c r="B186" s="502"/>
      <c r="C186" s="502"/>
      <c r="D186" s="502"/>
      <c r="E186" s="502"/>
      <c r="F186" s="502"/>
      <c r="G186" s="14"/>
      <c r="H186" s="14"/>
    </row>
    <row r="187" spans="1:8">
      <c r="A187" s="502"/>
      <c r="B187" s="502"/>
      <c r="C187" s="502"/>
      <c r="D187" s="502"/>
      <c r="E187" s="502"/>
      <c r="F187" s="502"/>
      <c r="G187" s="14"/>
      <c r="H187" s="14"/>
    </row>
    <row r="188" spans="1:8" ht="25.5">
      <c r="A188" s="502" t="s">
        <v>1840</v>
      </c>
      <c r="B188" s="504" t="s">
        <v>1841</v>
      </c>
      <c r="C188" s="502" t="s">
        <v>60</v>
      </c>
      <c r="D188" s="502">
        <v>37</v>
      </c>
      <c r="E188" s="502" t="s">
        <v>61</v>
      </c>
      <c r="F188" s="502" t="s">
        <v>1950</v>
      </c>
      <c r="G188" s="14"/>
      <c r="H188" s="14"/>
    </row>
    <row r="189" spans="1:8">
      <c r="A189" s="503">
        <v>26010</v>
      </c>
      <c r="B189" s="502" t="s">
        <v>1951</v>
      </c>
      <c r="C189" s="502" t="s">
        <v>153</v>
      </c>
      <c r="D189" s="502"/>
      <c r="E189" s="503">
        <v>47</v>
      </c>
      <c r="F189" s="503" t="s">
        <v>1952</v>
      </c>
      <c r="G189" s="14"/>
      <c r="H189" s="14"/>
    </row>
    <row r="190" spans="1:8">
      <c r="A190" s="502"/>
      <c r="B190" s="502"/>
      <c r="C190" s="502"/>
      <c r="D190" s="502"/>
      <c r="E190" s="502"/>
      <c r="F190" s="502"/>
      <c r="G190" s="14"/>
      <c r="H190" s="14"/>
    </row>
    <row r="191" spans="1:8">
      <c r="A191" s="502"/>
      <c r="B191" s="502"/>
      <c r="C191" s="502"/>
      <c r="D191" s="502"/>
      <c r="E191" s="502"/>
      <c r="F191" s="502"/>
      <c r="G191" s="14"/>
      <c r="H191" s="14"/>
    </row>
    <row r="192" spans="1:8">
      <c r="A192" s="502"/>
      <c r="B192" s="502"/>
      <c r="C192" s="502"/>
      <c r="D192" s="502"/>
      <c r="E192" s="502"/>
      <c r="F192" s="502"/>
      <c r="G192" s="14"/>
      <c r="H192" s="14"/>
    </row>
    <row r="193" spans="1:8" ht="25.5">
      <c r="A193" s="502" t="s">
        <v>1840</v>
      </c>
      <c r="B193" s="504" t="s">
        <v>1841</v>
      </c>
      <c r="C193" s="502" t="s">
        <v>60</v>
      </c>
      <c r="D193" s="502">
        <v>38</v>
      </c>
      <c r="E193" s="502" t="s">
        <v>61</v>
      </c>
      <c r="F193" s="502" t="s">
        <v>1953</v>
      </c>
      <c r="G193" s="14"/>
      <c r="H193" s="14"/>
    </row>
    <row r="194" spans="1:8">
      <c r="A194" s="503">
        <v>26043</v>
      </c>
      <c r="B194" s="502" t="s">
        <v>1954</v>
      </c>
      <c r="C194" s="502" t="s">
        <v>582</v>
      </c>
      <c r="D194" s="502"/>
      <c r="E194" s="503">
        <v>134</v>
      </c>
      <c r="F194" s="503" t="s">
        <v>1955</v>
      </c>
      <c r="G194" s="14"/>
      <c r="H194" s="14"/>
    </row>
    <row r="195" spans="1:8">
      <c r="A195" s="502"/>
      <c r="B195" s="502"/>
      <c r="C195" s="502"/>
      <c r="D195" s="502"/>
      <c r="E195" s="502"/>
      <c r="F195" s="502"/>
      <c r="G195" s="14"/>
      <c r="H195" s="14"/>
    </row>
    <row r="196" spans="1:8">
      <c r="A196" s="502"/>
      <c r="B196" s="502"/>
      <c r="C196" s="502"/>
      <c r="D196" s="502"/>
      <c r="E196" s="502"/>
      <c r="F196" s="502"/>
      <c r="G196" s="14"/>
      <c r="H196" s="14"/>
    </row>
    <row r="197" spans="1:8">
      <c r="A197" s="502"/>
      <c r="B197" s="502"/>
      <c r="C197" s="502"/>
      <c r="D197" s="502"/>
      <c r="E197" s="502"/>
      <c r="F197" s="502"/>
      <c r="G197" s="14"/>
      <c r="H197" s="14"/>
    </row>
    <row r="198" spans="1:8">
      <c r="A198" s="502" t="s">
        <v>1840</v>
      </c>
      <c r="B198" s="504" t="s">
        <v>1841</v>
      </c>
      <c r="C198" s="502" t="s">
        <v>60</v>
      </c>
      <c r="D198" s="502">
        <v>39</v>
      </c>
      <c r="E198" s="502" t="s">
        <v>61</v>
      </c>
      <c r="F198" s="502" t="s">
        <v>1956</v>
      </c>
      <c r="G198" s="14"/>
      <c r="H198" s="14"/>
    </row>
    <row r="199" spans="1:8">
      <c r="A199" s="503">
        <v>23131</v>
      </c>
      <c r="B199" s="502" t="s">
        <v>1957</v>
      </c>
      <c r="C199" s="502" t="s">
        <v>163</v>
      </c>
      <c r="D199" s="502"/>
      <c r="E199" s="503">
        <v>60</v>
      </c>
      <c r="F199" s="503" t="s">
        <v>1958</v>
      </c>
      <c r="G199" s="14"/>
      <c r="H199" s="14"/>
    </row>
    <row r="200" spans="1:8">
      <c r="A200" s="502"/>
      <c r="B200" s="502"/>
      <c r="C200" s="502"/>
      <c r="D200" s="502"/>
      <c r="E200" s="502"/>
      <c r="F200" s="502"/>
      <c r="G200" s="14"/>
      <c r="H200" s="14"/>
    </row>
    <row r="201" spans="1:8">
      <c r="A201" s="502"/>
      <c r="B201" s="502"/>
      <c r="C201" s="502"/>
      <c r="D201" s="502"/>
      <c r="E201" s="502"/>
      <c r="F201" s="502"/>
      <c r="G201" s="14"/>
      <c r="H201" s="14"/>
    </row>
    <row r="202" spans="1:8">
      <c r="A202" s="502"/>
      <c r="B202" s="502"/>
      <c r="C202" s="502"/>
      <c r="D202" s="502"/>
      <c r="E202" s="502"/>
      <c r="F202" s="502"/>
      <c r="G202" s="14"/>
      <c r="H202" s="14"/>
    </row>
    <row r="203" spans="1:8" ht="25.5">
      <c r="A203" s="502" t="s">
        <v>1840</v>
      </c>
      <c r="B203" s="504" t="s">
        <v>1841</v>
      </c>
      <c r="C203" s="502" t="s">
        <v>60</v>
      </c>
      <c r="D203" s="502">
        <v>40</v>
      </c>
      <c r="E203" s="502" t="s">
        <v>61</v>
      </c>
      <c r="F203" s="502" t="s">
        <v>1959</v>
      </c>
      <c r="G203" s="14"/>
      <c r="H203" s="14"/>
    </row>
    <row r="204" spans="1:8">
      <c r="A204" s="503">
        <v>13005</v>
      </c>
      <c r="B204" s="502" t="s">
        <v>1960</v>
      </c>
      <c r="C204" s="502" t="s">
        <v>1046</v>
      </c>
      <c r="D204" s="502"/>
      <c r="E204" s="503">
        <v>80</v>
      </c>
      <c r="F204" s="503" t="s">
        <v>1961</v>
      </c>
      <c r="G204" s="14"/>
      <c r="H204" s="14"/>
    </row>
    <row r="205" spans="1:8">
      <c r="A205" s="502"/>
      <c r="B205" s="502"/>
      <c r="C205" s="502"/>
      <c r="D205" s="502"/>
      <c r="E205" s="502"/>
      <c r="F205" s="502"/>
      <c r="G205" s="14"/>
      <c r="H205" s="14"/>
    </row>
    <row r="206" spans="1:8">
      <c r="A206" s="502"/>
      <c r="B206" s="502"/>
      <c r="C206" s="502"/>
      <c r="D206" s="502"/>
      <c r="E206" s="502"/>
      <c r="F206" s="502"/>
      <c r="G206" s="14"/>
      <c r="H206" s="14"/>
    </row>
    <row r="207" spans="1:8">
      <c r="A207" s="502"/>
      <c r="B207" s="502"/>
      <c r="C207" s="502"/>
      <c r="D207" s="502"/>
      <c r="E207" s="502"/>
      <c r="F207" s="502"/>
      <c r="G207" s="14"/>
      <c r="H207" s="14"/>
    </row>
    <row r="208" spans="1:8">
      <c r="A208" s="502" t="s">
        <v>1840</v>
      </c>
      <c r="B208" s="504" t="s">
        <v>1841</v>
      </c>
      <c r="C208" s="502" t="s">
        <v>60</v>
      </c>
      <c r="D208" s="502">
        <v>41</v>
      </c>
      <c r="E208" s="502" t="s">
        <v>61</v>
      </c>
      <c r="F208" s="502" t="s">
        <v>1962</v>
      </c>
      <c r="G208" s="14"/>
      <c r="H208" s="14"/>
    </row>
    <row r="209" spans="1:8">
      <c r="A209" s="503">
        <v>12042</v>
      </c>
      <c r="B209" s="502" t="s">
        <v>1963</v>
      </c>
      <c r="C209" s="502" t="s">
        <v>542</v>
      </c>
      <c r="D209" s="502"/>
      <c r="E209" s="503">
        <v>78</v>
      </c>
      <c r="F209" s="503" t="s">
        <v>1964</v>
      </c>
      <c r="G209" s="14"/>
      <c r="H209" s="14"/>
    </row>
    <row r="210" spans="1:8">
      <c r="A210" s="502"/>
      <c r="B210" s="502"/>
      <c r="C210" s="502"/>
      <c r="D210" s="502"/>
      <c r="E210" s="502"/>
      <c r="F210" s="502"/>
      <c r="G210" s="14"/>
      <c r="H210" s="14"/>
    </row>
    <row r="211" spans="1:8">
      <c r="A211" s="502"/>
      <c r="B211" s="502"/>
      <c r="C211" s="502"/>
      <c r="D211" s="502"/>
      <c r="E211" s="502"/>
      <c r="F211" s="502"/>
      <c r="G211" s="14"/>
      <c r="H211" s="14"/>
    </row>
    <row r="212" spans="1:8">
      <c r="A212" s="502"/>
      <c r="B212" s="502"/>
      <c r="C212" s="502"/>
      <c r="D212" s="502"/>
      <c r="E212" s="502"/>
      <c r="F212" s="502"/>
      <c r="G212" s="14"/>
      <c r="H212" s="14"/>
    </row>
    <row r="213" spans="1:8" ht="25.5">
      <c r="A213" s="502" t="s">
        <v>1840</v>
      </c>
      <c r="B213" s="504" t="s">
        <v>1841</v>
      </c>
      <c r="C213" s="502" t="s">
        <v>60</v>
      </c>
      <c r="D213" s="502">
        <v>42</v>
      </c>
      <c r="E213" s="502" t="s">
        <v>61</v>
      </c>
      <c r="F213" s="502" t="s">
        <v>1965</v>
      </c>
      <c r="G213" s="14"/>
      <c r="H213" s="14"/>
    </row>
    <row r="214" spans="1:8">
      <c r="A214" s="503">
        <v>14094</v>
      </c>
      <c r="B214" s="502" t="s">
        <v>1966</v>
      </c>
      <c r="C214" s="502" t="s">
        <v>163</v>
      </c>
      <c r="D214" s="502"/>
      <c r="E214" s="503">
        <v>65</v>
      </c>
      <c r="F214" s="503" t="s">
        <v>1967</v>
      </c>
      <c r="G214" s="14"/>
      <c r="H214" s="14"/>
    </row>
    <row r="215" spans="1:8">
      <c r="A215" s="502"/>
      <c r="B215" s="502"/>
      <c r="C215" s="502"/>
      <c r="D215" s="502"/>
      <c r="E215" s="502"/>
      <c r="F215" s="502"/>
      <c r="G215" s="14"/>
      <c r="H215" s="14"/>
    </row>
    <row r="216" spans="1:8">
      <c r="A216" s="502"/>
      <c r="B216" s="502"/>
      <c r="C216" s="502"/>
      <c r="D216" s="502"/>
      <c r="E216" s="502"/>
      <c r="F216" s="502"/>
      <c r="G216" s="14"/>
      <c r="H216" s="14"/>
    </row>
    <row r="217" spans="1:8">
      <c r="A217" s="502"/>
      <c r="B217" s="502"/>
      <c r="C217" s="502"/>
      <c r="D217" s="502"/>
      <c r="E217" s="502"/>
      <c r="F217" s="502"/>
      <c r="G217" s="14"/>
      <c r="H217" s="14"/>
    </row>
    <row r="218" spans="1:8" ht="25.5">
      <c r="A218" s="502" t="s">
        <v>1840</v>
      </c>
      <c r="B218" s="504" t="s">
        <v>1841</v>
      </c>
      <c r="C218" s="502" t="s">
        <v>60</v>
      </c>
      <c r="D218" s="502">
        <v>43</v>
      </c>
      <c r="E218" s="502" t="s">
        <v>61</v>
      </c>
      <c r="F218" s="502" t="s">
        <v>1968</v>
      </c>
      <c r="G218" s="14"/>
      <c r="H218" s="14"/>
    </row>
    <row r="219" spans="1:8">
      <c r="A219" s="503">
        <v>15023</v>
      </c>
      <c r="B219" s="502" t="s">
        <v>1969</v>
      </c>
      <c r="C219" s="502" t="s">
        <v>472</v>
      </c>
      <c r="D219" s="502"/>
      <c r="E219" s="503">
        <v>41</v>
      </c>
      <c r="F219" s="503" t="s">
        <v>1970</v>
      </c>
      <c r="G219" s="14"/>
      <c r="H219" s="14"/>
    </row>
    <row r="220" spans="1:8">
      <c r="A220" s="502"/>
      <c r="B220" s="502"/>
      <c r="C220" s="502"/>
      <c r="D220" s="502"/>
      <c r="E220" s="502"/>
      <c r="F220" s="502"/>
      <c r="G220" s="14"/>
      <c r="H220" s="14"/>
    </row>
    <row r="221" spans="1:8">
      <c r="A221" s="502"/>
      <c r="B221" s="502"/>
      <c r="C221" s="502"/>
      <c r="D221" s="502"/>
      <c r="E221" s="502"/>
      <c r="F221" s="502"/>
      <c r="G221" s="14"/>
      <c r="H221" s="14"/>
    </row>
    <row r="222" spans="1:8">
      <c r="A222" s="502"/>
      <c r="B222" s="502"/>
      <c r="C222" s="502"/>
      <c r="D222" s="502"/>
      <c r="E222" s="502"/>
      <c r="F222" s="502"/>
      <c r="G222" s="14"/>
      <c r="H222" s="14"/>
    </row>
    <row r="223" spans="1:8" ht="25.5">
      <c r="A223" s="502" t="s">
        <v>1840</v>
      </c>
      <c r="B223" s="504" t="s">
        <v>1841</v>
      </c>
      <c r="C223" s="502" t="s">
        <v>60</v>
      </c>
      <c r="D223" s="502">
        <v>44</v>
      </c>
      <c r="E223" s="502" t="s">
        <v>61</v>
      </c>
      <c r="F223" s="502" t="s">
        <v>1971</v>
      </c>
      <c r="G223" s="14"/>
      <c r="H223" s="14"/>
    </row>
    <row r="224" spans="1:8">
      <c r="A224" s="503">
        <v>14079</v>
      </c>
      <c r="B224" s="502" t="s">
        <v>1972</v>
      </c>
      <c r="C224" s="502" t="s">
        <v>1179</v>
      </c>
      <c r="D224" s="502"/>
      <c r="E224" s="503">
        <v>52</v>
      </c>
      <c r="F224" s="503" t="s">
        <v>1973</v>
      </c>
      <c r="G224" s="14"/>
      <c r="H224" s="14"/>
    </row>
    <row r="225" spans="1:8">
      <c r="A225" s="502"/>
      <c r="B225" s="502"/>
      <c r="C225" s="502"/>
      <c r="D225" s="502"/>
      <c r="E225" s="502"/>
      <c r="F225" s="502"/>
      <c r="G225" s="14"/>
      <c r="H225" s="14"/>
    </row>
    <row r="226" spans="1:8">
      <c r="A226" s="502"/>
      <c r="B226" s="502"/>
      <c r="C226" s="502"/>
      <c r="D226" s="502"/>
      <c r="E226" s="502"/>
      <c r="F226" s="502"/>
      <c r="G226" s="14"/>
      <c r="H226" s="14"/>
    </row>
    <row r="227" spans="1:8">
      <c r="A227" s="502"/>
      <c r="B227" s="502"/>
      <c r="C227" s="502"/>
      <c r="D227" s="502"/>
      <c r="E227" s="502"/>
      <c r="F227" s="502"/>
      <c r="G227" s="14"/>
      <c r="H227" s="14"/>
    </row>
    <row r="228" spans="1:8" ht="25.5">
      <c r="A228" s="502" t="s">
        <v>1840</v>
      </c>
      <c r="B228" s="504" t="s">
        <v>1841</v>
      </c>
      <c r="C228" s="502" t="s">
        <v>60</v>
      </c>
      <c r="D228" s="502">
        <v>45</v>
      </c>
      <c r="E228" s="502" t="s">
        <v>61</v>
      </c>
      <c r="F228" s="502" t="s">
        <v>1974</v>
      </c>
      <c r="G228" s="14"/>
      <c r="H228" s="14"/>
    </row>
    <row r="229" spans="1:8">
      <c r="A229" s="503">
        <v>28004</v>
      </c>
      <c r="B229" s="502" t="s">
        <v>1975</v>
      </c>
      <c r="C229" s="502" t="s">
        <v>1901</v>
      </c>
      <c r="D229" s="502"/>
      <c r="E229" s="503">
        <v>54</v>
      </c>
      <c r="F229" s="503" t="s">
        <v>1976</v>
      </c>
      <c r="G229" s="14"/>
      <c r="H229" s="14"/>
    </row>
    <row r="230" spans="1:8">
      <c r="A230" s="502"/>
      <c r="B230" s="502"/>
      <c r="C230" s="502"/>
      <c r="D230" s="502"/>
      <c r="E230" s="502"/>
      <c r="F230" s="502"/>
      <c r="G230" s="14"/>
      <c r="H230" s="14"/>
    </row>
    <row r="231" spans="1:8">
      <c r="A231" s="502"/>
      <c r="B231" s="502"/>
      <c r="C231" s="502"/>
      <c r="D231" s="502"/>
      <c r="E231" s="502"/>
      <c r="F231" s="502"/>
      <c r="G231" s="14"/>
      <c r="H231" s="14"/>
    </row>
    <row r="232" spans="1:8">
      <c r="A232" s="502"/>
      <c r="B232" s="502"/>
      <c r="C232" s="502"/>
      <c r="D232" s="502"/>
      <c r="E232" s="502"/>
      <c r="F232" s="502"/>
      <c r="G232" s="14"/>
      <c r="H232" s="14"/>
    </row>
    <row r="233" spans="1:8" ht="25.5">
      <c r="A233" s="502" t="s">
        <v>1840</v>
      </c>
      <c r="B233" s="504" t="s">
        <v>1841</v>
      </c>
      <c r="C233" s="502" t="s">
        <v>60</v>
      </c>
      <c r="D233" s="502">
        <v>46</v>
      </c>
      <c r="E233" s="502" t="s">
        <v>61</v>
      </c>
      <c r="F233" s="502" t="s">
        <v>1977</v>
      </c>
      <c r="G233" s="14"/>
      <c r="H233" s="14"/>
    </row>
    <row r="234" spans="1:8">
      <c r="A234" s="503">
        <v>25017</v>
      </c>
      <c r="B234" s="502" t="s">
        <v>1978</v>
      </c>
      <c r="C234" s="502" t="s">
        <v>331</v>
      </c>
      <c r="D234" s="502"/>
      <c r="E234" s="503">
        <v>37</v>
      </c>
      <c r="F234" s="503" t="s">
        <v>1979</v>
      </c>
      <c r="G234" s="14"/>
      <c r="H234" s="14"/>
    </row>
    <row r="235" spans="1:8">
      <c r="A235" s="502"/>
      <c r="B235" s="502"/>
      <c r="C235" s="502"/>
      <c r="D235" s="502"/>
      <c r="E235" s="502"/>
      <c r="F235" s="502"/>
      <c r="G235" s="14"/>
      <c r="H235" s="14"/>
    </row>
    <row r="236" spans="1:8">
      <c r="A236" s="502"/>
      <c r="B236" s="502"/>
      <c r="C236" s="502"/>
      <c r="D236" s="502"/>
      <c r="E236" s="502"/>
      <c r="F236" s="502"/>
      <c r="G236" s="14"/>
      <c r="H236" s="14"/>
    </row>
    <row r="237" spans="1:8">
      <c r="A237" s="502"/>
      <c r="B237" s="502"/>
      <c r="C237" s="502"/>
      <c r="D237" s="502"/>
      <c r="E237" s="502"/>
      <c r="F237" s="502"/>
      <c r="G237" s="14"/>
      <c r="H237" s="14"/>
    </row>
    <row r="238" spans="1:8" ht="25.5">
      <c r="A238" s="502" t="s">
        <v>1840</v>
      </c>
      <c r="B238" s="504" t="s">
        <v>1841</v>
      </c>
      <c r="C238" s="502" t="s">
        <v>60</v>
      </c>
      <c r="D238" s="502">
        <v>47</v>
      </c>
      <c r="E238" s="502" t="s">
        <v>61</v>
      </c>
      <c r="F238" s="502" t="s">
        <v>1980</v>
      </c>
      <c r="G238" s="14"/>
      <c r="H238" s="14"/>
    </row>
    <row r="239" spans="1:8">
      <c r="A239" s="503">
        <v>11006</v>
      </c>
      <c r="B239" s="502" t="s">
        <v>1981</v>
      </c>
      <c r="C239" s="502" t="s">
        <v>472</v>
      </c>
      <c r="D239" s="502"/>
      <c r="E239" s="503">
        <v>77</v>
      </c>
      <c r="F239" s="503" t="s">
        <v>1982</v>
      </c>
      <c r="G239" s="14"/>
      <c r="H239" s="14"/>
    </row>
    <row r="240" spans="1:8">
      <c r="A240" s="502"/>
      <c r="B240" s="502"/>
      <c r="C240" s="502"/>
      <c r="D240" s="502"/>
      <c r="E240" s="502"/>
      <c r="F240" s="502"/>
      <c r="G240" s="14"/>
      <c r="H240" s="14"/>
    </row>
    <row r="241" spans="1:8">
      <c r="A241" s="502"/>
      <c r="B241" s="502"/>
      <c r="C241" s="502"/>
      <c r="D241" s="502"/>
      <c r="E241" s="502"/>
      <c r="F241" s="502"/>
      <c r="G241" s="14"/>
      <c r="H241" s="14"/>
    </row>
    <row r="242" spans="1:8">
      <c r="A242" s="502"/>
      <c r="B242" s="502"/>
      <c r="C242" s="502"/>
      <c r="D242" s="502"/>
      <c r="E242" s="502"/>
      <c r="F242" s="502"/>
      <c r="G242" s="14"/>
      <c r="H242" s="14"/>
    </row>
    <row r="243" spans="1:8" ht="25.5">
      <c r="A243" s="502" t="s">
        <v>1840</v>
      </c>
      <c r="B243" s="504" t="s">
        <v>1841</v>
      </c>
      <c r="C243" s="502" t="s">
        <v>60</v>
      </c>
      <c r="D243" s="502">
        <v>48</v>
      </c>
      <c r="E243" s="502" t="s">
        <v>61</v>
      </c>
      <c r="F243" s="502" t="s">
        <v>1983</v>
      </c>
      <c r="G243" s="14"/>
      <c r="H243" s="14"/>
    </row>
    <row r="244" spans="1:8">
      <c r="A244" s="503">
        <v>15065</v>
      </c>
      <c r="B244" s="502" t="s">
        <v>1984</v>
      </c>
      <c r="C244" s="502" t="s">
        <v>242</v>
      </c>
      <c r="D244" s="502"/>
      <c r="E244" s="503">
        <v>104</v>
      </c>
      <c r="F244" s="503" t="s">
        <v>1985</v>
      </c>
      <c r="G244" s="14"/>
      <c r="H244" s="14"/>
    </row>
    <row r="245" spans="1:8">
      <c r="A245" s="502"/>
      <c r="B245" s="502"/>
      <c r="C245" s="502"/>
      <c r="D245" s="502"/>
      <c r="E245" s="502"/>
      <c r="F245" s="502"/>
      <c r="G245" s="14"/>
      <c r="H245" s="14"/>
    </row>
    <row r="246" spans="1:8">
      <c r="A246" s="502"/>
      <c r="B246" s="502"/>
      <c r="C246" s="502"/>
      <c r="D246" s="502"/>
      <c r="E246" s="502"/>
      <c r="F246" s="502"/>
      <c r="G246" s="14"/>
      <c r="H246" s="14"/>
    </row>
    <row r="247" spans="1:8">
      <c r="A247" s="502"/>
      <c r="B247" s="502"/>
      <c r="C247" s="502"/>
      <c r="D247" s="502"/>
      <c r="E247" s="502"/>
      <c r="F247" s="502"/>
      <c r="G247" s="14"/>
      <c r="H247" s="14"/>
    </row>
    <row r="248" spans="1:8" ht="25.5">
      <c r="A248" s="502" t="s">
        <v>1840</v>
      </c>
      <c r="B248" s="504" t="s">
        <v>1841</v>
      </c>
      <c r="C248" s="502" t="s">
        <v>60</v>
      </c>
      <c r="D248" s="502">
        <v>49</v>
      </c>
      <c r="E248" s="502" t="s">
        <v>61</v>
      </c>
      <c r="F248" s="502" t="s">
        <v>1986</v>
      </c>
      <c r="G248" s="14"/>
      <c r="H248" s="14"/>
    </row>
    <row r="249" spans="1:8">
      <c r="A249" s="503">
        <v>96059</v>
      </c>
      <c r="B249" s="502" t="s">
        <v>1987</v>
      </c>
      <c r="C249" s="502" t="s">
        <v>153</v>
      </c>
      <c r="D249" s="502"/>
      <c r="E249" s="503">
        <v>31</v>
      </c>
      <c r="F249" s="503" t="s">
        <v>1988</v>
      </c>
      <c r="G249" s="14"/>
      <c r="H249" s="14"/>
    </row>
    <row r="250" spans="1:8">
      <c r="A250" s="502"/>
      <c r="B250" s="502"/>
      <c r="C250" s="502"/>
      <c r="D250" s="502"/>
      <c r="E250" s="502"/>
      <c r="F250" s="502"/>
      <c r="G250" s="14"/>
      <c r="H250" s="14"/>
    </row>
    <row r="251" spans="1:8">
      <c r="A251" s="502"/>
      <c r="B251" s="502"/>
      <c r="C251" s="502"/>
      <c r="D251" s="502"/>
      <c r="E251" s="502"/>
      <c r="F251" s="502"/>
      <c r="G251" s="14"/>
      <c r="H251" s="14"/>
    </row>
    <row r="252" spans="1:8">
      <c r="A252" s="502"/>
      <c r="B252" s="502"/>
      <c r="C252" s="502"/>
      <c r="D252" s="502"/>
      <c r="E252" s="502"/>
      <c r="F252" s="502"/>
      <c r="G252" s="14"/>
      <c r="H252" s="14"/>
    </row>
    <row r="253" spans="1:8" ht="25.5">
      <c r="A253" s="502" t="s">
        <v>1840</v>
      </c>
      <c r="B253" s="504" t="s">
        <v>1841</v>
      </c>
      <c r="C253" s="502" t="s">
        <v>60</v>
      </c>
      <c r="D253" s="502">
        <v>50</v>
      </c>
      <c r="E253" s="502" t="s">
        <v>61</v>
      </c>
      <c r="F253" s="502" t="s">
        <v>1989</v>
      </c>
      <c r="G253" s="14"/>
      <c r="H253" s="14"/>
    </row>
    <row r="254" spans="1:8">
      <c r="A254" s="503">
        <v>12038</v>
      </c>
      <c r="B254" s="502" t="s">
        <v>1990</v>
      </c>
      <c r="C254" s="502" t="s">
        <v>542</v>
      </c>
      <c r="D254" s="502"/>
      <c r="E254" s="503">
        <v>25</v>
      </c>
      <c r="F254" s="503" t="s">
        <v>1991</v>
      </c>
      <c r="G254" s="14"/>
      <c r="H254" s="14"/>
    </row>
    <row r="255" spans="1:8">
      <c r="A255" s="502"/>
      <c r="B255" s="502"/>
      <c r="C255" s="502"/>
      <c r="D255" s="502"/>
      <c r="E255" s="502"/>
      <c r="F255" s="502"/>
      <c r="G255" s="14"/>
      <c r="H255" s="14"/>
    </row>
    <row r="256" spans="1:8">
      <c r="A256" s="502"/>
      <c r="B256" s="502"/>
      <c r="C256" s="502"/>
      <c r="D256" s="502"/>
      <c r="E256" s="502"/>
      <c r="F256" s="502"/>
      <c r="G256" s="14"/>
      <c r="H256" s="14"/>
    </row>
    <row r="257" spans="1:8">
      <c r="A257" s="502"/>
      <c r="B257" s="502"/>
      <c r="C257" s="502"/>
      <c r="D257" s="502"/>
      <c r="E257" s="502"/>
      <c r="F257" s="502"/>
      <c r="G257" s="14"/>
      <c r="H257" s="14"/>
    </row>
    <row r="258" spans="1:8" ht="25.5">
      <c r="A258" s="502" t="s">
        <v>1840</v>
      </c>
      <c r="B258" s="504" t="s">
        <v>1841</v>
      </c>
      <c r="C258" s="502" t="s">
        <v>60</v>
      </c>
      <c r="D258" s="502">
        <v>51</v>
      </c>
      <c r="E258" s="502" t="s">
        <v>61</v>
      </c>
      <c r="F258" s="502" t="s">
        <v>1992</v>
      </c>
      <c r="G258" s="14"/>
      <c r="H258" s="14"/>
    </row>
    <row r="259" spans="1:8">
      <c r="A259" s="503">
        <v>17062</v>
      </c>
      <c r="B259" s="502" t="s">
        <v>1993</v>
      </c>
      <c r="C259" s="502" t="s">
        <v>1188</v>
      </c>
      <c r="D259" s="502"/>
      <c r="E259" s="503">
        <v>82</v>
      </c>
      <c r="F259" s="503" t="s">
        <v>1994</v>
      </c>
      <c r="G259" s="14"/>
      <c r="H259" s="14"/>
    </row>
    <row r="260" spans="1:8">
      <c r="A260" s="502"/>
      <c r="B260" s="502"/>
      <c r="C260" s="502"/>
      <c r="D260" s="502"/>
      <c r="E260" s="502"/>
      <c r="F260" s="502"/>
      <c r="G260" s="14"/>
      <c r="H260" s="14"/>
    </row>
    <row r="261" spans="1:8">
      <c r="A261" s="502"/>
      <c r="B261" s="502"/>
      <c r="C261" s="502"/>
      <c r="D261" s="502"/>
      <c r="E261" s="502"/>
      <c r="F261" s="502"/>
      <c r="G261" s="14"/>
      <c r="H261" s="14"/>
    </row>
    <row r="262" spans="1:8">
      <c r="A262" s="502"/>
      <c r="B262" s="502"/>
      <c r="C262" s="502"/>
      <c r="D262" s="502"/>
      <c r="E262" s="502"/>
      <c r="F262" s="502"/>
      <c r="G262" s="14"/>
      <c r="H262" s="14"/>
    </row>
    <row r="263" spans="1:8" ht="25.5">
      <c r="A263" s="502" t="s">
        <v>1840</v>
      </c>
      <c r="B263" s="504" t="s">
        <v>1841</v>
      </c>
      <c r="C263" s="502" t="s">
        <v>60</v>
      </c>
      <c r="D263" s="502">
        <v>52</v>
      </c>
      <c r="E263" s="502" t="s">
        <v>61</v>
      </c>
      <c r="F263" s="502" t="s">
        <v>1995</v>
      </c>
      <c r="G263" s="14"/>
      <c r="H263" s="14"/>
    </row>
    <row r="264" spans="1:8">
      <c r="A264" s="503">
        <v>15010</v>
      </c>
      <c r="B264" s="502" t="s">
        <v>1996</v>
      </c>
      <c r="C264" s="502" t="s">
        <v>542</v>
      </c>
      <c r="D264" s="502"/>
      <c r="E264" s="503">
        <v>59</v>
      </c>
      <c r="F264" s="503" t="s">
        <v>1997</v>
      </c>
      <c r="G264" s="14"/>
      <c r="H264" s="14"/>
    </row>
    <row r="265" spans="1:8">
      <c r="A265" s="502"/>
      <c r="B265" s="502"/>
      <c r="C265" s="502"/>
      <c r="D265" s="502"/>
      <c r="E265" s="502"/>
      <c r="F265" s="502"/>
      <c r="G265" s="14"/>
      <c r="H265" s="14"/>
    </row>
    <row r="266" spans="1:8">
      <c r="A266" s="502"/>
      <c r="B266" s="502"/>
      <c r="C266" s="502"/>
      <c r="D266" s="502"/>
      <c r="E266" s="502"/>
      <c r="F266" s="502"/>
      <c r="G266" s="14"/>
      <c r="H266" s="14"/>
    </row>
    <row r="267" spans="1:8">
      <c r="A267" s="502"/>
      <c r="B267" s="502"/>
      <c r="C267" s="502"/>
      <c r="D267" s="502"/>
      <c r="E267" s="502"/>
      <c r="F267" s="502"/>
      <c r="G267" s="14"/>
      <c r="H267" s="14"/>
    </row>
    <row r="268" spans="1:8" ht="25.5">
      <c r="A268" s="502" t="s">
        <v>1840</v>
      </c>
      <c r="B268" s="504" t="s">
        <v>1841</v>
      </c>
      <c r="C268" s="502" t="s">
        <v>60</v>
      </c>
      <c r="D268" s="502">
        <v>53</v>
      </c>
      <c r="E268" s="502" t="s">
        <v>61</v>
      </c>
      <c r="F268" s="502" t="s">
        <v>1998</v>
      </c>
      <c r="G268" s="14"/>
      <c r="H268" s="14"/>
    </row>
    <row r="269" spans="1:8">
      <c r="A269" s="503">
        <v>12037</v>
      </c>
      <c r="B269" s="502" t="s">
        <v>1999</v>
      </c>
      <c r="C269" s="502" t="s">
        <v>542</v>
      </c>
      <c r="D269" s="502"/>
      <c r="E269" s="503">
        <v>26</v>
      </c>
      <c r="F269" s="503" t="s">
        <v>2000</v>
      </c>
      <c r="G269" s="14"/>
      <c r="H269" s="14"/>
    </row>
    <row r="270" spans="1:8">
      <c r="A270" s="502"/>
      <c r="B270" s="502"/>
      <c r="C270" s="502"/>
      <c r="D270" s="502"/>
      <c r="E270" s="502"/>
      <c r="F270" s="502"/>
      <c r="G270" s="14"/>
      <c r="H270" s="14"/>
    </row>
    <row r="271" spans="1:8">
      <c r="A271" s="502"/>
      <c r="B271" s="502"/>
      <c r="C271" s="502"/>
      <c r="D271" s="502"/>
      <c r="E271" s="502"/>
      <c r="F271" s="502"/>
      <c r="G271" s="14"/>
      <c r="H271" s="14"/>
    </row>
    <row r="272" spans="1:8">
      <c r="A272" s="502"/>
      <c r="B272" s="502"/>
      <c r="C272" s="502"/>
      <c r="D272" s="502"/>
      <c r="E272" s="502"/>
      <c r="F272" s="502"/>
      <c r="G272" s="14"/>
      <c r="H272" s="14"/>
    </row>
    <row r="273" spans="1:8" ht="25.5">
      <c r="A273" s="502" t="s">
        <v>1840</v>
      </c>
      <c r="B273" s="504" t="s">
        <v>1841</v>
      </c>
      <c r="C273" s="502" t="s">
        <v>60</v>
      </c>
      <c r="D273" s="502">
        <v>54</v>
      </c>
      <c r="E273" s="502" t="s">
        <v>61</v>
      </c>
      <c r="F273" s="502" t="s">
        <v>2001</v>
      </c>
      <c r="G273" s="14"/>
      <c r="H273" s="14"/>
    </row>
    <row r="274" spans="1:8">
      <c r="A274" s="503">
        <v>25003</v>
      </c>
      <c r="B274" s="502" t="s">
        <v>2002</v>
      </c>
      <c r="C274" s="502" t="s">
        <v>472</v>
      </c>
      <c r="D274" s="502"/>
      <c r="E274" s="503">
        <v>44</v>
      </c>
      <c r="F274" s="503" t="s">
        <v>2003</v>
      </c>
      <c r="G274" s="14"/>
      <c r="H274" s="14"/>
    </row>
    <row r="275" spans="1:8">
      <c r="A275" s="502"/>
      <c r="B275" s="502"/>
      <c r="C275" s="502"/>
      <c r="D275" s="502"/>
      <c r="E275" s="502"/>
      <c r="F275" s="502"/>
      <c r="G275" s="14"/>
      <c r="H275" s="14"/>
    </row>
    <row r="276" spans="1:8">
      <c r="A276" s="502"/>
      <c r="B276" s="502"/>
      <c r="C276" s="502"/>
      <c r="D276" s="502"/>
      <c r="E276" s="502"/>
      <c r="F276" s="502"/>
      <c r="G276" s="14"/>
      <c r="H276" s="14"/>
    </row>
    <row r="277" spans="1:8">
      <c r="A277" s="502"/>
      <c r="B277" s="502"/>
      <c r="C277" s="502"/>
      <c r="D277" s="502"/>
      <c r="E277" s="502"/>
      <c r="F277" s="502"/>
      <c r="G277" s="14"/>
      <c r="H277" s="14"/>
    </row>
    <row r="278" spans="1:8" ht="25.5">
      <c r="A278" s="502" t="s">
        <v>1840</v>
      </c>
      <c r="B278" s="504" t="s">
        <v>1841</v>
      </c>
      <c r="C278" s="502" t="s">
        <v>60</v>
      </c>
      <c r="D278" s="502">
        <v>55</v>
      </c>
      <c r="E278" s="502" t="s">
        <v>61</v>
      </c>
      <c r="F278" s="502" t="s">
        <v>2004</v>
      </c>
      <c r="G278" s="14"/>
      <c r="H278" s="14"/>
    </row>
    <row r="279" spans="1:8">
      <c r="A279" s="503">
        <v>13041</v>
      </c>
      <c r="B279" s="502" t="s">
        <v>2005</v>
      </c>
      <c r="C279" s="502" t="s">
        <v>153</v>
      </c>
      <c r="D279" s="502"/>
      <c r="E279" s="503">
        <v>72</v>
      </c>
      <c r="F279" s="503" t="s">
        <v>2006</v>
      </c>
      <c r="G279" s="14"/>
      <c r="H279" s="14"/>
    </row>
    <row r="280" spans="1:8">
      <c r="A280" s="502"/>
      <c r="B280" s="502"/>
      <c r="C280" s="502"/>
      <c r="D280" s="502"/>
      <c r="E280" s="502"/>
      <c r="F280" s="502"/>
      <c r="G280" s="14"/>
      <c r="H280" s="14"/>
    </row>
    <row r="281" spans="1:8">
      <c r="A281" s="502"/>
      <c r="B281" s="502"/>
      <c r="C281" s="502"/>
      <c r="D281" s="502"/>
      <c r="E281" s="502"/>
      <c r="F281" s="502"/>
      <c r="G281" s="14"/>
      <c r="H281" s="14"/>
    </row>
    <row r="282" spans="1:8">
      <c r="A282" s="502"/>
      <c r="B282" s="502"/>
      <c r="C282" s="502"/>
      <c r="D282" s="502"/>
      <c r="E282" s="502"/>
      <c r="F282" s="502"/>
      <c r="G282" s="14"/>
      <c r="H282" s="14"/>
    </row>
    <row r="283" spans="1:8" ht="25.5">
      <c r="A283" s="502" t="s">
        <v>1840</v>
      </c>
      <c r="B283" s="504" t="s">
        <v>1841</v>
      </c>
      <c r="C283" s="502" t="s">
        <v>60</v>
      </c>
      <c r="D283" s="502">
        <v>56</v>
      </c>
      <c r="E283" s="502" t="s">
        <v>61</v>
      </c>
      <c r="F283" s="502" t="s">
        <v>2007</v>
      </c>
      <c r="G283" s="14"/>
      <c r="H283" s="14"/>
    </row>
    <row r="284" spans="1:8">
      <c r="A284" s="503">
        <v>16075</v>
      </c>
      <c r="B284" s="502" t="s">
        <v>2008</v>
      </c>
      <c r="C284" s="502" t="s">
        <v>1920</v>
      </c>
      <c r="D284" s="502"/>
      <c r="E284" s="503">
        <v>67</v>
      </c>
      <c r="F284" s="503" t="s">
        <v>2009</v>
      </c>
      <c r="G284" s="14"/>
      <c r="H284" s="14"/>
    </row>
    <row r="285" spans="1:8">
      <c r="A285" s="502"/>
      <c r="B285" s="502"/>
      <c r="C285" s="502"/>
      <c r="D285" s="502"/>
      <c r="E285" s="502"/>
      <c r="F285" s="502"/>
      <c r="G285" s="14"/>
      <c r="H285" s="14"/>
    </row>
    <row r="286" spans="1:8">
      <c r="A286" s="502"/>
      <c r="B286" s="502"/>
      <c r="C286" s="502"/>
      <c r="D286" s="502"/>
      <c r="E286" s="502"/>
      <c r="F286" s="502"/>
      <c r="G286" s="14"/>
      <c r="H286" s="14"/>
    </row>
    <row r="287" spans="1:8">
      <c r="A287" s="502"/>
      <c r="B287" s="502"/>
      <c r="C287" s="502"/>
      <c r="D287" s="502"/>
      <c r="E287" s="502"/>
      <c r="F287" s="502"/>
      <c r="G287" s="14"/>
      <c r="H287" s="14"/>
    </row>
    <row r="288" spans="1:8" ht="25.5">
      <c r="A288" s="502" t="s">
        <v>1840</v>
      </c>
      <c r="B288" s="504" t="s">
        <v>1841</v>
      </c>
      <c r="C288" s="502" t="s">
        <v>60</v>
      </c>
      <c r="D288" s="502">
        <v>57</v>
      </c>
      <c r="E288" s="502" t="s">
        <v>61</v>
      </c>
      <c r="F288" s="502" t="s">
        <v>2010</v>
      </c>
      <c r="G288" s="14"/>
      <c r="H288" s="14"/>
    </row>
    <row r="289" spans="1:8">
      <c r="A289" s="503">
        <v>27030</v>
      </c>
      <c r="B289" s="502" t="s">
        <v>2011</v>
      </c>
      <c r="C289" s="502" t="s">
        <v>1901</v>
      </c>
      <c r="D289" s="502"/>
      <c r="E289" s="503">
        <v>61</v>
      </c>
      <c r="F289" s="503" t="s">
        <v>2012</v>
      </c>
      <c r="G289" s="14"/>
      <c r="H289" s="14"/>
    </row>
    <row r="290" spans="1:8">
      <c r="A290" s="502"/>
      <c r="B290" s="502"/>
      <c r="C290" s="502"/>
      <c r="D290" s="502"/>
      <c r="E290" s="502"/>
      <c r="F290" s="502"/>
      <c r="G290" s="14"/>
      <c r="H290" s="14"/>
    </row>
    <row r="291" spans="1:8">
      <c r="A291" s="502"/>
      <c r="B291" s="502"/>
      <c r="C291" s="502"/>
      <c r="D291" s="502"/>
      <c r="E291" s="502"/>
      <c r="F291" s="502"/>
      <c r="G291" s="14"/>
      <c r="H291" s="14"/>
    </row>
    <row r="292" spans="1:8">
      <c r="A292" s="502"/>
      <c r="B292" s="502"/>
      <c r="C292" s="502"/>
      <c r="D292" s="502"/>
      <c r="E292" s="502"/>
      <c r="F292" s="502"/>
      <c r="G292" s="14"/>
      <c r="H292" s="14"/>
    </row>
    <row r="293" spans="1:8" ht="25.5">
      <c r="A293" s="502" t="s">
        <v>1840</v>
      </c>
      <c r="B293" s="504" t="s">
        <v>1841</v>
      </c>
      <c r="C293" s="502" t="s">
        <v>60</v>
      </c>
      <c r="D293" s="502">
        <v>58</v>
      </c>
      <c r="E293" s="502" t="s">
        <v>61</v>
      </c>
      <c r="F293" s="502" t="s">
        <v>2013</v>
      </c>
      <c r="G293" s="14"/>
      <c r="H293" s="14"/>
    </row>
    <row r="294" spans="1:8">
      <c r="A294" s="503">
        <v>12020</v>
      </c>
      <c r="B294" s="502" t="s">
        <v>2014</v>
      </c>
      <c r="C294" s="502" t="s">
        <v>202</v>
      </c>
      <c r="D294" s="502"/>
      <c r="E294" s="503">
        <v>73</v>
      </c>
      <c r="F294" s="503" t="s">
        <v>2015</v>
      </c>
      <c r="G294" s="14"/>
      <c r="H294" s="14"/>
    </row>
    <row r="295" spans="1:8">
      <c r="A295" s="502"/>
      <c r="B295" s="502"/>
      <c r="C295" s="502"/>
      <c r="D295" s="502"/>
      <c r="E295" s="502"/>
      <c r="F295" s="502"/>
      <c r="G295" s="14"/>
      <c r="H295" s="14"/>
    </row>
    <row r="296" spans="1:8">
      <c r="A296" s="502"/>
      <c r="B296" s="502"/>
      <c r="C296" s="502"/>
      <c r="D296" s="502"/>
      <c r="E296" s="502"/>
      <c r="F296" s="502"/>
      <c r="G296" s="14"/>
      <c r="H296" s="14"/>
    </row>
    <row r="297" spans="1:8">
      <c r="A297" s="502"/>
      <c r="B297" s="502"/>
      <c r="C297" s="502"/>
      <c r="D297" s="502"/>
      <c r="E297" s="502"/>
      <c r="F297" s="502"/>
      <c r="G297" s="14"/>
      <c r="H297" s="14"/>
    </row>
    <row r="298" spans="1:8" ht="25.5">
      <c r="A298" s="502" t="s">
        <v>1840</v>
      </c>
      <c r="B298" s="504" t="s">
        <v>1841</v>
      </c>
      <c r="C298" s="502" t="s">
        <v>60</v>
      </c>
      <c r="D298" s="502">
        <v>59</v>
      </c>
      <c r="E298" s="502" t="s">
        <v>61</v>
      </c>
      <c r="F298" s="502" t="s">
        <v>2016</v>
      </c>
      <c r="G298" s="14"/>
      <c r="H298" s="14"/>
    </row>
    <row r="299" spans="1:8">
      <c r="A299" s="503">
        <v>15011</v>
      </c>
      <c r="B299" s="502" t="s">
        <v>2017</v>
      </c>
      <c r="C299" s="502" t="s">
        <v>542</v>
      </c>
      <c r="D299" s="502"/>
      <c r="E299" s="503">
        <v>64</v>
      </c>
      <c r="F299" s="503" t="s">
        <v>2018</v>
      </c>
      <c r="G299" s="14"/>
      <c r="H299" s="14"/>
    </row>
    <row r="300" spans="1:8">
      <c r="A300" s="502"/>
      <c r="B300" s="502"/>
      <c r="C300" s="502"/>
      <c r="D300" s="502"/>
      <c r="E300" s="502"/>
      <c r="F300" s="502"/>
      <c r="G300" s="14"/>
      <c r="H300" s="14"/>
    </row>
    <row r="301" spans="1:8">
      <c r="A301" s="502"/>
      <c r="B301" s="502"/>
      <c r="C301" s="502"/>
      <c r="D301" s="502"/>
      <c r="E301" s="502"/>
      <c r="F301" s="502"/>
      <c r="G301" s="14"/>
      <c r="H301" s="14"/>
    </row>
    <row r="302" spans="1:8">
      <c r="A302" s="502"/>
      <c r="B302" s="502"/>
      <c r="C302" s="502"/>
      <c r="D302" s="502"/>
      <c r="E302" s="502"/>
      <c r="F302" s="502"/>
      <c r="G302" s="14"/>
      <c r="H302" s="14"/>
    </row>
    <row r="303" spans="1:8" ht="25.5">
      <c r="A303" s="502" t="s">
        <v>1840</v>
      </c>
      <c r="B303" s="504" t="s">
        <v>1841</v>
      </c>
      <c r="C303" s="502" t="s">
        <v>60</v>
      </c>
      <c r="D303" s="502">
        <v>60</v>
      </c>
      <c r="E303" s="502" t="s">
        <v>61</v>
      </c>
      <c r="F303" s="502" t="s">
        <v>2019</v>
      </c>
      <c r="G303" s="14"/>
      <c r="H303" s="14"/>
    </row>
    <row r="304" spans="1:8">
      <c r="A304" s="503">
        <v>28055</v>
      </c>
      <c r="B304" s="502" t="s">
        <v>2020</v>
      </c>
      <c r="C304" s="502" t="s">
        <v>1901</v>
      </c>
      <c r="D304" s="502"/>
      <c r="E304" s="503">
        <v>91</v>
      </c>
      <c r="F304" s="503" t="s">
        <v>2021</v>
      </c>
      <c r="G304" s="14"/>
      <c r="H304" s="14"/>
    </row>
    <row r="305" spans="1:8">
      <c r="A305" s="502"/>
      <c r="B305" s="502"/>
      <c r="C305" s="502"/>
      <c r="D305" s="502"/>
      <c r="E305" s="502"/>
      <c r="F305" s="502"/>
      <c r="G305" s="14"/>
      <c r="H305" s="14"/>
    </row>
    <row r="306" spans="1:8">
      <c r="A306" s="502"/>
      <c r="B306" s="502"/>
      <c r="C306" s="502"/>
      <c r="D306" s="502"/>
      <c r="E306" s="502"/>
      <c r="F306" s="502"/>
      <c r="G306" s="14"/>
      <c r="H306" s="14"/>
    </row>
    <row r="307" spans="1:8">
      <c r="A307" s="502"/>
      <c r="B307" s="502"/>
      <c r="C307" s="502"/>
      <c r="D307" s="502"/>
      <c r="E307" s="502"/>
      <c r="F307" s="502"/>
      <c r="G307" s="14"/>
      <c r="H307" s="14"/>
    </row>
    <row r="308" spans="1:8" ht="25.5">
      <c r="A308" s="502" t="s">
        <v>1840</v>
      </c>
      <c r="B308" s="504" t="s">
        <v>1841</v>
      </c>
      <c r="C308" s="502" t="s">
        <v>60</v>
      </c>
      <c r="D308" s="502">
        <v>61</v>
      </c>
      <c r="E308" s="502" t="s">
        <v>61</v>
      </c>
      <c r="F308" s="502" t="s">
        <v>2022</v>
      </c>
      <c r="G308" s="14"/>
      <c r="H308" s="14"/>
    </row>
    <row r="309" spans="1:8">
      <c r="A309" s="503">
        <v>16151</v>
      </c>
      <c r="B309" s="502" t="s">
        <v>2023</v>
      </c>
      <c r="C309" s="502" t="s">
        <v>2024</v>
      </c>
      <c r="D309" s="502"/>
      <c r="E309" s="503">
        <v>107</v>
      </c>
      <c r="F309" s="503" t="s">
        <v>2025</v>
      </c>
      <c r="G309" s="14"/>
      <c r="H309" s="14"/>
    </row>
    <row r="310" spans="1:8">
      <c r="A310" s="502"/>
      <c r="B310" s="502"/>
      <c r="C310" s="502"/>
      <c r="D310" s="502"/>
      <c r="E310" s="502"/>
      <c r="F310" s="502"/>
      <c r="G310" s="14"/>
      <c r="H310" s="14"/>
    </row>
    <row r="311" spans="1:8">
      <c r="A311" s="502"/>
      <c r="B311" s="502"/>
      <c r="C311" s="502"/>
      <c r="D311" s="502"/>
      <c r="E311" s="502"/>
      <c r="F311" s="502"/>
      <c r="G311" s="14"/>
      <c r="H311" s="14"/>
    </row>
    <row r="312" spans="1:8">
      <c r="A312" s="502"/>
      <c r="B312" s="502"/>
      <c r="C312" s="502"/>
      <c r="D312" s="502"/>
      <c r="E312" s="502"/>
      <c r="F312" s="502"/>
      <c r="G312" s="14"/>
      <c r="H312" s="14"/>
    </row>
    <row r="313" spans="1:8" ht="25.5">
      <c r="A313" s="502" t="s">
        <v>1840</v>
      </c>
      <c r="B313" s="504" t="s">
        <v>1841</v>
      </c>
      <c r="C313" s="502" t="s">
        <v>60</v>
      </c>
      <c r="D313" s="502">
        <v>62</v>
      </c>
      <c r="E313" s="502" t="s">
        <v>61</v>
      </c>
      <c r="F313" s="502" t="s">
        <v>2026</v>
      </c>
      <c r="G313" s="14"/>
      <c r="H313" s="14"/>
    </row>
    <row r="314" spans="1:8">
      <c r="A314" s="503">
        <v>28006</v>
      </c>
      <c r="B314" s="502" t="s">
        <v>2027</v>
      </c>
      <c r="C314" s="502" t="s">
        <v>198</v>
      </c>
      <c r="D314" s="502"/>
      <c r="E314" s="503">
        <v>36</v>
      </c>
      <c r="F314" s="503" t="s">
        <v>2028</v>
      </c>
      <c r="G314" s="14"/>
      <c r="H314" s="14"/>
    </row>
    <row r="315" spans="1:8">
      <c r="A315" s="502"/>
      <c r="B315" s="502"/>
      <c r="C315" s="502"/>
      <c r="D315" s="502"/>
      <c r="E315" s="502"/>
      <c r="F315" s="502"/>
      <c r="G315" s="14"/>
      <c r="H315" s="14"/>
    </row>
    <row r="316" spans="1:8">
      <c r="A316" s="502"/>
      <c r="B316" s="502"/>
      <c r="C316" s="502"/>
      <c r="D316" s="502"/>
      <c r="E316" s="502"/>
      <c r="F316" s="502"/>
      <c r="G316" s="14"/>
      <c r="H316" s="14"/>
    </row>
    <row r="317" spans="1:8">
      <c r="A317" s="502"/>
      <c r="B317" s="502"/>
      <c r="C317" s="502"/>
      <c r="D317" s="502"/>
      <c r="E317" s="502"/>
      <c r="F317" s="502"/>
      <c r="G317" s="14"/>
      <c r="H317" s="14"/>
    </row>
    <row r="318" spans="1:8" ht="25.5">
      <c r="A318" s="502" t="s">
        <v>1840</v>
      </c>
      <c r="B318" s="504" t="s">
        <v>1841</v>
      </c>
      <c r="C318" s="502" t="s">
        <v>60</v>
      </c>
      <c r="D318" s="502">
        <v>63</v>
      </c>
      <c r="E318" s="502" t="s">
        <v>61</v>
      </c>
      <c r="F318" s="502" t="s">
        <v>2029</v>
      </c>
      <c r="G318" s="14"/>
      <c r="H318" s="14"/>
    </row>
    <row r="319" spans="1:8">
      <c r="A319" s="503">
        <v>10139</v>
      </c>
      <c r="B319" s="502" t="s">
        <v>2030</v>
      </c>
      <c r="C319" s="502" t="s">
        <v>1377</v>
      </c>
      <c r="D319" s="502"/>
      <c r="E319" s="503">
        <v>115</v>
      </c>
      <c r="F319" s="503" t="s">
        <v>2031</v>
      </c>
      <c r="G319" s="14"/>
      <c r="H319" s="14"/>
    </row>
    <row r="320" spans="1:8">
      <c r="A320" s="502"/>
      <c r="B320" s="502"/>
      <c r="C320" s="502"/>
      <c r="D320" s="502"/>
      <c r="E320" s="502"/>
      <c r="F320" s="502"/>
      <c r="G320" s="14"/>
      <c r="H320" s="14"/>
    </row>
    <row r="321" spans="1:8">
      <c r="A321" s="502"/>
      <c r="B321" s="502"/>
      <c r="C321" s="502"/>
      <c r="D321" s="502"/>
      <c r="E321" s="502"/>
      <c r="F321" s="502"/>
      <c r="G321" s="14"/>
      <c r="H321" s="14"/>
    </row>
    <row r="322" spans="1:8">
      <c r="A322" s="502"/>
      <c r="B322" s="502"/>
      <c r="C322" s="502"/>
      <c r="D322" s="502"/>
      <c r="E322" s="502"/>
      <c r="F322" s="502"/>
      <c r="G322" s="14"/>
      <c r="H322" s="14"/>
    </row>
    <row r="323" spans="1:8" ht="25.5">
      <c r="A323" s="502" t="s">
        <v>1840</v>
      </c>
      <c r="B323" s="504" t="s">
        <v>1841</v>
      </c>
      <c r="C323" s="502" t="s">
        <v>60</v>
      </c>
      <c r="D323" s="502">
        <v>64</v>
      </c>
      <c r="E323" s="502" t="s">
        <v>61</v>
      </c>
      <c r="F323" s="502" t="s">
        <v>2032</v>
      </c>
      <c r="G323" s="14"/>
      <c r="H323" s="14"/>
    </row>
    <row r="324" spans="1:8">
      <c r="A324" s="503">
        <v>16086</v>
      </c>
      <c r="B324" s="502" t="s">
        <v>2033</v>
      </c>
      <c r="C324" s="502" t="s">
        <v>1920</v>
      </c>
      <c r="D324" s="502"/>
      <c r="E324" s="503">
        <v>79</v>
      </c>
      <c r="F324" s="503" t="s">
        <v>2034</v>
      </c>
      <c r="G324" s="14"/>
      <c r="H324" s="14"/>
    </row>
    <row r="325" spans="1:8">
      <c r="A325" s="502"/>
      <c r="B325" s="502"/>
      <c r="C325" s="502"/>
      <c r="D325" s="502"/>
      <c r="E325" s="502"/>
      <c r="F325" s="502"/>
      <c r="G325" s="14"/>
      <c r="H325" s="14"/>
    </row>
    <row r="326" spans="1:8">
      <c r="A326" s="502"/>
      <c r="B326" s="502"/>
      <c r="C326" s="502"/>
      <c r="D326" s="502"/>
      <c r="E326" s="502"/>
      <c r="F326" s="502"/>
      <c r="G326" s="14"/>
      <c r="H326" s="14"/>
    </row>
    <row r="327" spans="1:8">
      <c r="A327" s="502"/>
      <c r="B327" s="502"/>
      <c r="C327" s="502"/>
      <c r="D327" s="502"/>
      <c r="E327" s="502"/>
      <c r="F327" s="502"/>
      <c r="G327" s="14"/>
      <c r="H327" s="14"/>
    </row>
    <row r="328" spans="1:8" ht="25.5">
      <c r="A328" s="502" t="s">
        <v>1840</v>
      </c>
      <c r="B328" s="504" t="s">
        <v>1841</v>
      </c>
      <c r="C328" s="502" t="s">
        <v>60</v>
      </c>
      <c r="D328" s="502">
        <v>65</v>
      </c>
      <c r="E328" s="502" t="s">
        <v>61</v>
      </c>
      <c r="F328" s="502" t="s">
        <v>2035</v>
      </c>
      <c r="G328" s="14"/>
      <c r="H328" s="14"/>
    </row>
    <row r="329" spans="1:8">
      <c r="A329" s="503">
        <v>10163</v>
      </c>
      <c r="B329" s="502" t="s">
        <v>2036</v>
      </c>
      <c r="C329" s="502" t="s">
        <v>1223</v>
      </c>
      <c r="D329" s="502"/>
      <c r="E329" s="503">
        <v>51</v>
      </c>
      <c r="F329" s="503" t="s">
        <v>2037</v>
      </c>
      <c r="G329" s="14"/>
      <c r="H329" s="14"/>
    </row>
    <row r="330" spans="1:8">
      <c r="A330" s="502"/>
      <c r="B330" s="502"/>
      <c r="C330" s="502"/>
      <c r="D330" s="502"/>
      <c r="E330" s="502"/>
      <c r="F330" s="502"/>
      <c r="G330" s="14"/>
      <c r="H330" s="14"/>
    </row>
    <row r="331" spans="1:8">
      <c r="A331" s="502"/>
      <c r="B331" s="502"/>
      <c r="C331" s="502"/>
      <c r="D331" s="502"/>
      <c r="E331" s="502"/>
      <c r="F331" s="502"/>
      <c r="G331" s="14"/>
      <c r="H331" s="14"/>
    </row>
    <row r="332" spans="1:8">
      <c r="A332" s="502"/>
      <c r="B332" s="502"/>
      <c r="C332" s="502"/>
      <c r="D332" s="502"/>
      <c r="E332" s="502"/>
      <c r="F332" s="502"/>
      <c r="G332" s="14"/>
      <c r="H332" s="14"/>
    </row>
    <row r="333" spans="1:8" ht="25.5">
      <c r="A333" s="502" t="s">
        <v>1840</v>
      </c>
      <c r="B333" s="504" t="s">
        <v>1841</v>
      </c>
      <c r="C333" s="502" t="s">
        <v>60</v>
      </c>
      <c r="D333" s="502">
        <v>66</v>
      </c>
      <c r="E333" s="502" t="s">
        <v>61</v>
      </c>
      <c r="F333" s="502" t="s">
        <v>2038</v>
      </c>
      <c r="G333" s="14"/>
      <c r="H333" s="14"/>
    </row>
    <row r="334" spans="1:8">
      <c r="A334" s="503">
        <v>11009</v>
      </c>
      <c r="B334" s="502" t="s">
        <v>2039</v>
      </c>
      <c r="C334" s="502" t="s">
        <v>1055</v>
      </c>
      <c r="D334" s="502"/>
      <c r="E334" s="503">
        <v>53</v>
      </c>
      <c r="F334" s="503" t="s">
        <v>2040</v>
      </c>
      <c r="G334" s="14"/>
      <c r="H334" s="14"/>
    </row>
    <row r="335" spans="1:8">
      <c r="A335" s="502"/>
      <c r="B335" s="502"/>
      <c r="C335" s="502"/>
      <c r="D335" s="502"/>
      <c r="E335" s="502"/>
      <c r="F335" s="502"/>
      <c r="G335" s="14"/>
      <c r="H335" s="14"/>
    </row>
    <row r="336" spans="1:8">
      <c r="A336" s="502"/>
      <c r="B336" s="502"/>
      <c r="C336" s="502"/>
      <c r="D336" s="502"/>
      <c r="E336" s="502"/>
      <c r="F336" s="502"/>
      <c r="G336" s="14"/>
      <c r="H336" s="14"/>
    </row>
    <row r="337" spans="1:8">
      <c r="A337" s="502"/>
      <c r="B337" s="502"/>
      <c r="C337" s="502"/>
      <c r="D337" s="502"/>
      <c r="E337" s="502"/>
      <c r="F337" s="502"/>
      <c r="G337" s="14"/>
      <c r="H337" s="14"/>
    </row>
    <row r="338" spans="1:8" ht="25.5">
      <c r="A338" s="502" t="s">
        <v>1840</v>
      </c>
      <c r="B338" s="504" t="s">
        <v>1841</v>
      </c>
      <c r="C338" s="502" t="s">
        <v>60</v>
      </c>
      <c r="D338" s="502">
        <v>67</v>
      </c>
      <c r="E338" s="502" t="s">
        <v>61</v>
      </c>
      <c r="F338" s="502" t="s">
        <v>2041</v>
      </c>
      <c r="G338" s="14"/>
      <c r="H338" s="14"/>
    </row>
    <row r="339" spans="1:8">
      <c r="A339" s="503">
        <v>15068</v>
      </c>
      <c r="B339" s="502" t="s">
        <v>2042</v>
      </c>
      <c r="C339" s="502" t="s">
        <v>1066</v>
      </c>
      <c r="D339" s="502"/>
      <c r="E339" s="503">
        <v>110</v>
      </c>
      <c r="F339" s="503" t="s">
        <v>2043</v>
      </c>
      <c r="G339" s="14"/>
      <c r="H339" s="14"/>
    </row>
    <row r="340" spans="1:8">
      <c r="A340" s="502"/>
      <c r="B340" s="502"/>
      <c r="C340" s="502"/>
      <c r="D340" s="502"/>
      <c r="E340" s="502"/>
      <c r="F340" s="502"/>
      <c r="G340" s="14"/>
      <c r="H340" s="14"/>
    </row>
    <row r="341" spans="1:8">
      <c r="A341" s="502"/>
      <c r="B341" s="502"/>
      <c r="C341" s="502"/>
      <c r="D341" s="502"/>
      <c r="E341" s="502"/>
      <c r="F341" s="502"/>
      <c r="G341" s="14"/>
      <c r="H341" s="14"/>
    </row>
    <row r="342" spans="1:8">
      <c r="A342" s="502"/>
      <c r="B342" s="502"/>
      <c r="C342" s="502"/>
      <c r="D342" s="502"/>
      <c r="E342" s="502"/>
      <c r="F342" s="502"/>
      <c r="G342" s="14"/>
      <c r="H342" s="14"/>
    </row>
    <row r="343" spans="1:8" ht="25.5">
      <c r="A343" s="502" t="s">
        <v>1840</v>
      </c>
      <c r="B343" s="504" t="s">
        <v>1841</v>
      </c>
      <c r="C343" s="502" t="s">
        <v>60</v>
      </c>
      <c r="D343" s="502">
        <v>68</v>
      </c>
      <c r="E343" s="502" t="s">
        <v>61</v>
      </c>
      <c r="F343" s="502" t="s">
        <v>2044</v>
      </c>
      <c r="G343" s="14"/>
      <c r="H343" s="14"/>
    </row>
    <row r="344" spans="1:8">
      <c r="A344" s="503">
        <v>13007</v>
      </c>
      <c r="B344" s="502" t="s">
        <v>2045</v>
      </c>
      <c r="C344" s="502" t="s">
        <v>1046</v>
      </c>
      <c r="D344" s="502"/>
      <c r="E344" s="503">
        <v>90</v>
      </c>
      <c r="F344" s="503" t="s">
        <v>2046</v>
      </c>
      <c r="G344" s="14"/>
      <c r="H344" s="14"/>
    </row>
    <row r="345" spans="1:8">
      <c r="A345" s="502"/>
      <c r="B345" s="502"/>
      <c r="C345" s="502"/>
      <c r="D345" s="502"/>
      <c r="E345" s="502"/>
      <c r="F345" s="502"/>
      <c r="G345" s="14"/>
      <c r="H345" s="14"/>
    </row>
    <row r="346" spans="1:8">
      <c r="A346" s="502"/>
      <c r="B346" s="502"/>
      <c r="C346" s="502"/>
      <c r="D346" s="502"/>
      <c r="E346" s="502"/>
      <c r="F346" s="502"/>
      <c r="G346" s="14"/>
      <c r="H346" s="14"/>
    </row>
    <row r="347" spans="1:8">
      <c r="A347" s="502"/>
      <c r="B347" s="502"/>
      <c r="C347" s="502"/>
      <c r="D347" s="502"/>
      <c r="E347" s="502"/>
      <c r="F347" s="502"/>
      <c r="G347" s="14"/>
      <c r="H347" s="14"/>
    </row>
    <row r="348" spans="1:8" ht="25.5">
      <c r="A348" s="502" t="s">
        <v>1840</v>
      </c>
      <c r="B348" s="504" t="s">
        <v>1841</v>
      </c>
      <c r="C348" s="502" t="s">
        <v>60</v>
      </c>
      <c r="D348" s="502">
        <v>69</v>
      </c>
      <c r="E348" s="502" t="s">
        <v>61</v>
      </c>
      <c r="F348" s="502" t="s">
        <v>2047</v>
      </c>
      <c r="G348" s="14"/>
      <c r="H348" s="14"/>
    </row>
    <row r="349" spans="1:8">
      <c r="A349" s="503">
        <v>17086</v>
      </c>
      <c r="B349" s="502" t="s">
        <v>2048</v>
      </c>
      <c r="C349" s="502" t="s">
        <v>2024</v>
      </c>
      <c r="D349" s="502"/>
      <c r="E349" s="503">
        <v>119</v>
      </c>
      <c r="F349" s="503" t="s">
        <v>2049</v>
      </c>
      <c r="G349" s="14"/>
      <c r="H349" s="14"/>
    </row>
    <row r="350" spans="1:8">
      <c r="A350" s="502"/>
      <c r="B350" s="502"/>
      <c r="C350" s="502"/>
      <c r="D350" s="502"/>
      <c r="E350" s="502"/>
      <c r="F350" s="502"/>
      <c r="G350" s="14"/>
      <c r="H350" s="14"/>
    </row>
    <row r="351" spans="1:8">
      <c r="A351" s="502"/>
      <c r="B351" s="502"/>
      <c r="C351" s="502"/>
      <c r="D351" s="502"/>
      <c r="E351" s="502"/>
      <c r="F351" s="502"/>
      <c r="G351" s="14"/>
      <c r="H351" s="14"/>
    </row>
    <row r="352" spans="1:8">
      <c r="A352" s="502"/>
      <c r="B352" s="502"/>
      <c r="C352" s="502"/>
      <c r="D352" s="502"/>
      <c r="E352" s="502"/>
      <c r="F352" s="502"/>
      <c r="G352" s="14"/>
      <c r="H352" s="14"/>
    </row>
    <row r="353" spans="1:8" ht="25.5">
      <c r="A353" s="502" t="s">
        <v>1840</v>
      </c>
      <c r="B353" s="504" t="s">
        <v>1841</v>
      </c>
      <c r="C353" s="502" t="s">
        <v>60</v>
      </c>
      <c r="D353" s="502">
        <v>70</v>
      </c>
      <c r="E353" s="502" t="s">
        <v>61</v>
      </c>
      <c r="F353" s="502" t="s">
        <v>2050</v>
      </c>
      <c r="G353" s="14"/>
      <c r="H353" s="14"/>
    </row>
    <row r="354" spans="1:8">
      <c r="A354" s="503">
        <v>18136</v>
      </c>
      <c r="B354" s="502" t="s">
        <v>2051</v>
      </c>
      <c r="C354" s="502" t="s">
        <v>1188</v>
      </c>
      <c r="D354" s="502"/>
      <c r="E354" s="503">
        <v>121</v>
      </c>
      <c r="F354" s="503" t="s">
        <v>2052</v>
      </c>
      <c r="G354" s="14"/>
      <c r="H354" s="14"/>
    </row>
    <row r="355" spans="1:8">
      <c r="A355" s="502"/>
      <c r="B355" s="502"/>
      <c r="C355" s="502"/>
      <c r="D355" s="502"/>
      <c r="E355" s="502"/>
      <c r="F355" s="502"/>
      <c r="G355" s="14"/>
      <c r="H355" s="14"/>
    </row>
    <row r="356" spans="1:8">
      <c r="A356" s="502"/>
      <c r="B356" s="502"/>
      <c r="C356" s="502"/>
      <c r="D356" s="502"/>
      <c r="E356" s="502"/>
      <c r="F356" s="502"/>
      <c r="G356" s="14"/>
      <c r="H356" s="14"/>
    </row>
    <row r="357" spans="1:8">
      <c r="A357" s="502"/>
      <c r="B357" s="502"/>
      <c r="C357" s="502"/>
      <c r="D357" s="502"/>
      <c r="E357" s="502"/>
      <c r="F357" s="502"/>
      <c r="G357" s="14"/>
      <c r="H357" s="14"/>
    </row>
    <row r="358" spans="1:8" ht="25.5">
      <c r="A358" s="502" t="s">
        <v>1840</v>
      </c>
      <c r="B358" s="504" t="s">
        <v>1841</v>
      </c>
      <c r="C358" s="502" t="s">
        <v>60</v>
      </c>
      <c r="D358" s="502">
        <v>71</v>
      </c>
      <c r="E358" s="502" t="s">
        <v>61</v>
      </c>
      <c r="F358" s="502" t="s">
        <v>2053</v>
      </c>
      <c r="G358" s="14"/>
      <c r="H358" s="14"/>
    </row>
    <row r="359" spans="1:8">
      <c r="A359" s="503">
        <v>18058</v>
      </c>
      <c r="B359" s="502" t="s">
        <v>2054</v>
      </c>
      <c r="C359" s="502" t="s">
        <v>1177</v>
      </c>
      <c r="D359" s="502"/>
      <c r="E359" s="503">
        <v>103</v>
      </c>
      <c r="F359" s="503" t="s">
        <v>2055</v>
      </c>
      <c r="G359" s="14"/>
      <c r="H359" s="14"/>
    </row>
    <row r="360" spans="1:8">
      <c r="A360" s="502"/>
      <c r="B360" s="502"/>
      <c r="C360" s="502"/>
      <c r="D360" s="502"/>
      <c r="E360" s="502"/>
      <c r="F360" s="502"/>
      <c r="G360" s="14"/>
      <c r="H360" s="14"/>
    </row>
    <row r="361" spans="1:8">
      <c r="A361" s="502"/>
      <c r="B361" s="502"/>
      <c r="C361" s="502"/>
      <c r="D361" s="502"/>
      <c r="E361" s="502"/>
      <c r="F361" s="502"/>
      <c r="G361" s="14"/>
      <c r="H361" s="14"/>
    </row>
    <row r="362" spans="1:8">
      <c r="A362" s="502"/>
      <c r="B362" s="502"/>
      <c r="C362" s="502"/>
      <c r="D362" s="502"/>
      <c r="E362" s="502"/>
      <c r="F362" s="502"/>
      <c r="G362" s="14"/>
      <c r="H362" s="14"/>
    </row>
    <row r="363" spans="1:8">
      <c r="A363" s="502" t="s">
        <v>1840</v>
      </c>
      <c r="B363" s="504" t="s">
        <v>1841</v>
      </c>
      <c r="C363" s="502" t="s">
        <v>60</v>
      </c>
      <c r="D363" s="502">
        <v>72</v>
      </c>
      <c r="E363" s="502" t="s">
        <v>61</v>
      </c>
      <c r="F363" s="502" t="s">
        <v>2056</v>
      </c>
      <c r="G363" s="14"/>
      <c r="H363" s="14"/>
    </row>
    <row r="364" spans="1:8">
      <c r="A364" s="503">
        <v>10048</v>
      </c>
      <c r="B364" s="502" t="s">
        <v>2057</v>
      </c>
      <c r="C364" s="502" t="s">
        <v>474</v>
      </c>
      <c r="D364" s="502"/>
      <c r="E364" s="503">
        <v>98</v>
      </c>
      <c r="F364" s="503" t="s">
        <v>2058</v>
      </c>
      <c r="G364" s="14"/>
      <c r="H364" s="14"/>
    </row>
    <row r="365" spans="1:8">
      <c r="A365" s="502"/>
      <c r="B365" s="502"/>
      <c r="C365" s="502"/>
      <c r="D365" s="502"/>
      <c r="E365" s="502"/>
      <c r="F365" s="502"/>
      <c r="G365" s="14"/>
      <c r="H365" s="14"/>
    </row>
    <row r="366" spans="1:8">
      <c r="A366" s="502"/>
      <c r="B366" s="502"/>
      <c r="C366" s="502"/>
      <c r="D366" s="502"/>
      <c r="E366" s="502"/>
      <c r="F366" s="502"/>
      <c r="G366" s="14"/>
      <c r="H366" s="14"/>
    </row>
    <row r="367" spans="1:8">
      <c r="A367" s="502"/>
      <c r="B367" s="502"/>
      <c r="C367" s="502"/>
      <c r="D367" s="502"/>
      <c r="E367" s="502"/>
      <c r="F367" s="502"/>
      <c r="G367" s="14"/>
      <c r="H367" s="14"/>
    </row>
    <row r="368" spans="1:8" ht="25.5">
      <c r="A368" s="502" t="s">
        <v>1840</v>
      </c>
      <c r="B368" s="504" t="s">
        <v>1841</v>
      </c>
      <c r="C368" s="502" t="s">
        <v>60</v>
      </c>
      <c r="D368" s="502">
        <v>73</v>
      </c>
      <c r="E368" s="502" t="s">
        <v>61</v>
      </c>
      <c r="F368" s="502" t="s">
        <v>2059</v>
      </c>
      <c r="G368" s="14"/>
      <c r="H368" s="14"/>
    </row>
    <row r="369" spans="1:8">
      <c r="A369" s="503">
        <v>16109</v>
      </c>
      <c r="B369" s="502" t="s">
        <v>2060</v>
      </c>
      <c r="C369" s="502" t="s">
        <v>542</v>
      </c>
      <c r="D369" s="502"/>
      <c r="E369" s="503">
        <v>94</v>
      </c>
      <c r="F369" s="503" t="s">
        <v>2061</v>
      </c>
      <c r="G369" s="14"/>
      <c r="H369" s="14"/>
    </row>
    <row r="370" spans="1:8">
      <c r="A370" s="502"/>
      <c r="B370" s="502"/>
      <c r="C370" s="502"/>
      <c r="D370" s="502"/>
      <c r="E370" s="502"/>
      <c r="F370" s="502"/>
      <c r="G370" s="14"/>
      <c r="H370" s="14"/>
    </row>
    <row r="371" spans="1:8">
      <c r="A371" s="502"/>
      <c r="B371" s="502"/>
      <c r="C371" s="502"/>
      <c r="D371" s="502"/>
      <c r="E371" s="502"/>
      <c r="F371" s="502"/>
      <c r="G371" s="14"/>
      <c r="H371" s="14"/>
    </row>
    <row r="372" spans="1:8">
      <c r="A372" s="502"/>
      <c r="B372" s="502"/>
      <c r="C372" s="502"/>
      <c r="D372" s="502"/>
      <c r="E372" s="502"/>
      <c r="F372" s="502"/>
      <c r="G372" s="14"/>
      <c r="H372" s="14"/>
    </row>
    <row r="373" spans="1:8" ht="25.5">
      <c r="A373" s="502" t="s">
        <v>1840</v>
      </c>
      <c r="B373" s="504" t="s">
        <v>1841</v>
      </c>
      <c r="C373" s="502" t="s">
        <v>60</v>
      </c>
      <c r="D373" s="502">
        <v>74</v>
      </c>
      <c r="E373" s="502" t="s">
        <v>61</v>
      </c>
      <c r="F373" s="502" t="s">
        <v>2062</v>
      </c>
      <c r="G373" s="14"/>
      <c r="H373" s="14"/>
    </row>
    <row r="374" spans="1:8">
      <c r="A374" s="503">
        <v>25011</v>
      </c>
      <c r="B374" s="502" t="s">
        <v>2063</v>
      </c>
      <c r="C374" s="502" t="s">
        <v>331</v>
      </c>
      <c r="D374" s="502"/>
      <c r="E374" s="503">
        <v>93</v>
      </c>
      <c r="F374" s="503" t="s">
        <v>2064</v>
      </c>
      <c r="G374" s="14"/>
      <c r="H374" s="14"/>
    </row>
    <row r="375" spans="1:8">
      <c r="A375" s="502"/>
      <c r="B375" s="502"/>
      <c r="C375" s="502"/>
      <c r="D375" s="502"/>
      <c r="E375" s="502"/>
      <c r="F375" s="502"/>
      <c r="G375" s="14"/>
      <c r="H375" s="14"/>
    </row>
    <row r="376" spans="1:8">
      <c r="A376" s="502"/>
      <c r="B376" s="502"/>
      <c r="C376" s="502"/>
      <c r="D376" s="502"/>
      <c r="E376" s="502"/>
      <c r="F376" s="502"/>
      <c r="G376" s="14"/>
      <c r="H376" s="14"/>
    </row>
    <row r="377" spans="1:8">
      <c r="A377" s="502"/>
      <c r="B377" s="502"/>
      <c r="C377" s="502"/>
      <c r="D377" s="502"/>
      <c r="E377" s="502"/>
      <c r="F377" s="502"/>
      <c r="G377" s="14"/>
      <c r="H377" s="14"/>
    </row>
    <row r="378" spans="1:8" ht="25.5">
      <c r="A378" s="502" t="s">
        <v>1840</v>
      </c>
      <c r="B378" s="504" t="s">
        <v>1841</v>
      </c>
      <c r="C378" s="502" t="s">
        <v>60</v>
      </c>
      <c r="D378" s="502">
        <v>75</v>
      </c>
      <c r="E378" s="502" t="s">
        <v>61</v>
      </c>
      <c r="F378" s="502" t="s">
        <v>2065</v>
      </c>
      <c r="G378" s="14"/>
      <c r="H378" s="14"/>
    </row>
    <row r="379" spans="1:8">
      <c r="A379" s="503">
        <v>19025</v>
      </c>
      <c r="B379" s="502" t="s">
        <v>2066</v>
      </c>
      <c r="C379" s="502" t="s">
        <v>1179</v>
      </c>
      <c r="D379" s="502"/>
      <c r="E379" s="503">
        <v>108</v>
      </c>
      <c r="F379" s="503" t="s">
        <v>2067</v>
      </c>
      <c r="G379" s="14"/>
      <c r="H379" s="14"/>
    </row>
    <row r="380" spans="1:8">
      <c r="A380" s="502"/>
      <c r="B380" s="502"/>
      <c r="C380" s="502"/>
      <c r="D380" s="502"/>
      <c r="E380" s="502"/>
      <c r="F380" s="502"/>
      <c r="G380" s="14"/>
      <c r="H380" s="14"/>
    </row>
    <row r="381" spans="1:8">
      <c r="A381" s="502"/>
      <c r="B381" s="502"/>
      <c r="C381" s="502"/>
      <c r="D381" s="502"/>
      <c r="E381" s="502"/>
      <c r="F381" s="502"/>
      <c r="G381" s="14"/>
      <c r="H381" s="14"/>
    </row>
    <row r="382" spans="1:8">
      <c r="A382" s="502"/>
      <c r="B382" s="502"/>
      <c r="C382" s="502"/>
      <c r="D382" s="502"/>
      <c r="E382" s="502"/>
      <c r="F382" s="502"/>
      <c r="G382" s="14"/>
      <c r="H382" s="14"/>
    </row>
    <row r="383" spans="1:8" ht="25.5">
      <c r="A383" s="502" t="s">
        <v>1840</v>
      </c>
      <c r="B383" s="504" t="s">
        <v>1841</v>
      </c>
      <c r="C383" s="502" t="s">
        <v>60</v>
      </c>
      <c r="D383" s="502">
        <v>76</v>
      </c>
      <c r="E383" s="502" t="s">
        <v>61</v>
      </c>
      <c r="F383" s="502" t="s">
        <v>2068</v>
      </c>
      <c r="G383" s="14"/>
      <c r="H383" s="14"/>
    </row>
    <row r="384" spans="1:8">
      <c r="A384" s="503">
        <v>28051</v>
      </c>
      <c r="B384" s="502" t="s">
        <v>2069</v>
      </c>
      <c r="C384" s="502" t="s">
        <v>200</v>
      </c>
      <c r="D384" s="502"/>
      <c r="E384" s="503">
        <v>174</v>
      </c>
      <c r="F384" s="503" t="s">
        <v>2070</v>
      </c>
      <c r="G384" s="14"/>
      <c r="H384" s="14"/>
    </row>
    <row r="385" spans="1:8">
      <c r="A385" s="502"/>
      <c r="B385" s="502"/>
      <c r="C385" s="502"/>
      <c r="D385" s="502"/>
      <c r="E385" s="502"/>
      <c r="F385" s="502"/>
      <c r="G385" s="14"/>
      <c r="H385" s="14"/>
    </row>
    <row r="386" spans="1:8">
      <c r="A386" s="502"/>
      <c r="B386" s="502"/>
      <c r="C386" s="502"/>
      <c r="D386" s="502"/>
      <c r="E386" s="502"/>
      <c r="F386" s="502"/>
      <c r="G386" s="14"/>
      <c r="H386" s="14"/>
    </row>
    <row r="387" spans="1:8">
      <c r="A387" s="502"/>
      <c r="B387" s="502"/>
      <c r="C387" s="502"/>
      <c r="D387" s="502"/>
      <c r="E387" s="502"/>
      <c r="F387" s="502"/>
      <c r="G387" s="14"/>
      <c r="H387" s="14"/>
    </row>
    <row r="388" spans="1:8">
      <c r="A388" s="502" t="s">
        <v>1840</v>
      </c>
      <c r="B388" s="504" t="s">
        <v>1841</v>
      </c>
      <c r="C388" s="502" t="s">
        <v>60</v>
      </c>
      <c r="D388" s="502">
        <v>77</v>
      </c>
      <c r="E388" s="502" t="s">
        <v>61</v>
      </c>
      <c r="F388" s="502" t="s">
        <v>2071</v>
      </c>
      <c r="G388" s="14"/>
      <c r="H388" s="14"/>
    </row>
    <row r="389" spans="1:8">
      <c r="A389" s="503">
        <v>96217</v>
      </c>
      <c r="B389" s="502" t="s">
        <v>2072</v>
      </c>
      <c r="C389" s="502" t="s">
        <v>487</v>
      </c>
      <c r="D389" s="502"/>
      <c r="E389" s="503">
        <v>106</v>
      </c>
      <c r="F389" s="503" t="s">
        <v>2073</v>
      </c>
      <c r="G389" s="14"/>
      <c r="H389" s="14"/>
    </row>
    <row r="390" spans="1:8">
      <c r="A390" s="502"/>
      <c r="B390" s="502"/>
      <c r="C390" s="502"/>
      <c r="D390" s="502"/>
      <c r="E390" s="502"/>
      <c r="F390" s="502"/>
      <c r="G390" s="14"/>
      <c r="H390" s="14"/>
    </row>
    <row r="391" spans="1:8">
      <c r="A391" s="502"/>
      <c r="B391" s="502"/>
      <c r="C391" s="502"/>
      <c r="D391" s="502"/>
      <c r="E391" s="502"/>
      <c r="F391" s="502"/>
      <c r="G391" s="14"/>
      <c r="H391" s="14"/>
    </row>
    <row r="392" spans="1:8">
      <c r="A392" s="502"/>
      <c r="B392" s="502"/>
      <c r="C392" s="502"/>
      <c r="D392" s="502"/>
      <c r="E392" s="502"/>
      <c r="F392" s="502"/>
      <c r="G392" s="14"/>
      <c r="H392" s="14"/>
    </row>
    <row r="393" spans="1:8" ht="25.5">
      <c r="A393" s="502" t="s">
        <v>1840</v>
      </c>
      <c r="B393" s="504" t="s">
        <v>1841</v>
      </c>
      <c r="C393" s="502" t="s">
        <v>60</v>
      </c>
      <c r="D393" s="502">
        <v>78</v>
      </c>
      <c r="E393" s="502" t="s">
        <v>61</v>
      </c>
      <c r="F393" s="502" t="s">
        <v>2074</v>
      </c>
      <c r="G393" s="14"/>
      <c r="H393" s="14"/>
    </row>
    <row r="394" spans="1:8">
      <c r="A394" s="503">
        <v>12047</v>
      </c>
      <c r="B394" s="502" t="s">
        <v>2075</v>
      </c>
      <c r="C394" s="502" t="s">
        <v>1377</v>
      </c>
      <c r="D394" s="502"/>
      <c r="E394" s="503">
        <v>147</v>
      </c>
      <c r="F394" s="503" t="s">
        <v>2076</v>
      </c>
      <c r="G394" s="14"/>
      <c r="H394" s="14"/>
    </row>
    <row r="395" spans="1:8">
      <c r="A395" s="502"/>
      <c r="B395" s="502"/>
      <c r="C395" s="502"/>
      <c r="D395" s="502"/>
      <c r="E395" s="502"/>
      <c r="F395" s="502"/>
      <c r="G395" s="14"/>
      <c r="H395" s="14"/>
    </row>
    <row r="396" spans="1:8">
      <c r="A396" s="502"/>
      <c r="B396" s="502"/>
      <c r="C396" s="502"/>
      <c r="D396" s="502"/>
      <c r="E396" s="502"/>
      <c r="F396" s="502"/>
      <c r="G396" s="14"/>
      <c r="H396" s="14"/>
    </row>
    <row r="397" spans="1:8">
      <c r="A397" s="502"/>
      <c r="B397" s="502"/>
      <c r="C397" s="502"/>
      <c r="D397" s="502"/>
      <c r="E397" s="502"/>
      <c r="F397" s="502"/>
      <c r="G397" s="14"/>
      <c r="H397" s="14"/>
    </row>
    <row r="398" spans="1:8" ht="25.5">
      <c r="A398" s="502" t="s">
        <v>1840</v>
      </c>
      <c r="B398" s="504" t="s">
        <v>1841</v>
      </c>
      <c r="C398" s="502" t="s">
        <v>60</v>
      </c>
      <c r="D398" s="502">
        <v>79</v>
      </c>
      <c r="E398" s="502" t="s">
        <v>61</v>
      </c>
      <c r="F398" s="502" t="s">
        <v>2077</v>
      </c>
      <c r="G398" s="14"/>
      <c r="H398" s="14"/>
    </row>
    <row r="399" spans="1:8">
      <c r="A399" s="503">
        <v>12010</v>
      </c>
      <c r="B399" s="502" t="s">
        <v>2078</v>
      </c>
      <c r="C399" s="502" t="s">
        <v>1617</v>
      </c>
      <c r="D399" s="502"/>
      <c r="E399" s="503">
        <v>135</v>
      </c>
      <c r="F399" s="503" t="s">
        <v>2079</v>
      </c>
      <c r="G399" s="14"/>
      <c r="H399" s="14"/>
    </row>
    <row r="400" spans="1:8">
      <c r="A400" s="502"/>
      <c r="B400" s="502"/>
      <c r="C400" s="502"/>
      <c r="D400" s="502"/>
      <c r="E400" s="502"/>
      <c r="F400" s="502"/>
      <c r="G400" s="14"/>
      <c r="H400" s="14"/>
    </row>
    <row r="401" spans="1:8">
      <c r="A401" s="502"/>
      <c r="B401" s="502"/>
      <c r="C401" s="502"/>
      <c r="D401" s="502"/>
      <c r="E401" s="502"/>
      <c r="F401" s="502"/>
      <c r="G401" s="14"/>
      <c r="H401" s="14"/>
    </row>
    <row r="402" spans="1:8">
      <c r="A402" s="502"/>
      <c r="B402" s="502"/>
      <c r="C402" s="502"/>
      <c r="D402" s="502"/>
      <c r="E402" s="502"/>
      <c r="F402" s="502"/>
      <c r="G402" s="14"/>
      <c r="H402" s="14"/>
    </row>
    <row r="403" spans="1:8" ht="25.5">
      <c r="A403" s="502" t="s">
        <v>1840</v>
      </c>
      <c r="B403" s="504" t="s">
        <v>1841</v>
      </c>
      <c r="C403" s="502" t="s">
        <v>60</v>
      </c>
      <c r="D403" s="502">
        <v>81</v>
      </c>
      <c r="E403" s="502" t="s">
        <v>61</v>
      </c>
      <c r="F403" s="502" t="s">
        <v>2080</v>
      </c>
      <c r="G403" s="14"/>
      <c r="H403" s="14"/>
    </row>
    <row r="404" spans="1:8">
      <c r="A404" s="503">
        <v>17090</v>
      </c>
      <c r="B404" s="502" t="s">
        <v>2081</v>
      </c>
      <c r="C404" s="502" t="s">
        <v>1583</v>
      </c>
      <c r="D404" s="502"/>
      <c r="E404" s="503">
        <v>123</v>
      </c>
      <c r="F404" s="503" t="s">
        <v>2082</v>
      </c>
      <c r="G404" s="14"/>
      <c r="H404" s="14"/>
    </row>
    <row r="405" spans="1:8">
      <c r="A405" s="502"/>
      <c r="B405" s="502"/>
      <c r="C405" s="502"/>
      <c r="D405" s="502"/>
      <c r="E405" s="502"/>
      <c r="F405" s="502"/>
      <c r="G405" s="14"/>
      <c r="H405" s="14"/>
    </row>
    <row r="406" spans="1:8">
      <c r="A406" s="502"/>
      <c r="B406" s="502"/>
      <c r="C406" s="502"/>
      <c r="D406" s="502"/>
      <c r="E406" s="502"/>
      <c r="F406" s="502"/>
      <c r="G406" s="14"/>
      <c r="H406" s="14"/>
    </row>
    <row r="407" spans="1:8">
      <c r="A407" s="502"/>
      <c r="B407" s="502"/>
      <c r="C407" s="502"/>
      <c r="D407" s="502"/>
      <c r="E407" s="502"/>
      <c r="F407" s="502"/>
      <c r="G407" s="14"/>
      <c r="H407" s="14"/>
    </row>
    <row r="408" spans="1:8" ht="25.5">
      <c r="A408" s="502" t="s">
        <v>1840</v>
      </c>
      <c r="B408" s="504" t="s">
        <v>1841</v>
      </c>
      <c r="C408" s="502" t="s">
        <v>60</v>
      </c>
      <c r="D408" s="502">
        <v>80</v>
      </c>
      <c r="E408" s="502" t="s">
        <v>61</v>
      </c>
      <c r="F408" s="502" t="s">
        <v>2080</v>
      </c>
      <c r="G408" s="14"/>
      <c r="H408" s="14"/>
    </row>
    <row r="409" spans="1:8">
      <c r="A409" s="503">
        <v>18130</v>
      </c>
      <c r="B409" s="502" t="s">
        <v>2083</v>
      </c>
      <c r="C409" s="502" t="s">
        <v>1583</v>
      </c>
      <c r="D409" s="502"/>
      <c r="E409" s="503">
        <v>124</v>
      </c>
      <c r="F409" s="503" t="s">
        <v>2082</v>
      </c>
      <c r="G409" s="14"/>
      <c r="H409" s="14"/>
    </row>
    <row r="410" spans="1:8">
      <c r="A410" s="502"/>
      <c r="B410" s="502"/>
      <c r="C410" s="502"/>
      <c r="D410" s="502"/>
      <c r="E410" s="502"/>
      <c r="F410" s="502"/>
      <c r="G410" s="14"/>
      <c r="H410" s="14"/>
    </row>
    <row r="411" spans="1:8">
      <c r="A411" s="502"/>
      <c r="B411" s="502"/>
      <c r="C411" s="502"/>
      <c r="D411" s="502"/>
      <c r="E411" s="502"/>
      <c r="F411" s="502"/>
      <c r="G411" s="14"/>
      <c r="H411" s="14"/>
    </row>
    <row r="412" spans="1:8">
      <c r="A412" s="502"/>
      <c r="B412" s="502"/>
      <c r="C412" s="502"/>
      <c r="D412" s="502"/>
      <c r="E412" s="502"/>
      <c r="F412" s="502"/>
      <c r="G412" s="14"/>
      <c r="H412" s="14"/>
    </row>
    <row r="413" spans="1:8" ht="25.5">
      <c r="A413" s="502" t="s">
        <v>1840</v>
      </c>
      <c r="B413" s="504" t="s">
        <v>1841</v>
      </c>
      <c r="C413" s="502" t="s">
        <v>60</v>
      </c>
      <c r="D413" s="502">
        <v>82</v>
      </c>
      <c r="E413" s="502" t="s">
        <v>61</v>
      </c>
      <c r="F413" s="502" t="s">
        <v>2084</v>
      </c>
      <c r="G413" s="14"/>
      <c r="H413" s="14"/>
    </row>
    <row r="414" spans="1:8">
      <c r="A414" s="503">
        <v>16029</v>
      </c>
      <c r="B414" s="502" t="s">
        <v>2085</v>
      </c>
      <c r="C414" s="502" t="s">
        <v>1179</v>
      </c>
      <c r="D414" s="502"/>
      <c r="E414" s="503">
        <v>111</v>
      </c>
      <c r="F414" s="503" t="s">
        <v>2086</v>
      </c>
      <c r="G414" s="14"/>
      <c r="H414" s="14"/>
    </row>
    <row r="415" spans="1:8">
      <c r="A415" s="502"/>
      <c r="B415" s="502"/>
      <c r="C415" s="502"/>
      <c r="D415" s="502"/>
      <c r="E415" s="502"/>
      <c r="F415" s="502"/>
      <c r="G415" s="14"/>
      <c r="H415" s="14"/>
    </row>
    <row r="416" spans="1:8">
      <c r="A416" s="502"/>
      <c r="B416" s="502"/>
      <c r="C416" s="502"/>
      <c r="D416" s="502"/>
      <c r="E416" s="502"/>
      <c r="F416" s="502"/>
      <c r="G416" s="14"/>
      <c r="H416" s="14"/>
    </row>
    <row r="417" spans="1:8">
      <c r="A417" s="502"/>
      <c r="B417" s="502"/>
      <c r="C417" s="502"/>
      <c r="D417" s="502"/>
      <c r="E417" s="502"/>
      <c r="F417" s="502"/>
      <c r="G417" s="14"/>
      <c r="H417" s="14"/>
    </row>
    <row r="418" spans="1:8">
      <c r="A418" s="502" t="s">
        <v>1840</v>
      </c>
      <c r="B418" s="504" t="s">
        <v>1841</v>
      </c>
      <c r="C418" s="502" t="s">
        <v>60</v>
      </c>
      <c r="D418" s="502">
        <v>83</v>
      </c>
      <c r="E418" s="502" t="s">
        <v>61</v>
      </c>
      <c r="F418" s="502" t="s">
        <v>2087</v>
      </c>
      <c r="G418" s="14"/>
      <c r="H418" s="14"/>
    </row>
    <row r="419" spans="1:8">
      <c r="A419" s="503">
        <v>15060</v>
      </c>
      <c r="B419" s="502" t="s">
        <v>2088</v>
      </c>
      <c r="C419" s="502" t="s">
        <v>1583</v>
      </c>
      <c r="D419" s="502"/>
      <c r="E419" s="503">
        <v>127</v>
      </c>
      <c r="F419" s="503" t="s">
        <v>2089</v>
      </c>
      <c r="G419" s="14"/>
      <c r="H419" s="14"/>
    </row>
    <row r="420" spans="1:8">
      <c r="A420" s="502"/>
      <c r="B420" s="502"/>
      <c r="C420" s="502"/>
      <c r="D420" s="502"/>
      <c r="E420" s="502"/>
      <c r="F420" s="502"/>
      <c r="G420" s="14"/>
      <c r="H420" s="14"/>
    </row>
    <row r="421" spans="1:8">
      <c r="A421" s="502"/>
      <c r="B421" s="502"/>
      <c r="C421" s="502"/>
      <c r="D421" s="502"/>
      <c r="E421" s="502"/>
      <c r="F421" s="502"/>
      <c r="G421" s="14"/>
      <c r="H421" s="14"/>
    </row>
    <row r="422" spans="1:8">
      <c r="A422" s="502"/>
      <c r="B422" s="502"/>
      <c r="C422" s="502"/>
      <c r="D422" s="502"/>
      <c r="E422" s="502"/>
      <c r="F422" s="502"/>
      <c r="G422" s="14"/>
      <c r="H422" s="14"/>
    </row>
    <row r="423" spans="1:8" ht="25.5">
      <c r="A423" s="502" t="s">
        <v>1840</v>
      </c>
      <c r="B423" s="504" t="s">
        <v>1841</v>
      </c>
      <c r="C423" s="502" t="s">
        <v>60</v>
      </c>
      <c r="D423" s="502">
        <v>84</v>
      </c>
      <c r="E423" s="502" t="s">
        <v>61</v>
      </c>
      <c r="F423" s="502" t="s">
        <v>2090</v>
      </c>
      <c r="G423" s="14"/>
      <c r="H423" s="14"/>
    </row>
    <row r="424" spans="1:8">
      <c r="A424" s="503">
        <v>10011</v>
      </c>
      <c r="B424" s="502" t="s">
        <v>2091</v>
      </c>
      <c r="C424" s="502" t="s">
        <v>2092</v>
      </c>
      <c r="D424" s="502"/>
      <c r="E424" s="503">
        <v>156</v>
      </c>
      <c r="F424" s="503" t="s">
        <v>2093</v>
      </c>
      <c r="G424" s="14"/>
      <c r="H424" s="14"/>
    </row>
    <row r="425" spans="1:8">
      <c r="A425" s="502"/>
      <c r="B425" s="502"/>
      <c r="C425" s="502"/>
      <c r="D425" s="502"/>
      <c r="E425" s="502"/>
      <c r="F425" s="502"/>
      <c r="G425" s="14"/>
      <c r="H425" s="14"/>
    </row>
    <row r="426" spans="1:8">
      <c r="A426" s="502"/>
      <c r="B426" s="502"/>
      <c r="C426" s="502"/>
      <c r="D426" s="502"/>
      <c r="E426" s="502"/>
      <c r="F426" s="502"/>
      <c r="G426" s="14"/>
      <c r="H426" s="14"/>
    </row>
    <row r="427" spans="1:8">
      <c r="A427" s="502"/>
      <c r="B427" s="502"/>
      <c r="C427" s="502"/>
      <c r="D427" s="502"/>
      <c r="E427" s="502"/>
      <c r="F427" s="502"/>
      <c r="G427" s="14"/>
      <c r="H427" s="14"/>
    </row>
    <row r="428" spans="1:8" ht="25.5">
      <c r="A428" s="502" t="s">
        <v>1840</v>
      </c>
      <c r="B428" s="504" t="s">
        <v>1841</v>
      </c>
      <c r="C428" s="502" t="s">
        <v>60</v>
      </c>
      <c r="D428" s="502">
        <v>85</v>
      </c>
      <c r="E428" s="502" t="s">
        <v>61</v>
      </c>
      <c r="F428" s="502" t="s">
        <v>2094</v>
      </c>
      <c r="G428" s="14"/>
      <c r="H428" s="14"/>
    </row>
    <row r="429" spans="1:8">
      <c r="A429" s="503">
        <v>16120</v>
      </c>
      <c r="B429" s="502" t="s">
        <v>2095</v>
      </c>
      <c r="C429" s="502" t="s">
        <v>1179</v>
      </c>
      <c r="D429" s="502"/>
      <c r="E429" s="503">
        <v>142</v>
      </c>
      <c r="F429" s="503" t="s">
        <v>2096</v>
      </c>
      <c r="G429" s="14"/>
      <c r="H429" s="14"/>
    </row>
    <row r="430" spans="1:8">
      <c r="A430" s="502"/>
      <c r="B430" s="502"/>
      <c r="C430" s="502"/>
      <c r="D430" s="502"/>
      <c r="E430" s="502"/>
      <c r="F430" s="502"/>
      <c r="G430" s="14"/>
      <c r="H430" s="14"/>
    </row>
    <row r="431" spans="1:8">
      <c r="A431" s="502"/>
      <c r="B431" s="502"/>
      <c r="C431" s="502"/>
      <c r="D431" s="502"/>
      <c r="E431" s="502"/>
      <c r="F431" s="502"/>
      <c r="G431" s="14"/>
      <c r="H431" s="14"/>
    </row>
    <row r="432" spans="1:8">
      <c r="A432" s="502"/>
      <c r="B432" s="502"/>
      <c r="C432" s="502"/>
      <c r="D432" s="502"/>
      <c r="E432" s="502"/>
      <c r="F432" s="502"/>
      <c r="G432" s="14"/>
      <c r="H432" s="14"/>
    </row>
    <row r="433" spans="1:8" ht="25.5">
      <c r="A433" s="502" t="s">
        <v>1840</v>
      </c>
      <c r="B433" s="504" t="s">
        <v>1841</v>
      </c>
      <c r="C433" s="502" t="s">
        <v>60</v>
      </c>
      <c r="D433" s="502">
        <v>86</v>
      </c>
      <c r="E433" s="502" t="s">
        <v>61</v>
      </c>
      <c r="F433" s="502" t="s">
        <v>2097</v>
      </c>
      <c r="G433" s="14"/>
      <c r="H433" s="14"/>
    </row>
    <row r="434" spans="1:8">
      <c r="A434" s="503">
        <v>10012</v>
      </c>
      <c r="B434" s="502" t="s">
        <v>2098</v>
      </c>
      <c r="C434" s="502" t="s">
        <v>2092</v>
      </c>
      <c r="D434" s="502"/>
      <c r="E434" s="503">
        <v>158</v>
      </c>
      <c r="F434" s="503" t="s">
        <v>2099</v>
      </c>
      <c r="G434" s="14"/>
      <c r="H434" s="14"/>
    </row>
    <row r="435" spans="1:8">
      <c r="A435" s="502"/>
      <c r="B435" s="502"/>
      <c r="C435" s="502"/>
      <c r="D435" s="502"/>
      <c r="E435" s="502"/>
      <c r="F435" s="502"/>
      <c r="G435" s="14"/>
      <c r="H435" s="14"/>
    </row>
    <row r="436" spans="1:8">
      <c r="A436" s="502"/>
      <c r="B436" s="502"/>
      <c r="C436" s="502"/>
      <c r="D436" s="502"/>
      <c r="E436" s="502"/>
      <c r="F436" s="502"/>
      <c r="G436" s="14"/>
      <c r="H436" s="14"/>
    </row>
    <row r="437" spans="1:8">
      <c r="A437" s="502"/>
      <c r="B437" s="502"/>
      <c r="C437" s="502"/>
      <c r="D437" s="502"/>
      <c r="E437" s="502"/>
      <c r="F437" s="502"/>
      <c r="G437" s="14"/>
      <c r="H437" s="14"/>
    </row>
    <row r="438" spans="1:8" ht="25.5">
      <c r="A438" s="502" t="s">
        <v>1840</v>
      </c>
      <c r="B438" s="504" t="s">
        <v>1841</v>
      </c>
      <c r="C438" s="502" t="s">
        <v>60</v>
      </c>
      <c r="D438" s="502">
        <v>87</v>
      </c>
      <c r="E438" s="502" t="s">
        <v>61</v>
      </c>
      <c r="F438" s="502" t="s">
        <v>2100</v>
      </c>
      <c r="G438" s="14"/>
      <c r="H438" s="14"/>
    </row>
    <row r="439" spans="1:8">
      <c r="A439" s="503">
        <v>16117</v>
      </c>
      <c r="B439" s="502" t="s">
        <v>2101</v>
      </c>
      <c r="C439" s="502" t="s">
        <v>635</v>
      </c>
      <c r="D439" s="502"/>
      <c r="E439" s="503">
        <v>114</v>
      </c>
      <c r="F439" s="503" t="s">
        <v>2102</v>
      </c>
      <c r="G439" s="14"/>
      <c r="H439" s="14"/>
    </row>
    <row r="440" spans="1:8">
      <c r="A440" s="502"/>
      <c r="B440" s="502"/>
      <c r="C440" s="502"/>
      <c r="D440" s="502"/>
      <c r="E440" s="502"/>
      <c r="F440" s="502"/>
      <c r="G440" s="14"/>
      <c r="H440" s="14"/>
    </row>
    <row r="441" spans="1:8">
      <c r="A441" s="502"/>
      <c r="B441" s="502"/>
      <c r="C441" s="502"/>
      <c r="D441" s="502"/>
      <c r="E441" s="502"/>
      <c r="F441" s="502"/>
      <c r="G441" s="14"/>
      <c r="H441" s="14"/>
    </row>
    <row r="442" spans="1:8">
      <c r="A442" s="502"/>
      <c r="B442" s="502"/>
      <c r="C442" s="502"/>
      <c r="D442" s="502"/>
      <c r="E442" s="502"/>
      <c r="F442" s="502"/>
      <c r="G442" s="14"/>
      <c r="H442" s="14"/>
    </row>
    <row r="443" spans="1:8" ht="25.5">
      <c r="A443" s="502" t="s">
        <v>1840</v>
      </c>
      <c r="B443" s="504" t="s">
        <v>1841</v>
      </c>
      <c r="C443" s="502" t="s">
        <v>60</v>
      </c>
      <c r="D443" s="502">
        <v>88</v>
      </c>
      <c r="E443" s="502" t="s">
        <v>61</v>
      </c>
      <c r="F443" s="502" t="s">
        <v>2103</v>
      </c>
      <c r="G443" s="14"/>
      <c r="H443" s="14"/>
    </row>
    <row r="444" spans="1:8">
      <c r="A444" s="503">
        <v>96162</v>
      </c>
      <c r="B444" s="502" t="s">
        <v>2104</v>
      </c>
      <c r="C444" s="502" t="s">
        <v>173</v>
      </c>
      <c r="D444" s="502"/>
      <c r="E444" s="503">
        <v>224</v>
      </c>
      <c r="F444" s="503" t="s">
        <v>2105</v>
      </c>
      <c r="G444" s="14"/>
      <c r="H444" s="14"/>
    </row>
    <row r="445" spans="1:8">
      <c r="A445" s="502"/>
      <c r="B445" s="502"/>
      <c r="C445" s="502"/>
      <c r="D445" s="502"/>
      <c r="E445" s="502"/>
      <c r="F445" s="502"/>
      <c r="G445" s="14"/>
      <c r="H445" s="14"/>
    </row>
    <row r="446" spans="1:8">
      <c r="A446" s="502"/>
      <c r="B446" s="502"/>
      <c r="C446" s="502"/>
      <c r="D446" s="502"/>
      <c r="E446" s="502"/>
      <c r="F446" s="502"/>
      <c r="G446" s="14"/>
      <c r="H446" s="14"/>
    </row>
    <row r="447" spans="1:8">
      <c r="A447" s="502"/>
      <c r="B447" s="502"/>
      <c r="C447" s="502"/>
      <c r="D447" s="502"/>
      <c r="E447" s="502"/>
      <c r="F447" s="502"/>
      <c r="G447" s="14"/>
      <c r="H447" s="14"/>
    </row>
    <row r="448" spans="1:8">
      <c r="A448" s="502" t="s">
        <v>1840</v>
      </c>
      <c r="B448" s="504" t="s">
        <v>1841</v>
      </c>
      <c r="C448" s="502" t="s">
        <v>60</v>
      </c>
      <c r="D448" s="502">
        <v>89</v>
      </c>
      <c r="E448" s="502" t="s">
        <v>61</v>
      </c>
      <c r="F448" s="502" t="s">
        <v>2106</v>
      </c>
      <c r="G448" s="14"/>
      <c r="H448" s="14"/>
    </row>
    <row r="449" spans="1:8">
      <c r="A449" s="503">
        <v>21836</v>
      </c>
      <c r="B449" s="502" t="s">
        <v>2107</v>
      </c>
      <c r="C449" s="502" t="s">
        <v>472</v>
      </c>
      <c r="D449" s="502"/>
      <c r="E449" s="503">
        <v>112</v>
      </c>
      <c r="F449" s="503" t="s">
        <v>2108</v>
      </c>
      <c r="G449" s="14"/>
      <c r="H449" s="14"/>
    </row>
    <row r="450" spans="1:8">
      <c r="A450" s="502"/>
      <c r="B450" s="502"/>
      <c r="C450" s="502"/>
      <c r="D450" s="502"/>
      <c r="E450" s="502"/>
      <c r="F450" s="502"/>
      <c r="G450" s="14"/>
      <c r="H450" s="14"/>
    </row>
    <row r="451" spans="1:8">
      <c r="A451" s="502"/>
      <c r="B451" s="502"/>
      <c r="C451" s="502"/>
      <c r="D451" s="502"/>
      <c r="E451" s="502"/>
      <c r="F451" s="502"/>
      <c r="G451" s="14"/>
      <c r="H451" s="14"/>
    </row>
    <row r="452" spans="1:8">
      <c r="A452" s="502"/>
      <c r="B452" s="502"/>
      <c r="C452" s="502"/>
      <c r="D452" s="502"/>
      <c r="E452" s="502"/>
      <c r="F452" s="502"/>
      <c r="G452" s="14"/>
      <c r="H452" s="14"/>
    </row>
    <row r="453" spans="1:8" ht="25.5">
      <c r="A453" s="502" t="s">
        <v>1840</v>
      </c>
      <c r="B453" s="504" t="s">
        <v>1841</v>
      </c>
      <c r="C453" s="502" t="s">
        <v>60</v>
      </c>
      <c r="D453" s="502">
        <v>90</v>
      </c>
      <c r="E453" s="502" t="s">
        <v>61</v>
      </c>
      <c r="F453" s="502" t="s">
        <v>2109</v>
      </c>
      <c r="G453" s="14"/>
      <c r="H453" s="14"/>
    </row>
    <row r="454" spans="1:8">
      <c r="A454" s="503">
        <v>25014</v>
      </c>
      <c r="B454" s="502" t="s">
        <v>2110</v>
      </c>
      <c r="C454" s="502" t="s">
        <v>331</v>
      </c>
      <c r="D454" s="502"/>
      <c r="E454" s="503">
        <v>105</v>
      </c>
      <c r="F454" s="503" t="s">
        <v>2111</v>
      </c>
      <c r="G454" s="14"/>
      <c r="H454" s="14"/>
    </row>
    <row r="455" spans="1:8">
      <c r="A455" s="502"/>
      <c r="B455" s="502"/>
      <c r="C455" s="502"/>
      <c r="D455" s="502"/>
      <c r="E455" s="502"/>
      <c r="F455" s="502"/>
      <c r="G455" s="14"/>
      <c r="H455" s="14"/>
    </row>
    <row r="456" spans="1:8">
      <c r="A456" s="502"/>
      <c r="B456" s="502"/>
      <c r="C456" s="502"/>
      <c r="D456" s="502"/>
      <c r="E456" s="502"/>
      <c r="F456" s="502"/>
      <c r="G456" s="14"/>
      <c r="H456" s="14"/>
    </row>
    <row r="457" spans="1:8">
      <c r="A457" s="502"/>
      <c r="B457" s="502"/>
      <c r="C457" s="502"/>
      <c r="D457" s="502"/>
      <c r="E457" s="502"/>
      <c r="F457" s="502"/>
      <c r="G457" s="14"/>
      <c r="H457" s="14"/>
    </row>
    <row r="458" spans="1:8" ht="25.5">
      <c r="A458" s="502" t="s">
        <v>1840</v>
      </c>
      <c r="B458" s="504" t="s">
        <v>1841</v>
      </c>
      <c r="C458" s="502" t="s">
        <v>60</v>
      </c>
      <c r="D458" s="502">
        <v>91</v>
      </c>
      <c r="E458" s="502" t="s">
        <v>61</v>
      </c>
      <c r="F458" s="502" t="s">
        <v>2112</v>
      </c>
      <c r="G458" s="14"/>
      <c r="H458" s="14"/>
    </row>
    <row r="459" spans="1:8">
      <c r="A459" s="503">
        <v>20504</v>
      </c>
      <c r="B459" s="502" t="s">
        <v>2113</v>
      </c>
      <c r="C459" s="502" t="s">
        <v>198</v>
      </c>
      <c r="D459" s="502"/>
      <c r="E459" s="503">
        <v>144</v>
      </c>
      <c r="F459" s="503" t="s">
        <v>2114</v>
      </c>
      <c r="G459" s="14"/>
      <c r="H459" s="14"/>
    </row>
    <row r="460" spans="1:8">
      <c r="A460" s="502"/>
      <c r="B460" s="502"/>
      <c r="C460" s="502"/>
      <c r="D460" s="502"/>
      <c r="E460" s="502"/>
      <c r="F460" s="502"/>
      <c r="G460" s="14"/>
      <c r="H460" s="14"/>
    </row>
    <row r="461" spans="1:8">
      <c r="A461" s="502"/>
      <c r="B461" s="502"/>
      <c r="C461" s="502"/>
      <c r="D461" s="502"/>
      <c r="E461" s="502"/>
      <c r="F461" s="502"/>
      <c r="G461" s="14"/>
      <c r="H461" s="14"/>
    </row>
    <row r="462" spans="1:8">
      <c r="A462" s="502"/>
      <c r="B462" s="502"/>
      <c r="C462" s="502"/>
      <c r="D462" s="502"/>
      <c r="E462" s="502"/>
      <c r="F462" s="502"/>
      <c r="G462" s="14"/>
      <c r="H462" s="14"/>
    </row>
    <row r="463" spans="1:8" ht="25.5">
      <c r="A463" s="502" t="s">
        <v>1840</v>
      </c>
      <c r="B463" s="504" t="s">
        <v>1841</v>
      </c>
      <c r="C463" s="502" t="s">
        <v>60</v>
      </c>
      <c r="D463" s="502">
        <v>92</v>
      </c>
      <c r="E463" s="502" t="s">
        <v>61</v>
      </c>
      <c r="F463" s="502" t="s">
        <v>2115</v>
      </c>
      <c r="G463" s="14"/>
      <c r="H463" s="14"/>
    </row>
    <row r="464" spans="1:8">
      <c r="A464" s="503">
        <v>17093</v>
      </c>
      <c r="B464" s="502" t="s">
        <v>2116</v>
      </c>
      <c r="C464" s="502" t="s">
        <v>474</v>
      </c>
      <c r="D464" s="502"/>
      <c r="E464" s="503">
        <v>176</v>
      </c>
      <c r="F464" s="503" t="s">
        <v>2117</v>
      </c>
      <c r="G464" s="14"/>
      <c r="H464" s="14"/>
    </row>
    <row r="465" spans="1:8">
      <c r="A465" s="502"/>
      <c r="B465" s="502"/>
      <c r="C465" s="502"/>
      <c r="D465" s="502"/>
      <c r="E465" s="502"/>
      <c r="F465" s="502"/>
      <c r="G465" s="14"/>
      <c r="H465" s="14"/>
    </row>
    <row r="466" spans="1:8">
      <c r="A466" s="502"/>
      <c r="B466" s="502"/>
      <c r="C466" s="502"/>
      <c r="D466" s="502"/>
      <c r="E466" s="502"/>
      <c r="F466" s="502"/>
      <c r="G466" s="14"/>
      <c r="H466" s="14"/>
    </row>
    <row r="467" spans="1:8">
      <c r="A467" s="502"/>
      <c r="B467" s="502"/>
      <c r="C467" s="502"/>
      <c r="D467" s="502"/>
      <c r="E467" s="502"/>
      <c r="F467" s="502"/>
      <c r="G467" s="14"/>
      <c r="H467" s="14"/>
    </row>
    <row r="468" spans="1:8" ht="25.5">
      <c r="A468" s="502" t="s">
        <v>1840</v>
      </c>
      <c r="B468" s="504" t="s">
        <v>1841</v>
      </c>
      <c r="C468" s="502" t="s">
        <v>60</v>
      </c>
      <c r="D468" s="502">
        <v>93</v>
      </c>
      <c r="E468" s="502" t="s">
        <v>61</v>
      </c>
      <c r="F468" s="502" t="s">
        <v>2118</v>
      </c>
      <c r="G468" s="14"/>
      <c r="H468" s="14"/>
    </row>
    <row r="469" spans="1:8">
      <c r="A469" s="503">
        <v>11049</v>
      </c>
      <c r="B469" s="502" t="s">
        <v>2119</v>
      </c>
      <c r="C469" s="502" t="s">
        <v>153</v>
      </c>
      <c r="D469" s="502"/>
      <c r="E469" s="503">
        <v>154</v>
      </c>
      <c r="F469" s="503" t="s">
        <v>2120</v>
      </c>
      <c r="G469" s="14"/>
      <c r="H469" s="14"/>
    </row>
    <row r="470" spans="1:8">
      <c r="A470" s="502"/>
      <c r="B470" s="502"/>
      <c r="C470" s="502"/>
      <c r="D470" s="502"/>
      <c r="E470" s="502"/>
      <c r="F470" s="502"/>
      <c r="G470" s="14"/>
      <c r="H470" s="14"/>
    </row>
    <row r="471" spans="1:8">
      <c r="A471" s="502"/>
      <c r="B471" s="502"/>
      <c r="C471" s="502"/>
      <c r="D471" s="502"/>
      <c r="E471" s="502"/>
      <c r="F471" s="502"/>
      <c r="G471" s="14"/>
      <c r="H471" s="14"/>
    </row>
    <row r="472" spans="1:8">
      <c r="A472" s="502"/>
      <c r="B472" s="502"/>
      <c r="C472" s="502"/>
      <c r="D472" s="502"/>
      <c r="E472" s="502"/>
      <c r="F472" s="502"/>
      <c r="G472" s="14"/>
      <c r="H472" s="14"/>
    </row>
    <row r="473" spans="1:8" ht="25.5">
      <c r="A473" s="502" t="s">
        <v>1840</v>
      </c>
      <c r="B473" s="504" t="s">
        <v>1841</v>
      </c>
      <c r="C473" s="502" t="s">
        <v>60</v>
      </c>
      <c r="D473" s="502">
        <v>94</v>
      </c>
      <c r="E473" s="502" t="s">
        <v>61</v>
      </c>
      <c r="F473" s="502" t="s">
        <v>2121</v>
      </c>
      <c r="G473" s="14"/>
      <c r="H473" s="14"/>
    </row>
    <row r="474" spans="1:8">
      <c r="A474" s="503">
        <v>99496</v>
      </c>
      <c r="B474" s="502" t="s">
        <v>2122</v>
      </c>
      <c r="C474" s="502" t="s">
        <v>1377</v>
      </c>
      <c r="D474" s="502"/>
      <c r="E474" s="503">
        <v>140</v>
      </c>
      <c r="F474" s="503" t="s">
        <v>2123</v>
      </c>
      <c r="G474" s="14"/>
      <c r="H474" s="14"/>
    </row>
    <row r="475" spans="1:8">
      <c r="A475" s="502"/>
      <c r="B475" s="502"/>
      <c r="C475" s="502"/>
      <c r="D475" s="502"/>
      <c r="E475" s="502"/>
      <c r="F475" s="502"/>
      <c r="G475" s="14"/>
      <c r="H475" s="14"/>
    </row>
    <row r="476" spans="1:8">
      <c r="A476" s="502"/>
      <c r="B476" s="502"/>
      <c r="C476" s="502"/>
      <c r="D476" s="502"/>
      <c r="E476" s="502"/>
      <c r="F476" s="502"/>
      <c r="G476" s="14"/>
      <c r="H476" s="14"/>
    </row>
    <row r="477" spans="1:8">
      <c r="A477" s="502"/>
      <c r="B477" s="502"/>
      <c r="C477" s="502"/>
      <c r="D477" s="502"/>
      <c r="E477" s="502"/>
      <c r="F477" s="502"/>
      <c r="G477" s="14"/>
      <c r="H477" s="14"/>
    </row>
    <row r="478" spans="1:8" ht="25.5">
      <c r="A478" s="502" t="s">
        <v>1840</v>
      </c>
      <c r="B478" s="504" t="s">
        <v>1841</v>
      </c>
      <c r="C478" s="502" t="s">
        <v>60</v>
      </c>
      <c r="D478" s="502">
        <v>95</v>
      </c>
      <c r="E478" s="502" t="s">
        <v>61</v>
      </c>
      <c r="F478" s="502" t="s">
        <v>2124</v>
      </c>
      <c r="G478" s="14"/>
      <c r="H478" s="14"/>
    </row>
    <row r="479" spans="1:8">
      <c r="A479" s="503">
        <v>28030</v>
      </c>
      <c r="B479" s="502" t="s">
        <v>2125</v>
      </c>
      <c r="C479" s="502" t="s">
        <v>602</v>
      </c>
      <c r="D479" s="502"/>
      <c r="E479" s="503">
        <v>196</v>
      </c>
      <c r="F479" s="503" t="s">
        <v>2126</v>
      </c>
      <c r="G479" s="14"/>
      <c r="H479" s="14"/>
    </row>
    <row r="480" spans="1:8">
      <c r="A480" s="502"/>
      <c r="B480" s="502"/>
      <c r="C480" s="502"/>
      <c r="D480" s="502"/>
      <c r="E480" s="502"/>
      <c r="F480" s="502"/>
      <c r="G480" s="14"/>
      <c r="H480" s="14"/>
    </row>
    <row r="481" spans="1:8">
      <c r="A481" s="502"/>
      <c r="B481" s="502"/>
      <c r="C481" s="502"/>
      <c r="D481" s="502"/>
      <c r="E481" s="502"/>
      <c r="F481" s="502"/>
      <c r="G481" s="14"/>
      <c r="H481" s="14"/>
    </row>
    <row r="482" spans="1:8">
      <c r="A482" s="502"/>
      <c r="B482" s="502"/>
      <c r="C482" s="502"/>
      <c r="D482" s="502"/>
      <c r="E482" s="502"/>
      <c r="F482" s="502"/>
      <c r="G482" s="14"/>
      <c r="H482" s="14"/>
    </row>
    <row r="483" spans="1:8" ht="25.5">
      <c r="A483" s="502" t="s">
        <v>1840</v>
      </c>
      <c r="B483" s="504" t="s">
        <v>1841</v>
      </c>
      <c r="C483" s="502" t="s">
        <v>60</v>
      </c>
      <c r="D483" s="502">
        <v>96</v>
      </c>
      <c r="E483" s="502" t="s">
        <v>61</v>
      </c>
      <c r="F483" s="502" t="s">
        <v>2127</v>
      </c>
      <c r="G483" s="14"/>
      <c r="H483" s="14"/>
    </row>
    <row r="484" spans="1:8">
      <c r="A484" s="503">
        <v>11041</v>
      </c>
      <c r="B484" s="502" t="s">
        <v>2128</v>
      </c>
      <c r="C484" s="502" t="s">
        <v>153</v>
      </c>
      <c r="D484" s="502"/>
      <c r="E484" s="503">
        <v>139</v>
      </c>
      <c r="F484" s="503" t="s">
        <v>2129</v>
      </c>
      <c r="G484" s="14"/>
      <c r="H484" s="14"/>
    </row>
    <row r="485" spans="1:8">
      <c r="A485" s="502"/>
      <c r="B485" s="502"/>
      <c r="C485" s="502"/>
      <c r="D485" s="502"/>
      <c r="E485" s="502"/>
      <c r="F485" s="502"/>
      <c r="G485" s="14"/>
      <c r="H485" s="14"/>
    </row>
    <row r="486" spans="1:8">
      <c r="A486" s="502"/>
      <c r="B486" s="502"/>
      <c r="C486" s="502"/>
      <c r="D486" s="502"/>
      <c r="E486" s="502"/>
      <c r="F486" s="502"/>
      <c r="G486" s="14"/>
      <c r="H486" s="14"/>
    </row>
    <row r="487" spans="1:8">
      <c r="A487" s="502"/>
      <c r="B487" s="502"/>
      <c r="C487" s="502"/>
      <c r="D487" s="502"/>
      <c r="E487" s="502"/>
      <c r="F487" s="502"/>
      <c r="G487" s="14"/>
      <c r="H487" s="14"/>
    </row>
    <row r="488" spans="1:8" ht="25.5">
      <c r="A488" s="502" t="s">
        <v>1840</v>
      </c>
      <c r="B488" s="504" t="s">
        <v>1841</v>
      </c>
      <c r="C488" s="502" t="s">
        <v>60</v>
      </c>
      <c r="D488" s="502">
        <v>97</v>
      </c>
      <c r="E488" s="502" t="s">
        <v>61</v>
      </c>
      <c r="F488" s="502" t="s">
        <v>2130</v>
      </c>
      <c r="G488" s="14"/>
      <c r="H488" s="14"/>
    </row>
    <row r="489" spans="1:8">
      <c r="A489" s="503">
        <v>25075</v>
      </c>
      <c r="B489" s="502" t="s">
        <v>2131</v>
      </c>
      <c r="C489" s="502" t="s">
        <v>331</v>
      </c>
      <c r="D489" s="502"/>
      <c r="E489" s="503">
        <v>133</v>
      </c>
      <c r="F489" s="503" t="s">
        <v>2132</v>
      </c>
      <c r="G489" s="14"/>
      <c r="H489" s="14"/>
    </row>
    <row r="490" spans="1:8">
      <c r="A490" s="502"/>
      <c r="B490" s="502"/>
      <c r="C490" s="502"/>
      <c r="D490" s="502"/>
      <c r="E490" s="502"/>
      <c r="F490" s="502"/>
      <c r="G490" s="14"/>
      <c r="H490" s="14"/>
    </row>
    <row r="491" spans="1:8">
      <c r="A491" s="502"/>
      <c r="B491" s="502"/>
      <c r="C491" s="502"/>
      <c r="D491" s="502"/>
      <c r="E491" s="502"/>
      <c r="F491" s="502"/>
      <c r="G491" s="14"/>
      <c r="H491" s="14"/>
    </row>
    <row r="492" spans="1:8">
      <c r="A492" s="502"/>
      <c r="B492" s="502"/>
      <c r="C492" s="502"/>
      <c r="D492" s="502"/>
      <c r="E492" s="502"/>
      <c r="F492" s="502"/>
      <c r="G492" s="14"/>
      <c r="H492" s="14"/>
    </row>
    <row r="493" spans="1:8" ht="25.5">
      <c r="A493" s="502" t="s">
        <v>1840</v>
      </c>
      <c r="B493" s="504" t="s">
        <v>1841</v>
      </c>
      <c r="C493" s="502" t="s">
        <v>60</v>
      </c>
      <c r="D493" s="502">
        <v>98</v>
      </c>
      <c r="E493" s="502" t="s">
        <v>61</v>
      </c>
      <c r="F493" s="502" t="s">
        <v>2133</v>
      </c>
      <c r="G493" s="14"/>
      <c r="H493" s="14"/>
    </row>
    <row r="494" spans="1:8">
      <c r="A494" s="503">
        <v>96163</v>
      </c>
      <c r="B494" s="502" t="s">
        <v>2134</v>
      </c>
      <c r="C494" s="502" t="s">
        <v>173</v>
      </c>
      <c r="D494" s="502"/>
      <c r="E494" s="503">
        <v>237</v>
      </c>
      <c r="F494" s="503" t="s">
        <v>2135</v>
      </c>
      <c r="G494" s="14"/>
      <c r="H494" s="14"/>
    </row>
    <row r="495" spans="1:8">
      <c r="A495" s="502"/>
      <c r="B495" s="502"/>
      <c r="C495" s="502"/>
      <c r="D495" s="502"/>
      <c r="E495" s="502"/>
      <c r="F495" s="502"/>
      <c r="G495" s="14"/>
      <c r="H495" s="14"/>
    </row>
    <row r="496" spans="1:8">
      <c r="A496" s="502"/>
      <c r="B496" s="502"/>
      <c r="C496" s="502"/>
      <c r="D496" s="502"/>
      <c r="E496" s="502"/>
      <c r="F496" s="502"/>
      <c r="G496" s="14"/>
      <c r="H496" s="14"/>
    </row>
    <row r="497" spans="1:8">
      <c r="A497" s="502"/>
      <c r="B497" s="502"/>
      <c r="C497" s="502"/>
      <c r="D497" s="502"/>
      <c r="E497" s="502"/>
      <c r="F497" s="502"/>
      <c r="G497" s="14"/>
      <c r="H497" s="14"/>
    </row>
    <row r="498" spans="1:8" ht="25.5">
      <c r="A498" s="502" t="s">
        <v>1840</v>
      </c>
      <c r="B498" s="504" t="s">
        <v>1841</v>
      </c>
      <c r="C498" s="502" t="s">
        <v>60</v>
      </c>
      <c r="D498" s="502">
        <v>99</v>
      </c>
      <c r="E498" s="502" t="s">
        <v>61</v>
      </c>
      <c r="F498" s="502" t="s">
        <v>2136</v>
      </c>
      <c r="G498" s="14"/>
      <c r="H498" s="14"/>
    </row>
    <row r="499" spans="1:8">
      <c r="A499" s="503">
        <v>99512</v>
      </c>
      <c r="B499" s="502" t="s">
        <v>2137</v>
      </c>
      <c r="C499" s="502" t="s">
        <v>472</v>
      </c>
      <c r="D499" s="502"/>
      <c r="E499" s="503">
        <v>152</v>
      </c>
      <c r="F499" s="503" t="s">
        <v>2138</v>
      </c>
      <c r="G499" s="14"/>
      <c r="H499" s="14"/>
    </row>
    <row r="500" spans="1:8">
      <c r="A500" s="502"/>
      <c r="B500" s="502"/>
      <c r="C500" s="502"/>
      <c r="D500" s="502"/>
      <c r="E500" s="502"/>
      <c r="F500" s="502"/>
      <c r="G500" s="14"/>
      <c r="H500" s="14"/>
    </row>
    <row r="501" spans="1:8">
      <c r="A501" s="502"/>
      <c r="B501" s="502"/>
      <c r="C501" s="502"/>
      <c r="D501" s="502"/>
      <c r="E501" s="502"/>
      <c r="F501" s="502"/>
      <c r="G501" s="14"/>
      <c r="H501" s="14"/>
    </row>
    <row r="502" spans="1:8">
      <c r="A502" s="502"/>
      <c r="B502" s="502"/>
      <c r="C502" s="502"/>
      <c r="D502" s="502"/>
      <c r="E502" s="502"/>
      <c r="F502" s="502"/>
      <c r="G502" s="14"/>
      <c r="H502" s="14"/>
    </row>
    <row r="503" spans="1:8" ht="25.5">
      <c r="A503" s="502" t="s">
        <v>1840</v>
      </c>
      <c r="B503" s="504" t="s">
        <v>1841</v>
      </c>
      <c r="C503" s="502" t="s">
        <v>60</v>
      </c>
      <c r="D503" s="502">
        <v>100</v>
      </c>
      <c r="E503" s="502" t="s">
        <v>61</v>
      </c>
      <c r="F503" s="502" t="s">
        <v>2139</v>
      </c>
      <c r="G503" s="14"/>
      <c r="H503" s="14"/>
    </row>
    <row r="504" spans="1:8">
      <c r="A504" s="503">
        <v>28056</v>
      </c>
      <c r="B504" s="502" t="s">
        <v>2140</v>
      </c>
      <c r="C504" s="502" t="s">
        <v>175</v>
      </c>
      <c r="D504" s="502"/>
      <c r="E504" s="503">
        <v>163</v>
      </c>
      <c r="F504" s="503" t="s">
        <v>2141</v>
      </c>
      <c r="G504" s="14"/>
      <c r="H504" s="14"/>
    </row>
    <row r="505" spans="1:8">
      <c r="A505" s="502"/>
      <c r="B505" s="502"/>
      <c r="C505" s="502"/>
      <c r="D505" s="502"/>
      <c r="E505" s="502"/>
      <c r="F505" s="502"/>
      <c r="G505" s="14"/>
      <c r="H505" s="14"/>
    </row>
    <row r="506" spans="1:8">
      <c r="A506" s="502"/>
      <c r="B506" s="502"/>
      <c r="C506" s="502"/>
      <c r="D506" s="502"/>
      <c r="E506" s="502"/>
      <c r="F506" s="502"/>
      <c r="G506" s="14"/>
      <c r="H506" s="14"/>
    </row>
    <row r="507" spans="1:8">
      <c r="A507" s="502"/>
      <c r="B507" s="502"/>
      <c r="C507" s="502"/>
      <c r="D507" s="502"/>
      <c r="E507" s="502"/>
      <c r="F507" s="502"/>
      <c r="G507" s="14"/>
      <c r="H507" s="14"/>
    </row>
    <row r="508" spans="1:8" ht="25.5">
      <c r="A508" s="502" t="s">
        <v>1840</v>
      </c>
      <c r="B508" s="504" t="s">
        <v>1841</v>
      </c>
      <c r="C508" s="502" t="s">
        <v>60</v>
      </c>
      <c r="D508" s="502">
        <v>101</v>
      </c>
      <c r="E508" s="502" t="s">
        <v>61</v>
      </c>
      <c r="F508" s="502" t="s">
        <v>2142</v>
      </c>
      <c r="G508" s="14"/>
      <c r="H508" s="14"/>
    </row>
    <row r="509" spans="1:8">
      <c r="A509" s="503">
        <v>18065</v>
      </c>
      <c r="B509" s="502" t="s">
        <v>2143</v>
      </c>
      <c r="C509" s="502" t="s">
        <v>1488</v>
      </c>
      <c r="D509" s="502"/>
      <c r="E509" s="503">
        <v>168</v>
      </c>
      <c r="F509" s="503" t="s">
        <v>2144</v>
      </c>
      <c r="G509" s="14"/>
      <c r="H509" s="14"/>
    </row>
    <row r="510" spans="1:8">
      <c r="A510" s="502"/>
      <c r="B510" s="502"/>
      <c r="C510" s="502"/>
      <c r="D510" s="502"/>
      <c r="E510" s="502"/>
      <c r="F510" s="502"/>
      <c r="G510" s="14"/>
      <c r="H510" s="14"/>
    </row>
    <row r="511" spans="1:8">
      <c r="A511" s="502"/>
      <c r="B511" s="502"/>
      <c r="C511" s="502"/>
      <c r="D511" s="502"/>
      <c r="E511" s="502"/>
      <c r="F511" s="502"/>
      <c r="G511" s="14"/>
      <c r="H511" s="14"/>
    </row>
    <row r="512" spans="1:8">
      <c r="A512" s="502"/>
      <c r="B512" s="502"/>
      <c r="C512" s="502"/>
      <c r="D512" s="502"/>
      <c r="E512" s="502"/>
      <c r="F512" s="502"/>
      <c r="G512" s="14"/>
      <c r="H512" s="14"/>
    </row>
    <row r="513" spans="1:8">
      <c r="A513" s="502" t="s">
        <v>1840</v>
      </c>
      <c r="B513" s="504" t="s">
        <v>1841</v>
      </c>
      <c r="C513" s="502" t="s">
        <v>60</v>
      </c>
      <c r="D513" s="502">
        <v>102</v>
      </c>
      <c r="E513" s="502" t="s">
        <v>61</v>
      </c>
      <c r="F513" s="502" t="s">
        <v>2145</v>
      </c>
      <c r="G513" s="14"/>
      <c r="H513" s="14"/>
    </row>
    <row r="514" spans="1:8">
      <c r="A514" s="503">
        <v>10159</v>
      </c>
      <c r="B514" s="502" t="s">
        <v>2146</v>
      </c>
      <c r="C514" s="502" t="s">
        <v>1223</v>
      </c>
      <c r="D514" s="502"/>
      <c r="E514" s="503">
        <v>173</v>
      </c>
      <c r="F514" s="503" t="s">
        <v>2147</v>
      </c>
      <c r="G514" s="14"/>
      <c r="H514" s="14"/>
    </row>
    <row r="515" spans="1:8">
      <c r="A515" s="502"/>
      <c r="B515" s="502"/>
      <c r="C515" s="502"/>
      <c r="D515" s="502"/>
      <c r="E515" s="502"/>
      <c r="F515" s="502"/>
      <c r="G515" s="14"/>
      <c r="H515" s="14"/>
    </row>
    <row r="516" spans="1:8">
      <c r="A516" s="502"/>
      <c r="B516" s="502"/>
      <c r="C516" s="502"/>
      <c r="D516" s="502"/>
      <c r="E516" s="502"/>
      <c r="F516" s="502"/>
      <c r="G516" s="14"/>
      <c r="H516" s="14"/>
    </row>
    <row r="517" spans="1:8">
      <c r="A517" s="502"/>
      <c r="B517" s="502"/>
      <c r="C517" s="502"/>
      <c r="D517" s="502"/>
      <c r="E517" s="502"/>
      <c r="F517" s="502"/>
      <c r="G517" s="14"/>
      <c r="H517" s="14"/>
    </row>
    <row r="518" spans="1:8" ht="25.5">
      <c r="A518" s="502" t="s">
        <v>1840</v>
      </c>
      <c r="B518" s="504" t="s">
        <v>1841</v>
      </c>
      <c r="C518" s="502" t="s">
        <v>60</v>
      </c>
      <c r="D518" s="502">
        <v>103</v>
      </c>
      <c r="E518" s="502" t="s">
        <v>61</v>
      </c>
      <c r="F518" s="502" t="s">
        <v>2148</v>
      </c>
      <c r="G518" s="14"/>
      <c r="H518" s="14"/>
    </row>
    <row r="519" spans="1:8">
      <c r="A519" s="503">
        <v>18064</v>
      </c>
      <c r="B519" s="502" t="s">
        <v>2149</v>
      </c>
      <c r="C519" s="502" t="s">
        <v>1488</v>
      </c>
      <c r="D519" s="502"/>
      <c r="E519" s="503">
        <v>250</v>
      </c>
      <c r="F519" s="503" t="s">
        <v>2150</v>
      </c>
      <c r="G519" s="14"/>
      <c r="H519" s="14"/>
    </row>
    <row r="520" spans="1:8">
      <c r="A520" s="502"/>
      <c r="B520" s="502"/>
      <c r="C520" s="502"/>
      <c r="D520" s="502"/>
      <c r="E520" s="502"/>
      <c r="F520" s="502"/>
      <c r="G520" s="14"/>
      <c r="H520" s="14"/>
    </row>
    <row r="521" spans="1:8">
      <c r="A521" s="502"/>
      <c r="B521" s="502"/>
      <c r="C521" s="502"/>
      <c r="D521" s="502"/>
      <c r="E521" s="502"/>
      <c r="F521" s="502"/>
      <c r="G521" s="14"/>
      <c r="H521" s="14"/>
    </row>
    <row r="522" spans="1:8">
      <c r="A522" s="502"/>
      <c r="B522" s="502"/>
      <c r="C522" s="502"/>
      <c r="D522" s="502"/>
      <c r="E522" s="502"/>
      <c r="F522" s="502"/>
      <c r="G522" s="14"/>
      <c r="H522" s="14"/>
    </row>
    <row r="523" spans="1:8" ht="25.5">
      <c r="A523" s="502" t="s">
        <v>1840</v>
      </c>
      <c r="B523" s="504" t="s">
        <v>1841</v>
      </c>
      <c r="C523" s="502" t="s">
        <v>60</v>
      </c>
      <c r="D523" s="502">
        <v>104</v>
      </c>
      <c r="E523" s="502" t="s">
        <v>61</v>
      </c>
      <c r="F523" s="502" t="s">
        <v>2151</v>
      </c>
      <c r="G523" s="14"/>
      <c r="H523" s="14"/>
    </row>
    <row r="524" spans="1:8">
      <c r="A524" s="503">
        <v>18066</v>
      </c>
      <c r="B524" s="502" t="s">
        <v>2152</v>
      </c>
      <c r="C524" s="502" t="s">
        <v>1488</v>
      </c>
      <c r="D524" s="502"/>
      <c r="E524" s="503">
        <v>242</v>
      </c>
      <c r="F524" s="503" t="s">
        <v>2153</v>
      </c>
      <c r="G524" s="14"/>
      <c r="H524" s="14"/>
    </row>
    <row r="525" spans="1:8">
      <c r="A525" s="502"/>
      <c r="B525" s="502"/>
      <c r="C525" s="502"/>
      <c r="D525" s="502"/>
      <c r="E525" s="502"/>
      <c r="F525" s="502"/>
      <c r="G525" s="14"/>
      <c r="H525" s="14"/>
    </row>
    <row r="526" spans="1:8">
      <c r="A526" s="502"/>
      <c r="B526" s="502"/>
      <c r="C526" s="502"/>
      <c r="D526" s="502"/>
      <c r="E526" s="502"/>
      <c r="F526" s="502"/>
      <c r="G526" s="14"/>
      <c r="H526" s="14"/>
    </row>
    <row r="527" spans="1:8">
      <c r="A527" s="502"/>
      <c r="B527" s="502"/>
      <c r="C527" s="502"/>
      <c r="D527" s="502"/>
      <c r="E527" s="502"/>
      <c r="F527" s="502"/>
      <c r="G527" s="14"/>
      <c r="H527" s="14"/>
    </row>
    <row r="528" spans="1:8" ht="25.5">
      <c r="A528" s="502" t="s">
        <v>1840</v>
      </c>
      <c r="B528" s="504" t="s">
        <v>1841</v>
      </c>
      <c r="C528" s="502" t="s">
        <v>60</v>
      </c>
      <c r="D528" s="502">
        <v>105</v>
      </c>
      <c r="E528" s="502" t="s">
        <v>61</v>
      </c>
      <c r="F528" s="502" t="s">
        <v>2154</v>
      </c>
      <c r="G528" s="14"/>
      <c r="H528" s="14"/>
    </row>
    <row r="529" spans="1:8">
      <c r="A529" s="503">
        <v>17055</v>
      </c>
      <c r="B529" s="502" t="s">
        <v>2155</v>
      </c>
      <c r="C529" s="502" t="s">
        <v>2024</v>
      </c>
      <c r="D529" s="502"/>
      <c r="E529" s="503">
        <v>209</v>
      </c>
      <c r="F529" s="503" t="s">
        <v>2156</v>
      </c>
      <c r="G529" s="14"/>
      <c r="H529" s="14"/>
    </row>
    <row r="530" spans="1:8">
      <c r="A530" s="502"/>
      <c r="B530" s="502"/>
      <c r="C530" s="502"/>
      <c r="D530" s="502"/>
      <c r="E530" s="502"/>
      <c r="F530" s="502"/>
      <c r="G530" s="14"/>
      <c r="H530" s="14"/>
    </row>
    <row r="531" spans="1:8">
      <c r="A531" s="502"/>
      <c r="B531" s="502"/>
      <c r="C531" s="502"/>
      <c r="D531" s="502"/>
      <c r="E531" s="502"/>
      <c r="F531" s="502"/>
      <c r="G531" s="14"/>
      <c r="H531" s="14"/>
    </row>
    <row r="532" spans="1:8">
      <c r="A532" s="502"/>
      <c r="B532" s="502"/>
      <c r="C532" s="502"/>
      <c r="D532" s="502"/>
      <c r="E532" s="502"/>
      <c r="F532" s="502"/>
      <c r="G532" s="14"/>
      <c r="H532" s="14"/>
    </row>
    <row r="533" spans="1:8" ht="25.5">
      <c r="A533" s="502" t="s">
        <v>1840</v>
      </c>
      <c r="B533" s="504" t="s">
        <v>1841</v>
      </c>
      <c r="C533" s="502" t="s">
        <v>60</v>
      </c>
      <c r="D533" s="502">
        <v>106</v>
      </c>
      <c r="E533" s="502" t="s">
        <v>61</v>
      </c>
      <c r="F533" s="502" t="s">
        <v>2157</v>
      </c>
      <c r="G533" s="14"/>
      <c r="H533" s="14"/>
    </row>
    <row r="534" spans="1:8">
      <c r="A534" s="503">
        <v>19023</v>
      </c>
      <c r="B534" s="502" t="s">
        <v>2158</v>
      </c>
      <c r="C534" s="502" t="s">
        <v>2159</v>
      </c>
      <c r="D534" s="502"/>
      <c r="E534" s="503">
        <v>189</v>
      </c>
      <c r="F534" s="503" t="s">
        <v>2160</v>
      </c>
      <c r="G534" s="14"/>
      <c r="H534" s="14"/>
    </row>
    <row r="535" spans="1:8">
      <c r="A535" s="502"/>
      <c r="B535" s="502"/>
      <c r="C535" s="502"/>
      <c r="D535" s="502"/>
      <c r="E535" s="502"/>
      <c r="F535" s="502"/>
      <c r="G535" s="14"/>
      <c r="H535" s="14"/>
    </row>
    <row r="536" spans="1:8">
      <c r="A536" s="502"/>
      <c r="B536" s="502"/>
      <c r="C536" s="502"/>
      <c r="D536" s="502"/>
      <c r="E536" s="502"/>
      <c r="F536" s="502"/>
      <c r="G536" s="14"/>
      <c r="H536" s="14"/>
    </row>
    <row r="537" spans="1:8">
      <c r="A537" s="502"/>
      <c r="B537" s="502"/>
      <c r="C537" s="502"/>
      <c r="D537" s="502"/>
      <c r="E537" s="502"/>
      <c r="F537" s="502"/>
      <c r="G537" s="14"/>
      <c r="H537" s="14"/>
    </row>
    <row r="538" spans="1:8">
      <c r="A538" s="502" t="s">
        <v>1840</v>
      </c>
      <c r="B538" s="504" t="s">
        <v>1841</v>
      </c>
      <c r="C538" s="502" t="s">
        <v>60</v>
      </c>
      <c r="D538" s="502">
        <v>107</v>
      </c>
      <c r="E538" s="502" t="s">
        <v>61</v>
      </c>
      <c r="F538" s="502" t="s">
        <v>2161</v>
      </c>
      <c r="G538" s="14"/>
      <c r="H538" s="14"/>
    </row>
    <row r="539" spans="1:8">
      <c r="A539" s="503">
        <v>15055</v>
      </c>
      <c r="B539" s="502" t="s">
        <v>2162</v>
      </c>
      <c r="C539" s="502" t="s">
        <v>153</v>
      </c>
      <c r="D539" s="502"/>
      <c r="E539" s="503">
        <v>188</v>
      </c>
      <c r="F539" s="503" t="s">
        <v>2163</v>
      </c>
      <c r="G539" s="14"/>
      <c r="H539" s="14"/>
    </row>
    <row r="540" spans="1:8">
      <c r="A540" s="502"/>
      <c r="B540" s="502"/>
      <c r="C540" s="502"/>
      <c r="D540" s="502"/>
      <c r="E540" s="502"/>
      <c r="F540" s="502"/>
      <c r="G540" s="14"/>
      <c r="H540" s="14"/>
    </row>
    <row r="541" spans="1:8">
      <c r="A541" s="502"/>
      <c r="B541" s="502"/>
      <c r="C541" s="502"/>
      <c r="D541" s="502"/>
      <c r="E541" s="502"/>
      <c r="F541" s="502"/>
      <c r="G541" s="14"/>
      <c r="H541" s="14"/>
    </row>
    <row r="542" spans="1:8">
      <c r="A542" s="502"/>
      <c r="B542" s="502"/>
      <c r="C542" s="502"/>
      <c r="D542" s="502"/>
      <c r="E542" s="502"/>
      <c r="F542" s="502"/>
      <c r="G542" s="14"/>
      <c r="H542" s="14"/>
    </row>
    <row r="543" spans="1:8" ht="25.5">
      <c r="A543" s="502" t="s">
        <v>1840</v>
      </c>
      <c r="B543" s="504" t="s">
        <v>1841</v>
      </c>
      <c r="C543" s="502" t="s">
        <v>60</v>
      </c>
      <c r="D543" s="502">
        <v>109</v>
      </c>
      <c r="E543" s="502" t="s">
        <v>61</v>
      </c>
      <c r="F543" s="502" t="s">
        <v>2164</v>
      </c>
      <c r="G543" s="14"/>
      <c r="H543" s="14"/>
    </row>
    <row r="544" spans="1:8">
      <c r="A544" s="503">
        <v>14037</v>
      </c>
      <c r="B544" s="502" t="s">
        <v>2165</v>
      </c>
      <c r="C544" s="502" t="s">
        <v>1177</v>
      </c>
      <c r="D544" s="502"/>
      <c r="E544" s="503">
        <v>199</v>
      </c>
      <c r="F544" s="503" t="s">
        <v>2166</v>
      </c>
      <c r="G544" s="14"/>
      <c r="H544" s="14"/>
    </row>
    <row r="545" spans="1:8">
      <c r="A545" s="502"/>
      <c r="B545" s="502"/>
      <c r="C545" s="502"/>
      <c r="D545" s="502"/>
      <c r="E545" s="502"/>
      <c r="F545" s="502"/>
      <c r="G545" s="14"/>
      <c r="H545" s="14"/>
    </row>
    <row r="546" spans="1:8">
      <c r="A546" s="502"/>
      <c r="B546" s="502"/>
      <c r="C546" s="502"/>
      <c r="D546" s="502"/>
      <c r="E546" s="502"/>
      <c r="F546" s="502"/>
      <c r="G546" s="14"/>
      <c r="H546" s="14"/>
    </row>
    <row r="547" spans="1:8">
      <c r="A547" s="502"/>
      <c r="B547" s="502"/>
      <c r="C547" s="502"/>
      <c r="D547" s="502"/>
      <c r="E547" s="502"/>
      <c r="F547" s="502"/>
      <c r="G547" s="14"/>
      <c r="H547" s="14"/>
    </row>
    <row r="548" spans="1:8">
      <c r="A548" s="502" t="s">
        <v>1840</v>
      </c>
      <c r="B548" s="504" t="s">
        <v>1841</v>
      </c>
      <c r="C548" s="502" t="s">
        <v>60</v>
      </c>
      <c r="D548" s="502">
        <v>110</v>
      </c>
      <c r="E548" s="502" t="s">
        <v>61</v>
      </c>
      <c r="F548" s="502" t="s">
        <v>2167</v>
      </c>
      <c r="G548" s="14"/>
      <c r="H548" s="14"/>
    </row>
    <row r="549" spans="1:8">
      <c r="A549" s="503">
        <v>14055</v>
      </c>
      <c r="B549" s="502" t="s">
        <v>2168</v>
      </c>
      <c r="C549" s="502" t="s">
        <v>635</v>
      </c>
      <c r="D549" s="502"/>
      <c r="E549" s="503">
        <v>245</v>
      </c>
      <c r="F549" s="503" t="s">
        <v>2169</v>
      </c>
      <c r="G549" s="14"/>
      <c r="H549" s="14"/>
    </row>
    <row r="550" spans="1:8">
      <c r="A550" s="502"/>
      <c r="B550" s="502"/>
      <c r="C550" s="502"/>
      <c r="D550" s="502"/>
      <c r="E550" s="502"/>
      <c r="F550" s="502"/>
      <c r="G550" s="14"/>
      <c r="H550" s="14"/>
    </row>
    <row r="551" spans="1:8">
      <c r="A551" s="502"/>
      <c r="B551" s="502"/>
      <c r="C551" s="502"/>
      <c r="D551" s="502"/>
      <c r="E551" s="502"/>
      <c r="F551" s="502"/>
      <c r="G551" s="14"/>
      <c r="H551" s="14"/>
    </row>
    <row r="552" spans="1:8">
      <c r="A552" s="502"/>
      <c r="B552" s="502"/>
      <c r="C552" s="502"/>
      <c r="D552" s="502"/>
      <c r="E552" s="502"/>
      <c r="F552" s="502"/>
      <c r="G552" s="14"/>
      <c r="H552" s="14"/>
    </row>
    <row r="553" spans="1:8" ht="25.5">
      <c r="A553" s="502" t="s">
        <v>1840</v>
      </c>
      <c r="B553" s="504" t="s">
        <v>1841</v>
      </c>
      <c r="C553" s="502" t="s">
        <v>60</v>
      </c>
      <c r="D553" s="502">
        <v>111</v>
      </c>
      <c r="E553" s="502" t="s">
        <v>61</v>
      </c>
      <c r="F553" s="502" t="s">
        <v>2170</v>
      </c>
      <c r="G553" s="14"/>
      <c r="H553" s="14"/>
    </row>
    <row r="554" spans="1:8">
      <c r="A554" s="503">
        <v>18124</v>
      </c>
      <c r="B554" s="502" t="s">
        <v>2171</v>
      </c>
      <c r="C554" s="502" t="s">
        <v>1488</v>
      </c>
      <c r="D554" s="502"/>
      <c r="E554" s="503">
        <v>226</v>
      </c>
      <c r="F554" s="503" t="s">
        <v>2172</v>
      </c>
      <c r="G554" s="14"/>
      <c r="H554" s="14"/>
    </row>
    <row r="555" spans="1:8">
      <c r="A555" s="502"/>
      <c r="B555" s="502"/>
      <c r="C555" s="502"/>
      <c r="D555" s="502"/>
      <c r="E555" s="502"/>
      <c r="F555" s="502"/>
      <c r="G555" s="14"/>
      <c r="H555" s="14"/>
    </row>
    <row r="556" spans="1:8">
      <c r="A556" s="502"/>
      <c r="B556" s="502"/>
      <c r="C556" s="502"/>
      <c r="D556" s="502"/>
      <c r="E556" s="502"/>
      <c r="F556" s="502"/>
      <c r="G556" s="14"/>
      <c r="H556" s="14"/>
    </row>
    <row r="557" spans="1:8">
      <c r="A557" s="502"/>
      <c r="B557" s="502"/>
      <c r="C557" s="502"/>
      <c r="D557" s="502"/>
      <c r="E557" s="502"/>
      <c r="F557" s="502"/>
      <c r="G557" s="14"/>
      <c r="H557" s="14"/>
    </row>
    <row r="558" spans="1:8" ht="25.5">
      <c r="A558" s="502" t="s">
        <v>1840</v>
      </c>
      <c r="B558" s="504" t="s">
        <v>1841</v>
      </c>
      <c r="C558" s="502" t="s">
        <v>60</v>
      </c>
      <c r="D558" s="502">
        <v>112</v>
      </c>
      <c r="E558" s="502" t="s">
        <v>61</v>
      </c>
      <c r="F558" s="502" t="s">
        <v>2173</v>
      </c>
      <c r="G558" s="14"/>
      <c r="H558" s="14"/>
    </row>
    <row r="559" spans="1:8">
      <c r="A559" s="503">
        <v>18134</v>
      </c>
      <c r="B559" s="502" t="s">
        <v>2174</v>
      </c>
      <c r="C559" s="502" t="s">
        <v>1177</v>
      </c>
      <c r="D559" s="502"/>
      <c r="E559" s="503">
        <v>222</v>
      </c>
      <c r="F559" s="503" t="s">
        <v>2175</v>
      </c>
      <c r="G559" s="14"/>
      <c r="H559" s="14"/>
    </row>
    <row r="560" spans="1:8">
      <c r="A560" s="502"/>
      <c r="B560" s="502"/>
      <c r="C560" s="502"/>
      <c r="D560" s="502"/>
      <c r="E560" s="502"/>
      <c r="F560" s="502"/>
      <c r="G560" s="14"/>
      <c r="H560" s="14"/>
    </row>
    <row r="561" spans="1:8">
      <c r="A561" s="502"/>
      <c r="B561" s="502"/>
      <c r="C561" s="502"/>
      <c r="D561" s="502"/>
      <c r="E561" s="502"/>
      <c r="F561" s="502"/>
      <c r="G561" s="14"/>
      <c r="H561" s="14"/>
    </row>
    <row r="562" spans="1:8">
      <c r="A562" s="502"/>
      <c r="B562" s="502"/>
      <c r="C562" s="502"/>
      <c r="D562" s="502"/>
      <c r="E562" s="502"/>
      <c r="F562" s="502"/>
      <c r="G562" s="14"/>
      <c r="H562" s="14"/>
    </row>
    <row r="563" spans="1:8">
      <c r="A563" s="502" t="s">
        <v>1840</v>
      </c>
      <c r="B563" s="504" t="s">
        <v>1841</v>
      </c>
      <c r="C563" s="502" t="s">
        <v>60</v>
      </c>
      <c r="D563" s="502">
        <v>113</v>
      </c>
      <c r="E563" s="502" t="s">
        <v>61</v>
      </c>
      <c r="F563" s="502" t="s">
        <v>2176</v>
      </c>
      <c r="G563" s="14"/>
      <c r="H563" s="14"/>
    </row>
    <row r="564" spans="1:8">
      <c r="A564" s="503">
        <v>15059</v>
      </c>
      <c r="B564" s="502" t="s">
        <v>2177</v>
      </c>
      <c r="C564" s="502" t="s">
        <v>472</v>
      </c>
      <c r="D564" s="502"/>
      <c r="E564" s="503">
        <v>187</v>
      </c>
      <c r="F564" s="503" t="s">
        <v>2178</v>
      </c>
      <c r="G564" s="14"/>
      <c r="H564" s="14"/>
    </row>
    <row r="565" spans="1:8">
      <c r="A565" s="502"/>
      <c r="B565" s="502"/>
      <c r="C565" s="502"/>
      <c r="D565" s="502"/>
      <c r="E565" s="502"/>
      <c r="F565" s="502"/>
      <c r="G565" s="14"/>
      <c r="H565" s="14"/>
    </row>
    <row r="566" spans="1:8">
      <c r="A566" s="502"/>
      <c r="B566" s="502"/>
      <c r="C566" s="502"/>
      <c r="D566" s="502"/>
      <c r="E566" s="502"/>
      <c r="F566" s="502"/>
      <c r="G566" s="14"/>
      <c r="H566" s="14"/>
    </row>
    <row r="567" spans="1:8">
      <c r="A567" s="502"/>
      <c r="B567" s="502"/>
      <c r="C567" s="502"/>
      <c r="D567" s="502"/>
      <c r="E567" s="502"/>
      <c r="F567" s="502"/>
      <c r="G567" s="14"/>
      <c r="H567" s="14"/>
    </row>
    <row r="568" spans="1:8">
      <c r="A568" s="502" t="s">
        <v>1840</v>
      </c>
      <c r="B568" s="504" t="s">
        <v>1841</v>
      </c>
      <c r="C568" s="502" t="s">
        <v>60</v>
      </c>
      <c r="D568" s="502">
        <v>114</v>
      </c>
      <c r="E568" s="502" t="s">
        <v>61</v>
      </c>
      <c r="F568" s="502" t="s">
        <v>2179</v>
      </c>
      <c r="G568" s="14"/>
      <c r="H568" s="14"/>
    </row>
    <row r="569" spans="1:8">
      <c r="A569" s="503">
        <v>18072</v>
      </c>
      <c r="B569" s="502" t="s">
        <v>2180</v>
      </c>
      <c r="C569" s="502" t="s">
        <v>1488</v>
      </c>
      <c r="D569" s="502"/>
      <c r="E569" s="503">
        <v>307</v>
      </c>
      <c r="F569" s="503" t="s">
        <v>2181</v>
      </c>
      <c r="G569" s="14"/>
      <c r="H569" s="14"/>
    </row>
    <row r="570" spans="1:8">
      <c r="A570" s="502"/>
      <c r="B570" s="502"/>
      <c r="C570" s="502"/>
      <c r="D570" s="502"/>
      <c r="E570" s="502"/>
      <c r="F570" s="502"/>
      <c r="G570" s="14"/>
      <c r="H570" s="14"/>
    </row>
    <row r="571" spans="1:8">
      <c r="A571" s="502"/>
      <c r="B571" s="502"/>
      <c r="C571" s="502"/>
      <c r="D571" s="502"/>
      <c r="E571" s="502"/>
      <c r="F571" s="502"/>
      <c r="G571" s="14"/>
      <c r="H571" s="14"/>
    </row>
    <row r="572" spans="1:8">
      <c r="A572" s="502"/>
      <c r="B572" s="502"/>
      <c r="C572" s="502"/>
      <c r="D572" s="502"/>
      <c r="E572" s="502"/>
      <c r="F572" s="502"/>
      <c r="G572" s="14"/>
      <c r="H572" s="14"/>
    </row>
    <row r="573" spans="1:8">
      <c r="A573" s="502" t="s">
        <v>1840</v>
      </c>
      <c r="B573" s="504" t="s">
        <v>1841</v>
      </c>
      <c r="C573" s="502" t="s">
        <v>60</v>
      </c>
      <c r="D573" s="502">
        <v>115</v>
      </c>
      <c r="E573" s="502" t="s">
        <v>61</v>
      </c>
      <c r="F573" s="502" t="s">
        <v>2182</v>
      </c>
      <c r="G573" s="14"/>
      <c r="H573" s="14"/>
    </row>
    <row r="574" spans="1:8">
      <c r="A574" s="503">
        <v>21805</v>
      </c>
      <c r="B574" s="502" t="s">
        <v>2183</v>
      </c>
      <c r="C574" s="502" t="s">
        <v>168</v>
      </c>
      <c r="D574" s="502"/>
      <c r="E574" s="503">
        <v>202</v>
      </c>
      <c r="F574" s="503" t="s">
        <v>2184</v>
      </c>
      <c r="G574" s="14"/>
      <c r="H574" s="14"/>
    </row>
    <row r="575" spans="1:8">
      <c r="A575" s="502"/>
      <c r="B575" s="502"/>
      <c r="C575" s="502"/>
      <c r="D575" s="502"/>
      <c r="E575" s="502"/>
      <c r="F575" s="502"/>
      <c r="G575" s="14"/>
      <c r="H575" s="14"/>
    </row>
    <row r="576" spans="1:8">
      <c r="A576" s="502"/>
      <c r="B576" s="502"/>
      <c r="C576" s="502"/>
      <c r="D576" s="502"/>
      <c r="E576" s="502"/>
      <c r="F576" s="502"/>
      <c r="G576" s="14"/>
      <c r="H576" s="14"/>
    </row>
    <row r="577" spans="1:8">
      <c r="A577" s="502"/>
      <c r="B577" s="502"/>
      <c r="C577" s="502"/>
      <c r="D577" s="502"/>
      <c r="E577" s="502"/>
      <c r="F577" s="502"/>
      <c r="G577" s="14"/>
      <c r="H577" s="14"/>
    </row>
    <row r="578" spans="1:8">
      <c r="A578" s="502" t="s">
        <v>1840</v>
      </c>
      <c r="B578" s="504" t="s">
        <v>1841</v>
      </c>
      <c r="C578" s="502" t="s">
        <v>60</v>
      </c>
      <c r="D578" s="502">
        <v>116</v>
      </c>
      <c r="E578" s="502" t="s">
        <v>61</v>
      </c>
      <c r="F578" s="502" t="s">
        <v>2185</v>
      </c>
      <c r="G578" s="14"/>
      <c r="H578" s="14"/>
    </row>
    <row r="579" spans="1:8">
      <c r="A579" s="503">
        <v>20532</v>
      </c>
      <c r="B579" s="502" t="s">
        <v>2186</v>
      </c>
      <c r="C579" s="502" t="s">
        <v>1920</v>
      </c>
      <c r="D579" s="502"/>
      <c r="E579" s="503">
        <v>296</v>
      </c>
      <c r="F579" s="503" t="s">
        <v>2187</v>
      </c>
      <c r="G579" s="14"/>
      <c r="H579" s="14"/>
    </row>
    <row r="580" spans="1:8">
      <c r="A580" s="502"/>
      <c r="B580" s="502"/>
      <c r="C580" s="502"/>
      <c r="D580" s="502"/>
      <c r="E580" s="502"/>
      <c r="F580" s="502"/>
      <c r="G580" s="14"/>
      <c r="H580" s="14"/>
    </row>
    <row r="581" spans="1:8">
      <c r="A581" s="502"/>
      <c r="B581" s="502"/>
      <c r="C581" s="502"/>
      <c r="D581" s="502"/>
      <c r="E581" s="502"/>
      <c r="F581" s="502"/>
      <c r="G581" s="14"/>
      <c r="H581" s="14"/>
    </row>
    <row r="582" spans="1:8">
      <c r="A582" s="502"/>
      <c r="B582" s="502"/>
      <c r="C582" s="502"/>
      <c r="D582" s="502"/>
      <c r="E582" s="502"/>
      <c r="F582" s="502"/>
      <c r="G582" s="14"/>
      <c r="H582" s="14"/>
    </row>
    <row r="583" spans="1:8">
      <c r="A583" s="502" t="s">
        <v>1840</v>
      </c>
      <c r="B583" s="504" t="s">
        <v>1841</v>
      </c>
      <c r="C583" s="502" t="s">
        <v>60</v>
      </c>
      <c r="D583" s="502">
        <v>117</v>
      </c>
      <c r="E583" s="502" t="s">
        <v>61</v>
      </c>
      <c r="F583" s="502" t="s">
        <v>2188</v>
      </c>
      <c r="G583" s="14"/>
      <c r="H583" s="14"/>
    </row>
    <row r="584" spans="1:8">
      <c r="A584" s="503">
        <v>18005</v>
      </c>
      <c r="B584" s="502" t="s">
        <v>2189</v>
      </c>
      <c r="C584" s="502" t="s">
        <v>1920</v>
      </c>
      <c r="D584" s="502"/>
      <c r="E584" s="503">
        <v>264</v>
      </c>
      <c r="F584" s="503" t="s">
        <v>2190</v>
      </c>
      <c r="G584" s="14"/>
      <c r="H584" s="14"/>
    </row>
    <row r="585" spans="1:8">
      <c r="A585" s="502"/>
      <c r="B585" s="502"/>
      <c r="C585" s="502"/>
      <c r="D585" s="502"/>
      <c r="E585" s="502"/>
      <c r="F585" s="502"/>
      <c r="G585" s="14"/>
      <c r="H585" s="14"/>
    </row>
    <row r="586" spans="1:8">
      <c r="A586" s="502"/>
      <c r="B586" s="502"/>
      <c r="C586" s="502"/>
      <c r="D586" s="502"/>
      <c r="E586" s="502"/>
      <c r="F586" s="502"/>
      <c r="G586" s="14"/>
      <c r="H586" s="14"/>
    </row>
    <row r="587" spans="1:8">
      <c r="A587" s="502"/>
      <c r="B587" s="502"/>
      <c r="C587" s="502"/>
      <c r="D587" s="502"/>
      <c r="E587" s="502"/>
      <c r="F587" s="502"/>
      <c r="G587" s="14"/>
      <c r="H587" s="14"/>
    </row>
    <row r="588" spans="1:8">
      <c r="A588" s="502" t="s">
        <v>1840</v>
      </c>
      <c r="B588" s="504" t="s">
        <v>1841</v>
      </c>
      <c r="C588" s="502" t="s">
        <v>60</v>
      </c>
      <c r="D588" s="502">
        <v>118</v>
      </c>
      <c r="E588" s="502" t="s">
        <v>61</v>
      </c>
      <c r="F588" s="502" t="s">
        <v>2191</v>
      </c>
      <c r="G588" s="14"/>
      <c r="H588" s="14"/>
    </row>
    <row r="589" spans="1:8">
      <c r="A589" s="503">
        <v>14057</v>
      </c>
      <c r="B589" s="502" t="s">
        <v>2192</v>
      </c>
      <c r="C589" s="502" t="s">
        <v>2193</v>
      </c>
      <c r="D589" s="502"/>
      <c r="E589" s="503">
        <v>235</v>
      </c>
      <c r="F589" s="503" t="s">
        <v>2194</v>
      </c>
      <c r="G589" s="14"/>
      <c r="H589" s="14"/>
    </row>
    <row r="590" spans="1:8">
      <c r="A590" s="502"/>
      <c r="B590" s="502"/>
      <c r="C590" s="502"/>
      <c r="D590" s="502"/>
      <c r="E590" s="502"/>
      <c r="F590" s="502"/>
      <c r="G590" s="14"/>
      <c r="H590" s="14"/>
    </row>
    <row r="591" spans="1:8">
      <c r="A591" s="502"/>
      <c r="B591" s="502"/>
      <c r="C591" s="502"/>
      <c r="D591" s="502"/>
      <c r="E591" s="502"/>
      <c r="F591" s="502"/>
      <c r="G591" s="14"/>
      <c r="H591" s="14"/>
    </row>
    <row r="592" spans="1:8">
      <c r="A592" s="502"/>
      <c r="B592" s="502"/>
      <c r="C592" s="502"/>
      <c r="D592" s="502"/>
      <c r="E592" s="502"/>
      <c r="F592" s="502"/>
      <c r="G592" s="14"/>
      <c r="H592" s="14"/>
    </row>
    <row r="593" spans="1:8">
      <c r="A593" s="502" t="s">
        <v>1840</v>
      </c>
      <c r="B593" s="504" t="s">
        <v>1841</v>
      </c>
      <c r="C593" s="502" t="s">
        <v>60</v>
      </c>
      <c r="D593" s="502">
        <v>119</v>
      </c>
      <c r="E593" s="502" t="s">
        <v>61</v>
      </c>
      <c r="F593" s="502" t="s">
        <v>2195</v>
      </c>
      <c r="G593" s="14"/>
      <c r="H593" s="14"/>
    </row>
    <row r="594" spans="1:8">
      <c r="A594" s="503">
        <v>20676</v>
      </c>
      <c r="B594" s="502" t="s">
        <v>2196</v>
      </c>
      <c r="C594" s="502" t="s">
        <v>2193</v>
      </c>
      <c r="D594" s="502"/>
      <c r="E594" s="503">
        <v>223</v>
      </c>
      <c r="F594" s="503" t="s">
        <v>2197</v>
      </c>
      <c r="G594" s="14"/>
      <c r="H594" s="14"/>
    </row>
    <row r="595" spans="1:8">
      <c r="A595" s="502"/>
      <c r="B595" s="502"/>
      <c r="C595" s="502"/>
      <c r="D595" s="502"/>
      <c r="E595" s="502"/>
      <c r="F595" s="502"/>
      <c r="G595" s="14"/>
      <c r="H595" s="14"/>
    </row>
    <row r="596" spans="1:8">
      <c r="A596" s="502"/>
      <c r="B596" s="502"/>
      <c r="C596" s="502"/>
      <c r="D596" s="502"/>
      <c r="E596" s="502"/>
      <c r="F596" s="502"/>
      <c r="G596" s="14"/>
      <c r="H596" s="14"/>
    </row>
    <row r="597" spans="1:8">
      <c r="A597" s="502"/>
      <c r="B597" s="502"/>
      <c r="C597" s="502"/>
      <c r="D597" s="502"/>
      <c r="E597" s="502"/>
      <c r="F597" s="502"/>
      <c r="G597" s="14"/>
      <c r="H597" s="14"/>
    </row>
    <row r="598" spans="1:8">
      <c r="A598" s="502" t="s">
        <v>1840</v>
      </c>
      <c r="B598" s="504" t="s">
        <v>1841</v>
      </c>
      <c r="C598" s="502" t="s">
        <v>60</v>
      </c>
      <c r="D598" s="502">
        <v>120</v>
      </c>
      <c r="E598" s="502" t="s">
        <v>61</v>
      </c>
      <c r="F598" s="502" t="s">
        <v>2198</v>
      </c>
      <c r="G598" s="14"/>
      <c r="H598" s="14"/>
    </row>
    <row r="599" spans="1:8">
      <c r="A599" s="503">
        <v>19026</v>
      </c>
      <c r="B599" s="502" t="s">
        <v>2199</v>
      </c>
      <c r="C599" s="502" t="s">
        <v>1179</v>
      </c>
      <c r="D599" s="502"/>
      <c r="E599" s="503">
        <v>329</v>
      </c>
      <c r="F599" s="503" t="s">
        <v>2200</v>
      </c>
      <c r="G599" s="14"/>
      <c r="H599" s="14"/>
    </row>
    <row r="600" spans="1:8">
      <c r="A600" s="502"/>
      <c r="B600" s="502"/>
      <c r="C600" s="502"/>
      <c r="D600" s="502"/>
      <c r="E600" s="502"/>
      <c r="F600" s="502"/>
      <c r="G600" s="14"/>
      <c r="H600" s="14"/>
    </row>
    <row r="601" spans="1:8">
      <c r="A601" s="502"/>
      <c r="B601" s="502"/>
      <c r="C601" s="502"/>
      <c r="D601" s="502"/>
      <c r="E601" s="502"/>
      <c r="F601" s="502"/>
      <c r="G601" s="14"/>
      <c r="H601" s="14"/>
    </row>
    <row r="602" spans="1:8">
      <c r="A602" s="502"/>
      <c r="B602" s="502"/>
      <c r="C602" s="502"/>
      <c r="D602" s="502"/>
      <c r="E602" s="502"/>
      <c r="F602" s="502"/>
      <c r="G602" s="14"/>
      <c r="H602" s="14"/>
    </row>
    <row r="603" spans="1:8">
      <c r="A603" s="502" t="s">
        <v>1840</v>
      </c>
      <c r="B603" s="504" t="s">
        <v>1841</v>
      </c>
      <c r="C603" s="502" t="s">
        <v>60</v>
      </c>
      <c r="D603" s="502">
        <v>121</v>
      </c>
      <c r="E603" s="502" t="s">
        <v>61</v>
      </c>
      <c r="F603" s="502" t="s">
        <v>2201</v>
      </c>
      <c r="G603" s="14"/>
      <c r="H603" s="14"/>
    </row>
    <row r="604" spans="1:8">
      <c r="A604" s="503">
        <v>20557</v>
      </c>
      <c r="B604" s="502" t="s">
        <v>2202</v>
      </c>
      <c r="C604" s="502" t="s">
        <v>1179</v>
      </c>
      <c r="D604" s="502"/>
      <c r="E604" s="503">
        <v>221</v>
      </c>
      <c r="F604" s="503" t="s">
        <v>2203</v>
      </c>
      <c r="G604" s="14"/>
      <c r="H604" s="14"/>
    </row>
    <row r="605" spans="1:8">
      <c r="A605" s="502"/>
      <c r="B605" s="502"/>
      <c r="C605" s="502"/>
      <c r="D605" s="502"/>
      <c r="E605" s="502"/>
      <c r="F605" s="502"/>
      <c r="G605" s="14"/>
      <c r="H605" s="14"/>
    </row>
    <row r="606" spans="1:8">
      <c r="A606" s="502"/>
      <c r="B606" s="502"/>
      <c r="C606" s="502"/>
      <c r="D606" s="502"/>
      <c r="E606" s="502"/>
      <c r="F606" s="502"/>
      <c r="G606" s="14"/>
      <c r="H606" s="14"/>
    </row>
    <row r="607" spans="1:8">
      <c r="A607" s="502"/>
      <c r="B607" s="502"/>
      <c r="C607" s="502"/>
      <c r="D607" s="502"/>
      <c r="E607" s="502"/>
      <c r="F607" s="502"/>
      <c r="G607" s="14"/>
      <c r="H607" s="14"/>
    </row>
    <row r="608" spans="1:8">
      <c r="A608" s="502" t="s">
        <v>1840</v>
      </c>
      <c r="B608" s="504" t="s">
        <v>1841</v>
      </c>
      <c r="C608" s="502" t="s">
        <v>60</v>
      </c>
      <c r="D608" s="502">
        <v>122</v>
      </c>
      <c r="E608" s="502" t="s">
        <v>61</v>
      </c>
      <c r="F608" s="502" t="s">
        <v>2204</v>
      </c>
      <c r="G608" s="14"/>
      <c r="H608" s="14"/>
    </row>
    <row r="609" spans="1:8">
      <c r="A609" s="503">
        <v>19013</v>
      </c>
      <c r="B609" s="502" t="s">
        <v>2205</v>
      </c>
      <c r="C609" s="502" t="s">
        <v>168</v>
      </c>
      <c r="D609" s="502"/>
      <c r="E609" s="503">
        <v>214</v>
      </c>
      <c r="F609" s="503" t="s">
        <v>2206</v>
      </c>
      <c r="G609" s="14"/>
      <c r="H609" s="14"/>
    </row>
    <row r="610" spans="1:8">
      <c r="A610" s="502"/>
      <c r="B610" s="502"/>
      <c r="C610" s="502"/>
      <c r="D610" s="502"/>
      <c r="E610" s="502"/>
      <c r="F610" s="502"/>
      <c r="G610" s="14"/>
      <c r="H610" s="14"/>
    </row>
    <row r="611" spans="1:8">
      <c r="A611" s="502"/>
      <c r="B611" s="502"/>
      <c r="C611" s="502"/>
      <c r="D611" s="502"/>
      <c r="E611" s="502"/>
      <c r="F611" s="502"/>
      <c r="G611" s="14"/>
      <c r="H611" s="14"/>
    </row>
    <row r="612" spans="1:8">
      <c r="A612" s="502"/>
      <c r="B612" s="502"/>
      <c r="C612" s="502"/>
      <c r="D612" s="502"/>
      <c r="E612" s="502"/>
      <c r="F612" s="502"/>
      <c r="G612" s="14"/>
      <c r="H612" s="14"/>
    </row>
    <row r="613" spans="1:8">
      <c r="A613" s="502" t="s">
        <v>1840</v>
      </c>
      <c r="B613" s="504" t="s">
        <v>1841</v>
      </c>
      <c r="C613" s="502" t="s">
        <v>60</v>
      </c>
      <c r="D613" s="502">
        <v>123</v>
      </c>
      <c r="E613" s="502" t="s">
        <v>61</v>
      </c>
      <c r="F613" s="502" t="s">
        <v>2207</v>
      </c>
      <c r="G613" s="14"/>
      <c r="H613" s="14"/>
    </row>
    <row r="614" spans="1:8">
      <c r="A614" s="503">
        <v>19006</v>
      </c>
      <c r="B614" s="502" t="s">
        <v>2208</v>
      </c>
      <c r="C614" s="502" t="s">
        <v>1920</v>
      </c>
      <c r="D614" s="502"/>
      <c r="E614" s="503">
        <v>283</v>
      </c>
      <c r="F614" s="503" t="s">
        <v>2209</v>
      </c>
      <c r="G614" s="14"/>
      <c r="H614" s="14"/>
    </row>
    <row r="615" spans="1:8">
      <c r="A615" s="502"/>
      <c r="B615" s="502"/>
      <c r="C615" s="502"/>
      <c r="D615" s="502"/>
      <c r="E615" s="502"/>
      <c r="F615" s="502"/>
      <c r="G615" s="14"/>
      <c r="H615" s="14"/>
    </row>
    <row r="616" spans="1:8">
      <c r="A616" s="502"/>
      <c r="B616" s="502"/>
      <c r="C616" s="502"/>
      <c r="D616" s="502"/>
      <c r="E616" s="502"/>
      <c r="F616" s="502"/>
      <c r="G616" s="14"/>
      <c r="H616" s="14"/>
    </row>
    <row r="617" spans="1:8">
      <c r="A617" s="502"/>
      <c r="B617" s="502"/>
      <c r="C617" s="502"/>
      <c r="D617" s="502"/>
      <c r="E617" s="502"/>
      <c r="F617" s="502"/>
      <c r="G617" s="14"/>
      <c r="H617" s="14"/>
    </row>
    <row r="618" spans="1:8">
      <c r="A618" s="502" t="s">
        <v>1840</v>
      </c>
      <c r="B618" s="504" t="s">
        <v>1841</v>
      </c>
      <c r="C618" s="502" t="s">
        <v>60</v>
      </c>
      <c r="D618" s="502">
        <v>124</v>
      </c>
      <c r="E618" s="502" t="s">
        <v>61</v>
      </c>
      <c r="F618" s="502" t="s">
        <v>2210</v>
      </c>
      <c r="G618" s="14"/>
      <c r="H618" s="14"/>
    </row>
    <row r="619" spans="1:8">
      <c r="A619" s="503">
        <v>20533</v>
      </c>
      <c r="B619" s="502" t="s">
        <v>2211</v>
      </c>
      <c r="C619" s="502" t="s">
        <v>1920</v>
      </c>
      <c r="D619" s="502"/>
      <c r="E619" s="503">
        <v>266</v>
      </c>
      <c r="F619" s="503" t="s">
        <v>2212</v>
      </c>
      <c r="G619" s="14"/>
      <c r="H619" s="14"/>
    </row>
    <row r="620" spans="1:8">
      <c r="A620" s="502"/>
      <c r="B620" s="502"/>
      <c r="C620" s="502"/>
      <c r="D620" s="502"/>
      <c r="E620" s="502"/>
      <c r="F620" s="502"/>
      <c r="G620" s="14"/>
      <c r="H620" s="14"/>
    </row>
    <row r="621" spans="1:8">
      <c r="A621" s="502"/>
      <c r="B621" s="502"/>
      <c r="C621" s="502"/>
      <c r="D621" s="502"/>
      <c r="E621" s="502"/>
      <c r="F621" s="502"/>
      <c r="G621" s="14"/>
      <c r="H621" s="14"/>
    </row>
    <row r="622" spans="1:8">
      <c r="A622" s="502"/>
      <c r="B622" s="502"/>
      <c r="C622" s="502"/>
      <c r="D622" s="502"/>
      <c r="E622" s="502"/>
      <c r="F622" s="502"/>
      <c r="G622" s="14"/>
      <c r="H622" s="14"/>
    </row>
    <row r="623" spans="1:8">
      <c r="A623" s="502" t="s">
        <v>1840</v>
      </c>
      <c r="B623" s="504" t="s">
        <v>1841</v>
      </c>
      <c r="C623" s="502" t="s">
        <v>60</v>
      </c>
      <c r="D623" s="502">
        <v>125</v>
      </c>
      <c r="E623" s="502" t="s">
        <v>61</v>
      </c>
      <c r="F623" s="502" t="s">
        <v>2213</v>
      </c>
      <c r="G623" s="14"/>
      <c r="H623" s="14"/>
    </row>
    <row r="624" spans="1:8">
      <c r="A624" s="503">
        <v>28047</v>
      </c>
      <c r="B624" s="502" t="s">
        <v>2214</v>
      </c>
      <c r="C624" s="502" t="s">
        <v>472</v>
      </c>
      <c r="D624" s="502"/>
      <c r="E624" s="503">
        <v>204</v>
      </c>
      <c r="F624" s="503" t="s">
        <v>2215</v>
      </c>
      <c r="G624" s="14"/>
      <c r="H624" s="14"/>
    </row>
    <row r="625" spans="1:8">
      <c r="A625" s="502"/>
      <c r="B625" s="502"/>
      <c r="C625" s="502"/>
      <c r="D625" s="502"/>
      <c r="E625" s="502"/>
      <c r="F625" s="502"/>
      <c r="G625" s="14"/>
      <c r="H625" s="14"/>
    </row>
    <row r="626" spans="1:8">
      <c r="A626" s="502"/>
      <c r="B626" s="502"/>
      <c r="C626" s="502"/>
      <c r="D626" s="502"/>
      <c r="E626" s="502"/>
      <c r="F626" s="502"/>
      <c r="G626" s="14"/>
      <c r="H626" s="14"/>
    </row>
    <row r="627" spans="1:8">
      <c r="A627" s="502"/>
      <c r="B627" s="502"/>
      <c r="C627" s="502"/>
      <c r="D627" s="502"/>
      <c r="E627" s="502"/>
      <c r="F627" s="502"/>
      <c r="G627" s="14"/>
      <c r="H627" s="14"/>
    </row>
    <row r="628" spans="1:8">
      <c r="A628" s="502" t="s">
        <v>1840</v>
      </c>
      <c r="B628" s="504" t="s">
        <v>1841</v>
      </c>
      <c r="C628" s="502" t="s">
        <v>60</v>
      </c>
      <c r="D628" s="502">
        <v>126</v>
      </c>
      <c r="E628" s="502" t="s">
        <v>61</v>
      </c>
      <c r="F628" s="502" t="s">
        <v>2216</v>
      </c>
      <c r="G628" s="14"/>
      <c r="H628" s="14"/>
    </row>
    <row r="629" spans="1:8">
      <c r="A629" s="503">
        <v>20534</v>
      </c>
      <c r="B629" s="502" t="s">
        <v>2217</v>
      </c>
      <c r="C629" s="502" t="s">
        <v>1920</v>
      </c>
      <c r="D629" s="502"/>
      <c r="E629" s="503">
        <v>326</v>
      </c>
      <c r="F629" s="503" t="s">
        <v>2218</v>
      </c>
      <c r="G629" s="14"/>
      <c r="H629" s="14"/>
    </row>
    <row r="630" spans="1:8">
      <c r="A630" s="502"/>
      <c r="B630" s="502"/>
      <c r="C630" s="502"/>
      <c r="D630" s="502"/>
      <c r="E630" s="502"/>
      <c r="F630" s="502"/>
      <c r="G630" s="14"/>
      <c r="H630" s="14"/>
    </row>
    <row r="631" spans="1:8">
      <c r="A631" s="502"/>
      <c r="B631" s="502"/>
      <c r="C631" s="502"/>
      <c r="D631" s="502"/>
      <c r="E631" s="502"/>
      <c r="F631" s="502"/>
      <c r="G631" s="14"/>
      <c r="H631" s="14"/>
    </row>
    <row r="632" spans="1:8">
      <c r="A632" s="502"/>
      <c r="B632" s="502"/>
      <c r="C632" s="502"/>
      <c r="D632" s="502"/>
      <c r="E632" s="502"/>
      <c r="F632" s="502"/>
      <c r="G632" s="14"/>
      <c r="H632" s="14"/>
    </row>
    <row r="633" spans="1:8">
      <c r="A633" s="502" t="s">
        <v>1840</v>
      </c>
      <c r="B633" s="504" t="s">
        <v>1841</v>
      </c>
      <c r="C633" s="502" t="s">
        <v>60</v>
      </c>
      <c r="D633" s="502">
        <v>127</v>
      </c>
      <c r="E633" s="502" t="s">
        <v>61</v>
      </c>
      <c r="F633" s="502" t="s">
        <v>2219</v>
      </c>
      <c r="G633" s="14"/>
      <c r="H633" s="14"/>
    </row>
    <row r="634" spans="1:8">
      <c r="A634" s="503">
        <v>18074</v>
      </c>
      <c r="B634" s="502" t="s">
        <v>2220</v>
      </c>
      <c r="C634" s="502" t="s">
        <v>153</v>
      </c>
      <c r="D634" s="502"/>
      <c r="E634" s="503">
        <v>315</v>
      </c>
      <c r="F634" s="503" t="s">
        <v>2221</v>
      </c>
      <c r="G634" s="14"/>
      <c r="H634" s="14"/>
    </row>
    <row r="635" spans="1:8">
      <c r="A635" s="502"/>
      <c r="B635" s="502"/>
      <c r="C635" s="502"/>
      <c r="D635" s="502"/>
      <c r="E635" s="502"/>
      <c r="F635" s="502"/>
      <c r="G635" s="14"/>
      <c r="H635" s="14"/>
    </row>
    <row r="636" spans="1:8">
      <c r="A636" s="502"/>
      <c r="B636" s="502"/>
      <c r="C636" s="502"/>
      <c r="D636" s="502"/>
      <c r="E636" s="502"/>
      <c r="F636" s="502"/>
      <c r="G636" s="14"/>
      <c r="H636" s="14"/>
    </row>
    <row r="637" spans="1:8">
      <c r="A637" s="502"/>
      <c r="B637" s="502"/>
      <c r="C637" s="502"/>
      <c r="D637" s="502"/>
      <c r="E637" s="502"/>
      <c r="F637" s="502"/>
      <c r="G637" s="14"/>
      <c r="H637" s="14"/>
    </row>
    <row r="638" spans="1:8">
      <c r="A638" s="502" t="s">
        <v>1840</v>
      </c>
      <c r="B638" s="504" t="s">
        <v>1841</v>
      </c>
      <c r="C638" s="502" t="s">
        <v>60</v>
      </c>
      <c r="D638" s="502">
        <v>128</v>
      </c>
      <c r="E638" s="502" t="s">
        <v>61</v>
      </c>
      <c r="F638" s="502" t="s">
        <v>2222</v>
      </c>
      <c r="G638" s="14"/>
      <c r="H638" s="14"/>
    </row>
    <row r="639" spans="1:8">
      <c r="A639" s="503">
        <v>10034</v>
      </c>
      <c r="B639" s="502" t="s">
        <v>2223</v>
      </c>
      <c r="C639" s="502" t="s">
        <v>635</v>
      </c>
      <c r="D639" s="502"/>
      <c r="E639" s="503">
        <v>254</v>
      </c>
      <c r="F639" s="503" t="s">
        <v>2224</v>
      </c>
      <c r="G639" s="14"/>
      <c r="H639" s="14"/>
    </row>
    <row r="640" spans="1:8">
      <c r="A640" s="502"/>
      <c r="B640" s="502"/>
      <c r="C640" s="502"/>
      <c r="D640" s="502"/>
      <c r="E640" s="502"/>
      <c r="F640" s="502"/>
      <c r="G640" s="14"/>
      <c r="H640" s="14"/>
    </row>
    <row r="641" spans="1:8">
      <c r="A641" s="502"/>
      <c r="B641" s="502"/>
      <c r="C641" s="502"/>
      <c r="D641" s="502"/>
      <c r="E641" s="502"/>
      <c r="F641" s="502"/>
      <c r="G641" s="14"/>
      <c r="H641" s="14"/>
    </row>
    <row r="642" spans="1:8">
      <c r="A642" s="502"/>
      <c r="B642" s="502"/>
      <c r="C642" s="502"/>
      <c r="D642" s="502"/>
      <c r="E642" s="502"/>
      <c r="F642" s="502"/>
      <c r="G642" s="14"/>
      <c r="H642" s="14"/>
    </row>
    <row r="643" spans="1:8">
      <c r="A643" s="502" t="s">
        <v>1840</v>
      </c>
      <c r="B643" s="504" t="s">
        <v>1841</v>
      </c>
      <c r="C643" s="502" t="s">
        <v>60</v>
      </c>
      <c r="D643" s="502">
        <v>129</v>
      </c>
      <c r="E643" s="502" t="s">
        <v>61</v>
      </c>
      <c r="F643" s="502" t="s">
        <v>2225</v>
      </c>
      <c r="G643" s="14"/>
      <c r="H643" s="14"/>
    </row>
    <row r="644" spans="1:8">
      <c r="A644" s="503">
        <v>20528</v>
      </c>
      <c r="B644" s="502" t="s">
        <v>2226</v>
      </c>
      <c r="C644" s="502" t="s">
        <v>2024</v>
      </c>
      <c r="D644" s="502"/>
      <c r="E644" s="503">
        <v>341</v>
      </c>
      <c r="F644" s="503" t="s">
        <v>2227</v>
      </c>
      <c r="G644" s="14"/>
      <c r="H644" s="14"/>
    </row>
    <row r="645" spans="1:8">
      <c r="A645" s="502"/>
      <c r="B645" s="502"/>
      <c r="C645" s="502"/>
      <c r="D645" s="502"/>
      <c r="E645" s="502"/>
      <c r="F645" s="502"/>
      <c r="G645" s="14"/>
      <c r="H645" s="14"/>
    </row>
    <row r="646" spans="1:8">
      <c r="A646" s="502"/>
      <c r="B646" s="502"/>
      <c r="C646" s="502"/>
      <c r="D646" s="502"/>
      <c r="E646" s="502"/>
      <c r="F646" s="502"/>
      <c r="G646" s="14"/>
      <c r="H646" s="14"/>
    </row>
    <row r="647" spans="1:8">
      <c r="A647" s="502"/>
      <c r="B647" s="502"/>
      <c r="C647" s="502"/>
      <c r="D647" s="502"/>
      <c r="E647" s="502"/>
      <c r="F647" s="502"/>
      <c r="G647" s="14"/>
      <c r="H647" s="14"/>
    </row>
    <row r="648" spans="1:8">
      <c r="A648" s="502" t="s">
        <v>1840</v>
      </c>
      <c r="B648" s="504" t="s">
        <v>1841</v>
      </c>
      <c r="C648" s="502" t="s">
        <v>60</v>
      </c>
      <c r="D648" s="502">
        <v>130</v>
      </c>
      <c r="E648" s="502" t="s">
        <v>61</v>
      </c>
      <c r="F648" s="502" t="s">
        <v>2228</v>
      </c>
      <c r="G648" s="14"/>
      <c r="H648" s="14"/>
    </row>
    <row r="649" spans="1:8">
      <c r="A649" s="503">
        <v>16072</v>
      </c>
      <c r="B649" s="502" t="s">
        <v>2229</v>
      </c>
      <c r="C649" s="502" t="s">
        <v>1920</v>
      </c>
      <c r="D649" s="502"/>
      <c r="E649" s="503">
        <v>311</v>
      </c>
      <c r="F649" s="503" t="s">
        <v>2230</v>
      </c>
      <c r="G649" s="14"/>
      <c r="H649" s="14"/>
    </row>
    <row r="650" spans="1:8">
      <c r="A650" s="502"/>
      <c r="B650" s="502"/>
      <c r="C650" s="502"/>
      <c r="D650" s="502"/>
      <c r="E650" s="502"/>
      <c r="F650" s="502"/>
      <c r="G650" s="14"/>
      <c r="H650" s="14"/>
    </row>
    <row r="651" spans="1:8">
      <c r="A651" s="502"/>
      <c r="B651" s="502"/>
      <c r="C651" s="502"/>
      <c r="D651" s="502"/>
      <c r="E651" s="502"/>
      <c r="F651" s="502"/>
      <c r="G651" s="14"/>
      <c r="H651" s="14"/>
    </row>
    <row r="652" spans="1:8">
      <c r="A652" s="502"/>
      <c r="B652" s="502"/>
      <c r="C652" s="502"/>
      <c r="D652" s="502"/>
      <c r="E652" s="502"/>
      <c r="F652" s="502"/>
      <c r="G652" s="14"/>
      <c r="H652" s="14"/>
    </row>
    <row r="653" spans="1:8">
      <c r="A653" s="502" t="s">
        <v>1840</v>
      </c>
      <c r="B653" s="504" t="s">
        <v>1841</v>
      </c>
      <c r="C653" s="502" t="s">
        <v>60</v>
      </c>
      <c r="D653" s="502">
        <v>131</v>
      </c>
      <c r="E653" s="502" t="s">
        <v>61</v>
      </c>
      <c r="F653" s="502" t="s">
        <v>2231</v>
      </c>
      <c r="G653" s="14"/>
      <c r="H653" s="14"/>
    </row>
    <row r="654" spans="1:8">
      <c r="A654" s="503">
        <v>18043</v>
      </c>
      <c r="B654" s="502" t="s">
        <v>2232</v>
      </c>
      <c r="C654" s="502" t="s">
        <v>2193</v>
      </c>
      <c r="D654" s="502"/>
      <c r="E654" s="503">
        <v>342</v>
      </c>
      <c r="F654" s="503" t="s">
        <v>2233</v>
      </c>
      <c r="G654" s="14"/>
      <c r="H654" s="14"/>
    </row>
    <row r="655" spans="1:8">
      <c r="A655" s="502"/>
      <c r="B655" s="502"/>
      <c r="C655" s="502"/>
      <c r="D655" s="502"/>
      <c r="E655" s="502"/>
      <c r="F655" s="502"/>
      <c r="G655" s="14"/>
      <c r="H655" s="14"/>
    </row>
    <row r="656" spans="1:8">
      <c r="A656" s="502"/>
      <c r="B656" s="502"/>
      <c r="C656" s="502"/>
      <c r="D656" s="502"/>
      <c r="E656" s="502"/>
      <c r="F656" s="502"/>
      <c r="G656" s="14"/>
      <c r="H656" s="14"/>
    </row>
    <row r="657" spans="1:8">
      <c r="A657" s="502"/>
      <c r="B657" s="502"/>
      <c r="C657" s="502"/>
      <c r="D657" s="502"/>
      <c r="E657" s="502"/>
      <c r="F657" s="502"/>
      <c r="G657" s="14"/>
      <c r="H657" s="14"/>
    </row>
    <row r="658" spans="1:8">
      <c r="A658" s="502" t="s">
        <v>1840</v>
      </c>
      <c r="B658" s="504" t="s">
        <v>1841</v>
      </c>
      <c r="C658" s="502" t="s">
        <v>60</v>
      </c>
      <c r="D658" s="502">
        <v>132</v>
      </c>
      <c r="E658" s="502" t="s">
        <v>61</v>
      </c>
      <c r="F658" s="502" t="s">
        <v>2234</v>
      </c>
      <c r="G658" s="14"/>
      <c r="H658" s="14"/>
    </row>
    <row r="659" spans="1:8">
      <c r="A659" s="503">
        <v>20536</v>
      </c>
      <c r="B659" s="502" t="s">
        <v>2235</v>
      </c>
      <c r="C659" s="502" t="s">
        <v>1583</v>
      </c>
      <c r="D659" s="502"/>
      <c r="E659" s="503">
        <v>344</v>
      </c>
      <c r="F659" s="503" t="s">
        <v>2236</v>
      </c>
      <c r="G659" s="14"/>
      <c r="H659" s="14"/>
    </row>
    <row r="660" spans="1:8">
      <c r="A660" s="502"/>
      <c r="B660" s="502"/>
      <c r="C660" s="502"/>
      <c r="D660" s="502"/>
      <c r="E660" s="502"/>
      <c r="F660" s="502"/>
      <c r="G660" s="14"/>
      <c r="H660" s="14"/>
    </row>
    <row r="661" spans="1:8">
      <c r="A661" s="502"/>
      <c r="B661" s="502"/>
      <c r="C661" s="502"/>
      <c r="D661" s="502"/>
      <c r="E661" s="502"/>
      <c r="F661" s="502"/>
      <c r="G661" s="14"/>
      <c r="H661" s="14"/>
    </row>
    <row r="662" spans="1:8">
      <c r="A662" s="502"/>
      <c r="B662" s="502"/>
      <c r="C662" s="502"/>
      <c r="D662" s="502"/>
      <c r="E662" s="502"/>
      <c r="F662" s="502"/>
      <c r="G662" s="14"/>
      <c r="H662" s="14"/>
    </row>
    <row r="663" spans="1:8">
      <c r="A663" s="502" t="s">
        <v>1840</v>
      </c>
      <c r="B663" s="504" t="s">
        <v>1841</v>
      </c>
      <c r="C663" s="502" t="s">
        <v>60</v>
      </c>
      <c r="D663" s="502">
        <v>133</v>
      </c>
      <c r="E663" s="502" t="s">
        <v>61</v>
      </c>
      <c r="F663" s="502" t="s">
        <v>2237</v>
      </c>
      <c r="G663" s="14"/>
      <c r="H663" s="14"/>
    </row>
    <row r="664" spans="1:8">
      <c r="A664" s="503">
        <v>18021</v>
      </c>
      <c r="B664" s="502" t="s">
        <v>2238</v>
      </c>
      <c r="C664" s="502" t="s">
        <v>1920</v>
      </c>
      <c r="D664" s="502"/>
      <c r="E664" s="503">
        <v>372</v>
      </c>
      <c r="F664" s="503" t="s">
        <v>2239</v>
      </c>
    </row>
    <row r="665" spans="1:8">
      <c r="A665" s="502"/>
      <c r="B665" s="502"/>
      <c r="C665" s="502"/>
      <c r="D665" s="502"/>
      <c r="E665" s="502"/>
      <c r="F665" s="502"/>
    </row>
    <row r="666" spans="1:8">
      <c r="A666" s="502"/>
      <c r="B666" s="502"/>
      <c r="C666" s="502"/>
      <c r="D666" s="502"/>
      <c r="E666" s="502"/>
      <c r="F666" s="502"/>
    </row>
    <row r="667" spans="1:8">
      <c r="A667" s="502"/>
      <c r="B667" s="502"/>
      <c r="C667" s="502"/>
      <c r="D667" s="502"/>
      <c r="E667" s="502"/>
      <c r="F667" s="502"/>
    </row>
    <row r="668" spans="1:8">
      <c r="A668" s="502" t="s">
        <v>1840</v>
      </c>
      <c r="B668" s="504" t="s">
        <v>1841</v>
      </c>
      <c r="C668" s="502" t="s">
        <v>60</v>
      </c>
      <c r="D668" s="502">
        <v>134</v>
      </c>
      <c r="E668" s="502" t="s">
        <v>61</v>
      </c>
      <c r="F668" s="502" t="s">
        <v>2240</v>
      </c>
    </row>
    <row r="669" spans="1:8">
      <c r="A669" s="503">
        <v>23055</v>
      </c>
      <c r="B669" s="502" t="s">
        <v>2241</v>
      </c>
      <c r="C669" s="502" t="s">
        <v>163</v>
      </c>
      <c r="D669" s="502"/>
      <c r="E669" s="503">
        <v>380</v>
      </c>
      <c r="F669" s="503" t="s">
        <v>2242</v>
      </c>
    </row>
    <row r="670" spans="1:8">
      <c r="A670" s="502"/>
      <c r="B670" s="502"/>
      <c r="C670" s="502"/>
      <c r="D670" s="502"/>
      <c r="E670" s="502"/>
      <c r="F670" s="502"/>
    </row>
    <row r="671" spans="1:8">
      <c r="A671" s="502"/>
      <c r="B671" s="502"/>
      <c r="C671" s="502"/>
      <c r="D671" s="502"/>
      <c r="E671" s="502"/>
      <c r="F671" s="502"/>
    </row>
    <row r="672" spans="1:8">
      <c r="A672" s="502"/>
      <c r="B672" s="502"/>
      <c r="C672" s="502"/>
      <c r="D672" s="502"/>
      <c r="E672" s="502"/>
      <c r="F672" s="502"/>
    </row>
    <row r="673" spans="1:6">
      <c r="A673" s="502" t="s">
        <v>1840</v>
      </c>
      <c r="B673" s="504" t="s">
        <v>1841</v>
      </c>
      <c r="C673" s="502" t="s">
        <v>60</v>
      </c>
      <c r="D673" s="502">
        <v>135</v>
      </c>
      <c r="E673" s="502" t="s">
        <v>61</v>
      </c>
      <c r="F673" s="502" t="s">
        <v>2243</v>
      </c>
    </row>
    <row r="674" spans="1:6">
      <c r="A674" s="503">
        <v>16079</v>
      </c>
      <c r="B674" s="502" t="s">
        <v>2244</v>
      </c>
      <c r="C674" s="502" t="s">
        <v>242</v>
      </c>
      <c r="D674" s="502"/>
      <c r="E674" s="503">
        <v>343</v>
      </c>
      <c r="F674" s="503" t="s">
        <v>2245</v>
      </c>
    </row>
    <row r="675" spans="1:6">
      <c r="A675" s="502"/>
      <c r="B675" s="502"/>
      <c r="C675" s="502"/>
      <c r="D675" s="502"/>
      <c r="E675" s="502"/>
      <c r="F675" s="502"/>
    </row>
    <row r="676" spans="1:6">
      <c r="A676" s="502"/>
      <c r="B676" s="502"/>
      <c r="C676" s="502"/>
      <c r="D676" s="502"/>
      <c r="E676" s="502"/>
      <c r="F676" s="502"/>
    </row>
    <row r="677" spans="1:6">
      <c r="A677" s="502"/>
      <c r="B677" s="502"/>
      <c r="C677" s="502"/>
      <c r="D677" s="502"/>
      <c r="E677" s="502"/>
      <c r="F677" s="502"/>
    </row>
    <row r="678" spans="1:6">
      <c r="A678" s="502" t="s">
        <v>1840</v>
      </c>
      <c r="B678" s="504" t="s">
        <v>1841</v>
      </c>
      <c r="C678" s="502" t="s">
        <v>60</v>
      </c>
      <c r="D678" s="502">
        <v>136</v>
      </c>
      <c r="E678" s="502" t="s">
        <v>61</v>
      </c>
      <c r="F678" s="502" t="s">
        <v>2246</v>
      </c>
    </row>
    <row r="679" spans="1:6">
      <c r="A679" s="503">
        <v>21756</v>
      </c>
      <c r="B679" s="502" t="s">
        <v>2247</v>
      </c>
      <c r="C679" s="502" t="s">
        <v>212</v>
      </c>
      <c r="D679" s="502"/>
      <c r="E679" s="503">
        <v>385</v>
      </c>
      <c r="F679" s="503" t="s">
        <v>2248</v>
      </c>
    </row>
    <row r="680" spans="1:6">
      <c r="A680" s="502"/>
      <c r="B680" s="502"/>
      <c r="C680" s="502"/>
      <c r="D680" s="502"/>
      <c r="E680" s="502"/>
      <c r="F680" s="502"/>
    </row>
    <row r="681" spans="1:6">
      <c r="A681" s="502"/>
      <c r="B681" s="502"/>
      <c r="C681" s="502"/>
      <c r="D681" s="502"/>
      <c r="E681" s="502"/>
      <c r="F681" s="502"/>
    </row>
    <row r="682" spans="1:6">
      <c r="A682" s="502"/>
      <c r="B682" s="502"/>
      <c r="C682" s="502"/>
      <c r="D682" s="502"/>
      <c r="E682" s="502"/>
      <c r="F682" s="502"/>
    </row>
    <row r="683" spans="1:6">
      <c r="A683" s="502" t="s">
        <v>1840</v>
      </c>
      <c r="B683" s="504" t="s">
        <v>1841</v>
      </c>
      <c r="C683" s="502" t="s">
        <v>60</v>
      </c>
      <c r="D683" s="502">
        <v>137</v>
      </c>
      <c r="E683" s="502" t="s">
        <v>61</v>
      </c>
      <c r="F683" s="502" t="s">
        <v>2249</v>
      </c>
    </row>
    <row r="684" spans="1:6">
      <c r="A684" s="503">
        <v>20573</v>
      </c>
      <c r="B684" s="502" t="s">
        <v>2250</v>
      </c>
      <c r="C684" s="502" t="s">
        <v>2092</v>
      </c>
      <c r="D684" s="502"/>
      <c r="E684" s="503">
        <v>378</v>
      </c>
      <c r="F684" s="503" t="s">
        <v>2251</v>
      </c>
    </row>
    <row r="685" spans="1:6">
      <c r="A685" s="502"/>
      <c r="B685" s="502"/>
      <c r="C685" s="502"/>
      <c r="D685" s="502"/>
      <c r="E685" s="502"/>
      <c r="F685" s="502"/>
    </row>
    <row r="686" spans="1:6">
      <c r="A686" s="502"/>
      <c r="B686" s="502"/>
      <c r="C686" s="502"/>
      <c r="D686" s="502"/>
      <c r="E686" s="502"/>
      <c r="F686" s="502"/>
    </row>
    <row r="687" spans="1:6">
      <c r="A687" s="502"/>
      <c r="B687" s="502"/>
      <c r="C687" s="502"/>
      <c r="D687" s="502"/>
      <c r="E687" s="502"/>
      <c r="F687" s="502"/>
    </row>
    <row r="688" spans="1:6">
      <c r="A688" s="502" t="s">
        <v>1840</v>
      </c>
      <c r="B688" s="504" t="s">
        <v>1841</v>
      </c>
      <c r="C688" s="502" t="s">
        <v>60</v>
      </c>
      <c r="D688" s="502">
        <v>138</v>
      </c>
      <c r="E688" s="502" t="s">
        <v>61</v>
      </c>
      <c r="F688" s="502" t="s">
        <v>2252</v>
      </c>
    </row>
    <row r="689" spans="1:6">
      <c r="A689" s="503">
        <v>18014</v>
      </c>
      <c r="B689" s="502" t="s">
        <v>2253</v>
      </c>
      <c r="C689" s="502" t="s">
        <v>1920</v>
      </c>
      <c r="D689" s="502"/>
      <c r="E689" s="503">
        <v>431</v>
      </c>
      <c r="F689" s="503" t="s">
        <v>2254</v>
      </c>
    </row>
    <row r="690" spans="1:6">
      <c r="A690" s="502"/>
      <c r="B690" s="502"/>
      <c r="C690" s="502"/>
      <c r="D690" s="502"/>
      <c r="E690" s="502"/>
      <c r="F690" s="502"/>
    </row>
    <row r="691" spans="1:6">
      <c r="A691" s="502"/>
      <c r="B691" s="502"/>
      <c r="C691" s="502"/>
      <c r="D691" s="502"/>
      <c r="E691" s="502"/>
      <c r="F691" s="502"/>
    </row>
    <row r="692" spans="1:6">
      <c r="A692" s="502"/>
      <c r="B692" s="502"/>
      <c r="C692" s="502"/>
      <c r="D692" s="502"/>
      <c r="E692" s="502"/>
      <c r="F692" s="502"/>
    </row>
    <row r="693" spans="1:6">
      <c r="A693" s="502" t="s">
        <v>1840</v>
      </c>
      <c r="B693" s="504" t="s">
        <v>1841</v>
      </c>
      <c r="C693" s="502" t="s">
        <v>60</v>
      </c>
      <c r="D693" s="502">
        <v>140</v>
      </c>
      <c r="E693" s="502" t="s">
        <v>61</v>
      </c>
      <c r="F693" s="502" t="s">
        <v>2255</v>
      </c>
    </row>
    <row r="694" spans="1:6">
      <c r="A694" s="503">
        <v>20614</v>
      </c>
      <c r="B694" s="502" t="s">
        <v>2256</v>
      </c>
      <c r="C694" s="502" t="s">
        <v>1920</v>
      </c>
      <c r="D694" s="502"/>
      <c r="E694" s="503">
        <v>517</v>
      </c>
      <c r="F694" s="503" t="s">
        <v>2257</v>
      </c>
    </row>
    <row r="695" spans="1:6">
      <c r="A695" s="502"/>
      <c r="B695" s="502"/>
      <c r="C695" s="502"/>
      <c r="D695" s="502"/>
      <c r="E695" s="502"/>
      <c r="F695" s="502"/>
    </row>
    <row r="696" spans="1:6">
      <c r="A696" s="502"/>
      <c r="B696" s="502"/>
      <c r="C696" s="502"/>
      <c r="D696" s="502"/>
      <c r="E696" s="502"/>
      <c r="F696" s="502"/>
    </row>
    <row r="697" spans="1:6">
      <c r="A697" s="502"/>
      <c r="B697" s="502"/>
      <c r="C697" s="502"/>
      <c r="D697" s="502"/>
      <c r="E697" s="502"/>
      <c r="F697" s="502"/>
    </row>
    <row r="698" spans="1:6">
      <c r="A698" s="502" t="s">
        <v>1840</v>
      </c>
      <c r="B698" s="504" t="s">
        <v>1841</v>
      </c>
      <c r="C698" s="502" t="s">
        <v>60</v>
      </c>
      <c r="D698" s="502">
        <v>142</v>
      </c>
      <c r="E698" s="502" t="s">
        <v>61</v>
      </c>
      <c r="F698" s="502" t="s">
        <v>2258</v>
      </c>
    </row>
    <row r="699" spans="1:6">
      <c r="A699" s="503">
        <v>96115</v>
      </c>
      <c r="B699" s="502" t="s">
        <v>2259</v>
      </c>
      <c r="C699" s="502" t="s">
        <v>2260</v>
      </c>
      <c r="D699" s="502"/>
      <c r="E699" s="503">
        <v>428</v>
      </c>
      <c r="F699" s="503" t="s">
        <v>2261</v>
      </c>
    </row>
    <row r="700" spans="1:6">
      <c r="A700" s="502"/>
      <c r="B700" s="502"/>
      <c r="C700" s="502"/>
      <c r="D700" s="502"/>
      <c r="E700" s="502"/>
      <c r="F700" s="502"/>
    </row>
    <row r="701" spans="1:6">
      <c r="A701" s="502"/>
      <c r="B701" s="502"/>
      <c r="C701" s="502"/>
      <c r="D701" s="502"/>
      <c r="E701" s="502"/>
      <c r="F701" s="502"/>
    </row>
    <row r="702" spans="1:6">
      <c r="A702" s="502"/>
      <c r="B702" s="502"/>
      <c r="C702" s="502"/>
      <c r="D702" s="502"/>
      <c r="E702" s="502"/>
      <c r="F702" s="502"/>
    </row>
    <row r="703" spans="1:6">
      <c r="A703" s="502" t="s">
        <v>1840</v>
      </c>
      <c r="B703" s="504" t="s">
        <v>1841</v>
      </c>
      <c r="C703" s="502" t="s">
        <v>60</v>
      </c>
      <c r="D703" s="502">
        <v>143</v>
      </c>
      <c r="E703" s="502" t="s">
        <v>61</v>
      </c>
      <c r="F703" s="502" t="s">
        <v>2262</v>
      </c>
    </row>
    <row r="704" spans="1:6">
      <c r="A704" s="503">
        <v>20570</v>
      </c>
      <c r="B704" s="502" t="s">
        <v>2263</v>
      </c>
      <c r="C704" s="502" t="s">
        <v>1583</v>
      </c>
      <c r="D704" s="502"/>
      <c r="E704" s="503">
        <v>492</v>
      </c>
      <c r="F704" s="503" t="s">
        <v>2264</v>
      </c>
    </row>
    <row r="705" spans="1:6">
      <c r="A705" s="502"/>
      <c r="B705" s="502"/>
      <c r="C705" s="502"/>
      <c r="D705" s="502"/>
      <c r="E705" s="502"/>
      <c r="F705" s="502"/>
    </row>
    <row r="706" spans="1:6">
      <c r="A706" s="502"/>
      <c r="B706" s="502"/>
      <c r="C706" s="502"/>
      <c r="D706" s="502"/>
      <c r="E706" s="502"/>
      <c r="F706" s="502"/>
    </row>
    <row r="707" spans="1:6">
      <c r="A707" s="502"/>
      <c r="B707" s="502"/>
      <c r="C707" s="502"/>
      <c r="D707" s="502"/>
      <c r="E707" s="502"/>
      <c r="F707" s="502"/>
    </row>
    <row r="708" spans="1:6">
      <c r="A708" s="502" t="s">
        <v>1840</v>
      </c>
      <c r="B708" s="504" t="s">
        <v>1841</v>
      </c>
      <c r="C708" s="502" t="s">
        <v>60</v>
      </c>
      <c r="D708" s="502">
        <v>144</v>
      </c>
      <c r="E708" s="502" t="s">
        <v>61</v>
      </c>
      <c r="F708" s="502" t="s">
        <v>2265</v>
      </c>
    </row>
    <row r="709" spans="1:6">
      <c r="A709" s="503">
        <v>20574</v>
      </c>
      <c r="B709" s="502" t="s">
        <v>2266</v>
      </c>
      <c r="C709" s="502" t="s">
        <v>2092</v>
      </c>
      <c r="D709" s="502"/>
      <c r="E709" s="503">
        <v>459</v>
      </c>
      <c r="F709" s="503" t="s">
        <v>2267</v>
      </c>
    </row>
    <row r="710" spans="1:6">
      <c r="A710" s="502"/>
      <c r="B710" s="502"/>
      <c r="C710" s="502"/>
      <c r="D710" s="502"/>
      <c r="E710" s="502"/>
      <c r="F710" s="502"/>
    </row>
    <row r="711" spans="1:6">
      <c r="A711" s="502"/>
      <c r="B711" s="502"/>
      <c r="C711" s="502"/>
      <c r="D711" s="502"/>
      <c r="E711" s="502"/>
      <c r="F711" s="502"/>
    </row>
    <row r="712" spans="1:6">
      <c r="A712" s="502"/>
      <c r="B712" s="502"/>
      <c r="C712" s="502"/>
      <c r="D712" s="502"/>
      <c r="E712" s="502"/>
      <c r="F712" s="502"/>
    </row>
    <row r="713" spans="1:6">
      <c r="A713" s="502" t="s">
        <v>1840</v>
      </c>
      <c r="B713" s="504" t="s">
        <v>1841</v>
      </c>
      <c r="C713" s="502" t="s">
        <v>60</v>
      </c>
      <c r="D713" s="502">
        <v>145</v>
      </c>
      <c r="E713" s="502" t="s">
        <v>61</v>
      </c>
      <c r="F713" s="502" t="s">
        <v>2268</v>
      </c>
    </row>
    <row r="714" spans="1:6">
      <c r="A714" s="503">
        <v>18042</v>
      </c>
      <c r="B714" s="502" t="s">
        <v>2269</v>
      </c>
      <c r="C714" s="502" t="s">
        <v>2193</v>
      </c>
      <c r="D714" s="502"/>
      <c r="E714" s="503">
        <v>531</v>
      </c>
      <c r="F714" s="503" t="s">
        <v>2270</v>
      </c>
    </row>
    <row r="715" spans="1:6">
      <c r="A715" s="502"/>
      <c r="B715" s="502"/>
      <c r="C715" s="502"/>
      <c r="D715" s="502"/>
      <c r="E715" s="502"/>
      <c r="F715" s="502"/>
    </row>
    <row r="716" spans="1:6">
      <c r="A716" s="502"/>
      <c r="B716" s="502"/>
      <c r="C716" s="502"/>
      <c r="D716" s="502"/>
      <c r="E716" s="502"/>
      <c r="F716" s="502"/>
    </row>
    <row r="717" spans="1:6">
      <c r="A717" s="502"/>
      <c r="B717" s="502"/>
      <c r="C717" s="502"/>
      <c r="D717" s="502"/>
      <c r="E717" s="502"/>
      <c r="F717" s="502"/>
    </row>
    <row r="718" spans="1:6">
      <c r="A718" s="502" t="s">
        <v>1840</v>
      </c>
      <c r="B718" s="504" t="s">
        <v>1841</v>
      </c>
      <c r="C718" s="502" t="s">
        <v>60</v>
      </c>
      <c r="D718" s="502">
        <v>146</v>
      </c>
      <c r="E718" s="502" t="s">
        <v>61</v>
      </c>
      <c r="F718" s="502" t="s">
        <v>2268</v>
      </c>
    </row>
    <row r="719" spans="1:6">
      <c r="A719" s="503">
        <v>18106</v>
      </c>
      <c r="B719" s="502" t="s">
        <v>2271</v>
      </c>
      <c r="C719" s="502" t="s">
        <v>2193</v>
      </c>
      <c r="D719" s="502"/>
      <c r="E719" s="503">
        <v>530</v>
      </c>
      <c r="F719" s="503" t="s">
        <v>2270</v>
      </c>
    </row>
    <row r="720" spans="1:6">
      <c r="A720" s="502"/>
      <c r="B720" s="502"/>
      <c r="C720" s="502"/>
      <c r="D720" s="502"/>
      <c r="E720" s="502"/>
      <c r="F720" s="502"/>
    </row>
    <row r="721" spans="1:6">
      <c r="A721" s="502"/>
      <c r="B721" s="502"/>
      <c r="C721" s="502"/>
      <c r="D721" s="502"/>
      <c r="E721" s="502"/>
      <c r="F721" s="502"/>
    </row>
    <row r="722" spans="1:6">
      <c r="A722" s="502"/>
      <c r="B722" s="502"/>
      <c r="C722" s="502"/>
      <c r="D722" s="502"/>
      <c r="E722" s="502"/>
      <c r="F722" s="502"/>
    </row>
    <row r="723" spans="1:6" ht="13.5">
      <c r="A723" s="367"/>
      <c r="B723" s="367"/>
      <c r="C723" s="367"/>
      <c r="D723" s="370"/>
      <c r="E723" s="481"/>
      <c r="F723" s="481"/>
    </row>
    <row r="724" spans="1:6" ht="14.25">
      <c r="A724" s="368"/>
      <c r="B724" s="377"/>
      <c r="C724" s="368"/>
      <c r="D724" s="369"/>
      <c r="E724" s="482"/>
      <c r="F724" s="482"/>
    </row>
    <row r="725" spans="1:6" ht="14.25">
      <c r="A725" s="368"/>
      <c r="B725" s="377"/>
      <c r="C725" s="368"/>
      <c r="D725" s="369"/>
      <c r="E725" s="482"/>
      <c r="F725" s="482"/>
    </row>
    <row r="726" spans="1:6" ht="14.25">
      <c r="A726" s="368"/>
      <c r="B726" s="377"/>
      <c r="C726" s="368"/>
      <c r="D726" s="369"/>
      <c r="E726" s="482"/>
      <c r="F726" s="482"/>
    </row>
    <row r="727" spans="1:6" ht="14.25">
      <c r="A727" s="368"/>
      <c r="B727" s="377"/>
      <c r="C727" s="368"/>
      <c r="D727" s="369"/>
      <c r="E727" s="482"/>
      <c r="F727" s="482"/>
    </row>
    <row r="728" spans="1:6" ht="13.5">
      <c r="A728" s="367"/>
      <c r="B728" s="367"/>
      <c r="C728" s="367"/>
      <c r="D728" s="370"/>
      <c r="E728" s="481"/>
      <c r="F728" s="481"/>
    </row>
    <row r="729" spans="1:6" ht="14.25">
      <c r="A729" s="368"/>
      <c r="B729" s="377"/>
      <c r="C729" s="368"/>
      <c r="D729" s="369"/>
      <c r="E729" s="482"/>
      <c r="F729" s="482"/>
    </row>
    <row r="730" spans="1:6" ht="14.25">
      <c r="A730" s="368"/>
      <c r="B730" s="377"/>
      <c r="C730" s="368"/>
      <c r="D730" s="369"/>
      <c r="E730" s="482"/>
      <c r="F730" s="482"/>
    </row>
    <row r="731" spans="1:6" ht="14.25">
      <c r="A731" s="368"/>
      <c r="B731" s="377"/>
      <c r="C731" s="368"/>
      <c r="D731" s="369"/>
      <c r="E731" s="482"/>
      <c r="F731" s="482"/>
    </row>
    <row r="732" spans="1:6" ht="14.25">
      <c r="A732" s="368"/>
      <c r="B732" s="377"/>
      <c r="C732" s="368"/>
      <c r="D732" s="369"/>
      <c r="E732" s="482"/>
      <c r="F732" s="482"/>
    </row>
    <row r="733" spans="1:6" ht="13.5">
      <c r="A733" s="367"/>
      <c r="B733" s="367"/>
      <c r="C733" s="367"/>
      <c r="D733" s="370"/>
      <c r="E733" s="481"/>
      <c r="F733" s="481"/>
    </row>
    <row r="734" spans="1:6" ht="14.25">
      <c r="A734" s="368"/>
      <c r="B734" s="377"/>
      <c r="C734" s="368"/>
      <c r="D734" s="369"/>
      <c r="E734" s="482"/>
      <c r="F734" s="482"/>
    </row>
    <row r="735" spans="1:6" ht="14.25">
      <c r="A735" s="368"/>
      <c r="B735" s="377"/>
      <c r="C735" s="368"/>
      <c r="D735" s="369"/>
      <c r="E735" s="482"/>
      <c r="F735" s="482"/>
    </row>
    <row r="736" spans="1:6" ht="14.25">
      <c r="A736" s="368"/>
      <c r="B736" s="377"/>
      <c r="C736" s="368"/>
      <c r="D736" s="369"/>
      <c r="E736" s="482"/>
      <c r="F736" s="482"/>
    </row>
    <row r="737" spans="1:6" ht="14.25">
      <c r="A737" s="368"/>
      <c r="B737" s="377"/>
      <c r="C737" s="368"/>
      <c r="D737" s="369"/>
      <c r="E737" s="482"/>
      <c r="F737" s="482"/>
    </row>
    <row r="738" spans="1:6" ht="13.5">
      <c r="A738" s="367"/>
      <c r="B738" s="367"/>
      <c r="C738" s="367"/>
      <c r="D738" s="370"/>
      <c r="E738" s="481"/>
      <c r="F738" s="481"/>
    </row>
    <row r="739" spans="1:6" ht="14.25">
      <c r="A739" s="368"/>
      <c r="B739" s="377"/>
      <c r="C739" s="368"/>
      <c r="D739" s="369"/>
      <c r="E739" s="482"/>
      <c r="F739" s="482"/>
    </row>
    <row r="740" spans="1:6" ht="14.25">
      <c r="A740" s="368"/>
      <c r="B740" s="377"/>
      <c r="C740" s="368"/>
      <c r="D740" s="369"/>
      <c r="E740" s="482"/>
      <c r="F740" s="482"/>
    </row>
    <row r="741" spans="1:6" ht="14.25">
      <c r="A741" s="368"/>
      <c r="B741" s="377"/>
      <c r="C741" s="368"/>
      <c r="D741" s="369"/>
      <c r="E741" s="482"/>
      <c r="F741" s="482"/>
    </row>
    <row r="742" spans="1:6" ht="14.25">
      <c r="A742" s="368"/>
      <c r="B742" s="377"/>
      <c r="C742" s="368"/>
      <c r="D742" s="369"/>
      <c r="E742" s="482"/>
      <c r="F742" s="482"/>
    </row>
    <row r="743" spans="1:6" ht="13.5">
      <c r="A743" s="367"/>
      <c r="B743" s="367"/>
      <c r="C743" s="367"/>
      <c r="D743" s="370"/>
      <c r="E743" s="481"/>
      <c r="F743" s="481"/>
    </row>
    <row r="744" spans="1:6" ht="14.25">
      <c r="A744" s="368"/>
      <c r="B744" s="377"/>
      <c r="C744" s="368"/>
      <c r="D744" s="369"/>
      <c r="E744" s="482"/>
      <c r="F744" s="482"/>
    </row>
    <row r="745" spans="1:6" ht="14.25">
      <c r="A745" s="368"/>
      <c r="B745" s="377"/>
      <c r="C745" s="368"/>
      <c r="D745" s="369"/>
      <c r="E745" s="482"/>
      <c r="F745" s="482"/>
    </row>
    <row r="746" spans="1:6" ht="14.25">
      <c r="A746" s="368"/>
      <c r="B746" s="377"/>
      <c r="C746" s="368"/>
      <c r="D746" s="369"/>
      <c r="E746" s="482"/>
      <c r="F746" s="482"/>
    </row>
    <row r="747" spans="1:6" ht="14.25">
      <c r="A747" s="368"/>
      <c r="B747" s="377"/>
      <c r="C747" s="368"/>
      <c r="D747" s="369"/>
      <c r="E747" s="482"/>
      <c r="F747" s="482"/>
    </row>
    <row r="748" spans="1:6" ht="13.5">
      <c r="A748" s="367"/>
      <c r="B748" s="367"/>
      <c r="C748" s="367"/>
      <c r="D748" s="370"/>
      <c r="E748" s="481"/>
      <c r="F748" s="481"/>
    </row>
    <row r="749" spans="1:6" ht="14.25">
      <c r="A749" s="368"/>
      <c r="B749" s="377"/>
      <c r="C749" s="368"/>
      <c r="D749" s="369"/>
      <c r="E749" s="482"/>
      <c r="F749" s="482"/>
    </row>
    <row r="750" spans="1:6" ht="14.25">
      <c r="A750" s="368"/>
      <c r="B750" s="377"/>
      <c r="C750" s="368"/>
      <c r="D750" s="369"/>
      <c r="E750" s="482"/>
      <c r="F750" s="482"/>
    </row>
    <row r="751" spans="1:6" ht="14.25">
      <c r="A751" s="368"/>
      <c r="B751" s="377"/>
      <c r="C751" s="368"/>
      <c r="D751" s="369"/>
      <c r="E751" s="482"/>
      <c r="F751" s="482"/>
    </row>
    <row r="752" spans="1:6" ht="14.25">
      <c r="A752" s="368"/>
      <c r="B752" s="377"/>
      <c r="C752" s="368"/>
      <c r="D752" s="369"/>
      <c r="E752" s="482"/>
      <c r="F752" s="482"/>
    </row>
    <row r="753" spans="1:6" ht="13.5">
      <c r="A753" s="367"/>
      <c r="B753" s="367"/>
      <c r="C753" s="367"/>
      <c r="D753" s="370"/>
      <c r="E753" s="481"/>
      <c r="F753" s="481"/>
    </row>
    <row r="754" spans="1:6" ht="14.25">
      <c r="A754" s="368"/>
      <c r="B754" s="377"/>
      <c r="C754" s="368"/>
      <c r="D754" s="369"/>
      <c r="E754" s="482"/>
      <c r="F754" s="482"/>
    </row>
    <row r="755" spans="1:6" ht="14.25">
      <c r="A755" s="368"/>
      <c r="B755" s="377"/>
      <c r="C755" s="368"/>
      <c r="D755" s="369"/>
      <c r="E755" s="482"/>
      <c r="F755" s="482"/>
    </row>
    <row r="756" spans="1:6" ht="14.25">
      <c r="A756" s="368"/>
      <c r="B756" s="377"/>
      <c r="C756" s="368"/>
      <c r="D756" s="369"/>
      <c r="E756" s="482"/>
      <c r="F756" s="482"/>
    </row>
    <row r="757" spans="1:6" ht="14.25">
      <c r="A757" s="368"/>
      <c r="B757" s="377"/>
      <c r="C757" s="368"/>
      <c r="D757" s="369"/>
      <c r="E757" s="482"/>
      <c r="F757" s="482"/>
    </row>
    <row r="758" spans="1:6" ht="13.5">
      <c r="A758" s="367"/>
      <c r="B758" s="367"/>
      <c r="C758" s="367"/>
      <c r="D758" s="370"/>
      <c r="E758" s="481"/>
      <c r="F758" s="481"/>
    </row>
    <row r="759" spans="1:6" ht="14.25">
      <c r="A759" s="368"/>
      <c r="B759" s="377"/>
      <c r="C759" s="368"/>
      <c r="D759" s="369"/>
      <c r="E759" s="482"/>
      <c r="F759" s="482"/>
    </row>
    <row r="760" spans="1:6" ht="14.25">
      <c r="A760" s="368"/>
      <c r="B760" s="377"/>
      <c r="C760" s="368"/>
      <c r="D760" s="369"/>
      <c r="E760" s="482"/>
      <c r="F760" s="482"/>
    </row>
    <row r="761" spans="1:6" ht="14.25">
      <c r="A761" s="368"/>
      <c r="B761" s="377"/>
      <c r="C761" s="368"/>
      <c r="D761" s="369"/>
      <c r="E761" s="482"/>
      <c r="F761" s="482"/>
    </row>
    <row r="762" spans="1:6" ht="14.25">
      <c r="A762" s="368"/>
      <c r="B762" s="377"/>
      <c r="C762" s="368"/>
      <c r="D762" s="369"/>
      <c r="E762" s="482"/>
      <c r="F762" s="482"/>
    </row>
    <row r="763" spans="1:6" ht="13.5">
      <c r="A763" s="367"/>
      <c r="B763" s="367"/>
      <c r="C763" s="367"/>
      <c r="D763" s="370"/>
      <c r="E763" s="481"/>
      <c r="F763" s="481"/>
    </row>
    <row r="764" spans="1:6" ht="14.25">
      <c r="A764" s="368"/>
      <c r="B764" s="377"/>
      <c r="C764" s="368"/>
      <c r="D764" s="369"/>
      <c r="E764" s="482"/>
      <c r="F764" s="482"/>
    </row>
    <row r="765" spans="1:6" ht="14.25">
      <c r="A765" s="368"/>
      <c r="B765" s="377"/>
      <c r="C765" s="368"/>
      <c r="D765" s="369"/>
      <c r="E765" s="482"/>
      <c r="F765" s="482"/>
    </row>
    <row r="766" spans="1:6" ht="14.25">
      <c r="A766" s="368"/>
      <c r="B766" s="377"/>
      <c r="C766" s="368"/>
      <c r="D766" s="369"/>
      <c r="E766" s="482"/>
      <c r="F766" s="482"/>
    </row>
    <row r="767" spans="1:6" ht="14.25">
      <c r="A767" s="368"/>
      <c r="B767" s="377"/>
      <c r="C767" s="368"/>
      <c r="D767" s="369"/>
      <c r="E767" s="482"/>
      <c r="F767" s="482"/>
    </row>
    <row r="768" spans="1:6" ht="13.5">
      <c r="A768" s="367"/>
      <c r="B768" s="367"/>
      <c r="C768" s="367"/>
      <c r="D768" s="370"/>
      <c r="E768" s="481"/>
      <c r="F768" s="481"/>
    </row>
    <row r="769" spans="1:6" ht="14.25">
      <c r="A769" s="368"/>
      <c r="B769" s="377"/>
      <c r="C769" s="368"/>
      <c r="D769" s="369"/>
      <c r="E769" s="482"/>
      <c r="F769" s="482"/>
    </row>
    <row r="770" spans="1:6" ht="14.25">
      <c r="A770" s="368"/>
      <c r="B770" s="377"/>
      <c r="C770" s="368"/>
      <c r="D770" s="369"/>
      <c r="E770" s="482"/>
      <c r="F770" s="482"/>
    </row>
    <row r="771" spans="1:6" ht="14.25">
      <c r="A771" s="368"/>
      <c r="B771" s="377"/>
      <c r="C771" s="368"/>
      <c r="D771" s="369"/>
      <c r="E771" s="482"/>
      <c r="F771" s="482"/>
    </row>
    <row r="772" spans="1:6" ht="14.25">
      <c r="A772" s="368"/>
      <c r="B772" s="377"/>
      <c r="C772" s="368"/>
      <c r="D772" s="369"/>
      <c r="E772" s="482"/>
      <c r="F772" s="482"/>
    </row>
    <row r="773" spans="1:6" ht="13.5">
      <c r="A773" s="367"/>
      <c r="B773" s="367"/>
      <c r="C773" s="367"/>
      <c r="D773" s="370"/>
      <c r="E773" s="481"/>
      <c r="F773" s="481"/>
    </row>
    <row r="774" spans="1:6" ht="14.25">
      <c r="A774" s="368"/>
      <c r="B774" s="377"/>
      <c r="C774" s="368"/>
      <c r="D774" s="369"/>
      <c r="E774" s="482"/>
      <c r="F774" s="482"/>
    </row>
    <row r="775" spans="1:6" ht="14.25">
      <c r="A775" s="368"/>
      <c r="B775" s="377"/>
      <c r="C775" s="368"/>
      <c r="D775" s="369"/>
      <c r="E775" s="482"/>
      <c r="F775" s="482"/>
    </row>
    <row r="776" spans="1:6" ht="14.25">
      <c r="A776" s="368"/>
      <c r="B776" s="377"/>
      <c r="C776" s="368"/>
      <c r="D776" s="369"/>
      <c r="E776" s="482"/>
      <c r="F776" s="482"/>
    </row>
    <row r="777" spans="1:6" ht="14.25">
      <c r="A777" s="368"/>
      <c r="B777" s="377"/>
      <c r="C777" s="368"/>
      <c r="D777" s="369"/>
      <c r="E777" s="482"/>
      <c r="F777" s="482"/>
    </row>
    <row r="778" spans="1:6" ht="13.5">
      <c r="A778" s="367"/>
      <c r="B778" s="367"/>
      <c r="C778" s="367"/>
      <c r="D778" s="370"/>
      <c r="E778" s="481"/>
      <c r="F778" s="481"/>
    </row>
    <row r="779" spans="1:6" ht="14.25">
      <c r="A779" s="368"/>
      <c r="B779" s="377"/>
      <c r="C779" s="368"/>
      <c r="D779" s="369"/>
      <c r="E779" s="482"/>
      <c r="F779" s="482"/>
    </row>
    <row r="780" spans="1:6" ht="14.25">
      <c r="A780" s="368"/>
      <c r="B780" s="377"/>
      <c r="C780" s="368"/>
      <c r="D780" s="369"/>
      <c r="E780" s="482"/>
      <c r="F780" s="482"/>
    </row>
    <row r="781" spans="1:6" ht="14.25">
      <c r="A781" s="368"/>
      <c r="B781" s="377"/>
      <c r="C781" s="368"/>
      <c r="D781" s="369"/>
      <c r="E781" s="482"/>
      <c r="F781" s="482"/>
    </row>
    <row r="782" spans="1:6" ht="14.25">
      <c r="A782" s="368"/>
      <c r="B782" s="377"/>
      <c r="C782" s="368"/>
      <c r="D782" s="369"/>
      <c r="E782" s="482"/>
      <c r="F782" s="482"/>
    </row>
    <row r="783" spans="1:6" ht="13.5">
      <c r="A783" s="367"/>
      <c r="B783" s="367"/>
      <c r="C783" s="367"/>
      <c r="D783" s="370"/>
      <c r="E783" s="481"/>
      <c r="F783" s="481"/>
    </row>
    <row r="784" spans="1:6" ht="14.25">
      <c r="A784" s="368"/>
      <c r="B784" s="377"/>
      <c r="C784" s="368"/>
      <c r="D784" s="369"/>
      <c r="E784" s="482"/>
      <c r="F784" s="482"/>
    </row>
    <row r="785" spans="1:6" ht="14.25">
      <c r="A785" s="368"/>
      <c r="B785" s="377"/>
      <c r="C785" s="368"/>
      <c r="D785" s="369"/>
      <c r="E785" s="482"/>
      <c r="F785" s="482"/>
    </row>
    <row r="786" spans="1:6" ht="14.25">
      <c r="A786" s="368"/>
      <c r="B786" s="377"/>
      <c r="C786" s="368"/>
      <c r="D786" s="369"/>
      <c r="E786" s="482"/>
      <c r="F786" s="482"/>
    </row>
    <row r="787" spans="1:6" ht="14.25">
      <c r="A787" s="368"/>
      <c r="B787" s="377"/>
      <c r="C787" s="368"/>
      <c r="D787" s="369"/>
      <c r="E787" s="482"/>
      <c r="F787" s="482"/>
    </row>
    <row r="788" spans="1:6" ht="13.5">
      <c r="A788" s="367"/>
      <c r="B788" s="367"/>
      <c r="C788" s="367"/>
      <c r="D788" s="370"/>
      <c r="E788" s="481"/>
      <c r="F788" s="481"/>
    </row>
    <row r="789" spans="1:6" ht="14.25">
      <c r="A789" s="368"/>
      <c r="B789" s="377"/>
      <c r="C789" s="368"/>
      <c r="D789" s="369"/>
      <c r="E789" s="482"/>
      <c r="F789" s="482"/>
    </row>
    <row r="790" spans="1:6" ht="14.25">
      <c r="A790" s="368"/>
      <c r="B790" s="377"/>
      <c r="C790" s="368"/>
      <c r="D790" s="369"/>
      <c r="E790" s="482"/>
      <c r="F790" s="482"/>
    </row>
    <row r="791" spans="1:6" ht="14.25">
      <c r="A791" s="368"/>
      <c r="B791" s="377"/>
      <c r="C791" s="368"/>
      <c r="D791" s="369"/>
      <c r="E791" s="482"/>
      <c r="F791" s="482"/>
    </row>
    <row r="792" spans="1:6" ht="14.25">
      <c r="A792" s="368"/>
      <c r="B792" s="377"/>
      <c r="C792" s="368"/>
      <c r="D792" s="369"/>
      <c r="E792" s="482"/>
      <c r="F792" s="482"/>
    </row>
    <row r="793" spans="1:6" ht="13.5">
      <c r="A793" s="367"/>
      <c r="B793" s="367"/>
      <c r="C793" s="367"/>
      <c r="D793" s="370"/>
      <c r="E793" s="481"/>
      <c r="F793" s="481"/>
    </row>
    <row r="794" spans="1:6" ht="14.25">
      <c r="A794" s="368"/>
      <c r="B794" s="377"/>
      <c r="C794" s="368"/>
      <c r="D794" s="369"/>
      <c r="E794" s="482"/>
      <c r="F794" s="482"/>
    </row>
    <row r="795" spans="1:6" ht="14.25">
      <c r="A795" s="368"/>
      <c r="B795" s="377"/>
      <c r="C795" s="368"/>
      <c r="D795" s="369"/>
      <c r="E795" s="482"/>
      <c r="F795" s="482"/>
    </row>
    <row r="796" spans="1:6" ht="14.25">
      <c r="A796" s="368"/>
      <c r="B796" s="377"/>
      <c r="C796" s="368"/>
      <c r="D796" s="369"/>
      <c r="E796" s="482"/>
      <c r="F796" s="482"/>
    </row>
    <row r="797" spans="1:6" ht="14.25">
      <c r="A797" s="368"/>
      <c r="B797" s="377"/>
      <c r="C797" s="368"/>
      <c r="D797" s="369"/>
      <c r="E797" s="482"/>
      <c r="F797" s="482"/>
    </row>
    <row r="798" spans="1:6" ht="13.5">
      <c r="A798" s="367"/>
      <c r="B798" s="367"/>
      <c r="C798" s="367"/>
      <c r="D798" s="370"/>
      <c r="E798" s="481"/>
      <c r="F798" s="481"/>
    </row>
    <row r="799" spans="1:6" ht="14.25">
      <c r="A799" s="368"/>
      <c r="B799" s="377"/>
      <c r="C799" s="368"/>
      <c r="D799" s="369"/>
      <c r="E799" s="482"/>
      <c r="F799" s="482"/>
    </row>
    <row r="800" spans="1:6" ht="14.25">
      <c r="A800" s="368"/>
      <c r="B800" s="377"/>
      <c r="C800" s="368"/>
      <c r="D800" s="369"/>
      <c r="E800" s="482"/>
      <c r="F800" s="482"/>
    </row>
    <row r="801" spans="1:6" ht="14.25">
      <c r="A801" s="368"/>
      <c r="B801" s="377"/>
      <c r="C801" s="368"/>
      <c r="D801" s="369"/>
      <c r="E801" s="482"/>
      <c r="F801" s="482"/>
    </row>
    <row r="802" spans="1:6" ht="14.25">
      <c r="A802" s="368"/>
      <c r="B802" s="377"/>
      <c r="C802" s="368"/>
      <c r="D802" s="369"/>
      <c r="E802" s="482"/>
      <c r="F802" s="482"/>
    </row>
    <row r="803" spans="1:6" ht="13.5">
      <c r="A803" s="367"/>
      <c r="B803" s="367"/>
      <c r="C803" s="367"/>
      <c r="D803" s="370"/>
      <c r="E803" s="481"/>
      <c r="F803" s="481"/>
    </row>
    <row r="804" spans="1:6" ht="14.25">
      <c r="A804" s="368"/>
      <c r="B804" s="377"/>
      <c r="C804" s="368"/>
      <c r="D804" s="369"/>
      <c r="E804" s="482"/>
      <c r="F804" s="482"/>
    </row>
    <row r="805" spans="1:6" ht="14.25">
      <c r="A805" s="368"/>
      <c r="B805" s="377"/>
      <c r="C805" s="368"/>
      <c r="D805" s="369"/>
      <c r="E805" s="482"/>
      <c r="F805" s="482"/>
    </row>
    <row r="806" spans="1:6" ht="14.25">
      <c r="A806" s="368"/>
      <c r="B806" s="377"/>
      <c r="C806" s="368"/>
      <c r="D806" s="369"/>
      <c r="E806" s="482"/>
      <c r="F806" s="482"/>
    </row>
    <row r="807" spans="1:6" ht="14.25">
      <c r="A807" s="368"/>
      <c r="B807" s="377"/>
      <c r="C807" s="368"/>
      <c r="D807" s="369"/>
      <c r="E807" s="482"/>
      <c r="F807" s="482"/>
    </row>
    <row r="808" spans="1:6" ht="13.5">
      <c r="A808" s="367"/>
      <c r="B808" s="367"/>
      <c r="C808" s="367"/>
      <c r="D808" s="370"/>
      <c r="E808" s="481"/>
      <c r="F808" s="481"/>
    </row>
    <row r="809" spans="1:6" ht="14.25">
      <c r="A809" s="368"/>
      <c r="B809" s="377"/>
      <c r="C809" s="368"/>
      <c r="D809" s="369"/>
      <c r="E809" s="482"/>
      <c r="F809" s="482"/>
    </row>
    <row r="810" spans="1:6" ht="14.25">
      <c r="A810" s="368"/>
      <c r="B810" s="377"/>
      <c r="C810" s="368"/>
      <c r="D810" s="369"/>
      <c r="E810" s="482"/>
      <c r="F810" s="482"/>
    </row>
    <row r="811" spans="1:6" ht="14.25">
      <c r="A811" s="368"/>
      <c r="B811" s="377"/>
      <c r="C811" s="368"/>
      <c r="D811" s="369"/>
      <c r="E811" s="482"/>
      <c r="F811" s="482"/>
    </row>
    <row r="812" spans="1:6" ht="14.25">
      <c r="A812" s="368"/>
      <c r="B812" s="377"/>
      <c r="C812" s="368"/>
      <c r="D812" s="369"/>
      <c r="E812" s="482"/>
      <c r="F812" s="482"/>
    </row>
    <row r="813" spans="1:6" ht="13.5">
      <c r="A813" s="367"/>
      <c r="B813" s="367"/>
      <c r="C813" s="367"/>
      <c r="D813" s="370"/>
      <c r="E813" s="481"/>
      <c r="F813" s="481"/>
    </row>
    <row r="814" spans="1:6" ht="14.25">
      <c r="A814" s="368"/>
      <c r="B814" s="377"/>
      <c r="C814" s="368"/>
      <c r="D814" s="369"/>
      <c r="E814" s="482"/>
      <c r="F814" s="482"/>
    </row>
    <row r="815" spans="1:6" ht="14.25">
      <c r="A815" s="368"/>
      <c r="B815" s="377"/>
      <c r="C815" s="368"/>
      <c r="D815" s="369"/>
      <c r="E815" s="482"/>
      <c r="F815" s="482"/>
    </row>
    <row r="816" spans="1:6" ht="14.25">
      <c r="A816" s="368"/>
      <c r="B816" s="377"/>
      <c r="C816" s="368"/>
      <c r="D816" s="369"/>
      <c r="E816" s="482"/>
      <c r="F816" s="482"/>
    </row>
    <row r="817" spans="1:6" ht="14.25">
      <c r="A817" s="368"/>
      <c r="B817" s="377"/>
      <c r="C817" s="368"/>
      <c r="D817" s="369"/>
      <c r="E817" s="482"/>
      <c r="F817" s="482"/>
    </row>
    <row r="818" spans="1:6" ht="13.5">
      <c r="A818" s="367"/>
      <c r="B818" s="367"/>
      <c r="C818" s="367"/>
      <c r="D818" s="370"/>
      <c r="E818" s="481"/>
      <c r="F818" s="481"/>
    </row>
    <row r="819" spans="1:6" ht="14.25">
      <c r="A819" s="368"/>
      <c r="B819" s="377"/>
      <c r="C819" s="368"/>
      <c r="D819" s="369"/>
      <c r="E819" s="482"/>
      <c r="F819" s="482"/>
    </row>
    <row r="820" spans="1:6" ht="14.25">
      <c r="A820" s="368"/>
      <c r="B820" s="377"/>
      <c r="C820" s="368"/>
      <c r="D820" s="369"/>
      <c r="E820" s="482"/>
      <c r="F820" s="482"/>
    </row>
    <row r="821" spans="1:6" ht="14.25">
      <c r="A821" s="368"/>
      <c r="B821" s="377"/>
      <c r="C821" s="368"/>
      <c r="D821" s="369"/>
      <c r="E821" s="482"/>
      <c r="F821" s="482"/>
    </row>
    <row r="822" spans="1:6" ht="14.25">
      <c r="A822" s="368"/>
      <c r="B822" s="377"/>
      <c r="C822" s="368"/>
      <c r="D822" s="369"/>
      <c r="E822" s="482"/>
      <c r="F822" s="482"/>
    </row>
    <row r="823" spans="1:6" ht="13.5">
      <c r="A823" s="367"/>
      <c r="B823" s="367"/>
      <c r="C823" s="367"/>
      <c r="D823" s="370"/>
      <c r="E823" s="481"/>
      <c r="F823" s="481"/>
    </row>
    <row r="824" spans="1:6" ht="14.25">
      <c r="A824" s="368"/>
      <c r="B824" s="377"/>
      <c r="C824" s="368"/>
      <c r="D824" s="369"/>
      <c r="E824" s="482"/>
      <c r="F824" s="482"/>
    </row>
    <row r="825" spans="1:6" ht="14.25">
      <c r="A825" s="368"/>
      <c r="B825" s="377"/>
      <c r="C825" s="368"/>
      <c r="D825" s="369"/>
      <c r="E825" s="482"/>
      <c r="F825" s="482"/>
    </row>
    <row r="826" spans="1:6" ht="14.25">
      <c r="A826" s="368"/>
      <c r="B826" s="377"/>
      <c r="C826" s="368"/>
      <c r="D826" s="369"/>
      <c r="E826" s="482"/>
      <c r="F826" s="482"/>
    </row>
    <row r="827" spans="1:6" ht="14.25">
      <c r="A827" s="368"/>
      <c r="B827" s="377"/>
      <c r="C827" s="368"/>
      <c r="D827" s="369"/>
      <c r="E827" s="482"/>
      <c r="F827" s="482"/>
    </row>
    <row r="828" spans="1:6" ht="13.5">
      <c r="A828" s="367"/>
      <c r="B828" s="367"/>
      <c r="C828" s="367"/>
      <c r="D828" s="370"/>
      <c r="E828" s="481"/>
      <c r="F828" s="481"/>
    </row>
    <row r="829" spans="1:6" ht="14.25">
      <c r="A829" s="368"/>
      <c r="B829" s="377"/>
      <c r="C829" s="368"/>
      <c r="D829" s="369"/>
      <c r="E829" s="482"/>
      <c r="F829" s="482"/>
    </row>
    <row r="830" spans="1:6" ht="14.25">
      <c r="A830" s="368"/>
      <c r="B830" s="377"/>
      <c r="C830" s="368"/>
      <c r="D830" s="369"/>
      <c r="E830" s="482"/>
      <c r="F830" s="482"/>
    </row>
    <row r="831" spans="1:6" ht="14.25">
      <c r="A831" s="368"/>
      <c r="B831" s="377"/>
      <c r="C831" s="368"/>
      <c r="D831" s="369"/>
      <c r="E831" s="482"/>
      <c r="F831" s="482"/>
    </row>
    <row r="832" spans="1:6" ht="14.25">
      <c r="A832" s="368"/>
      <c r="B832" s="377"/>
      <c r="C832" s="368"/>
      <c r="D832" s="369"/>
      <c r="E832" s="482"/>
      <c r="F832" s="482"/>
    </row>
    <row r="833" spans="1:6" ht="13.5">
      <c r="A833" s="367"/>
      <c r="B833" s="367"/>
      <c r="C833" s="367"/>
      <c r="D833" s="370"/>
      <c r="E833" s="481"/>
      <c r="F833" s="481"/>
    </row>
    <row r="834" spans="1:6" ht="14.25">
      <c r="A834" s="368"/>
      <c r="B834" s="377"/>
      <c r="C834" s="368"/>
      <c r="D834" s="369"/>
      <c r="E834" s="482"/>
      <c r="F834" s="482"/>
    </row>
    <row r="835" spans="1:6" ht="14.25">
      <c r="A835" s="368"/>
      <c r="B835" s="377"/>
      <c r="C835" s="368"/>
      <c r="D835" s="369"/>
      <c r="E835" s="482"/>
      <c r="F835" s="482"/>
    </row>
    <row r="836" spans="1:6" ht="14.25">
      <c r="A836" s="368"/>
      <c r="B836" s="377"/>
      <c r="C836" s="368"/>
      <c r="D836" s="369"/>
      <c r="E836" s="482"/>
      <c r="F836" s="482"/>
    </row>
    <row r="837" spans="1:6" ht="14.25">
      <c r="A837" s="368"/>
      <c r="B837" s="377"/>
      <c r="C837" s="368"/>
      <c r="D837" s="369"/>
      <c r="E837" s="482"/>
      <c r="F837" s="482"/>
    </row>
    <row r="838" spans="1:6" ht="13.5">
      <c r="A838" s="367"/>
      <c r="B838" s="367"/>
      <c r="C838" s="367"/>
      <c r="D838" s="370"/>
      <c r="E838" s="481"/>
      <c r="F838" s="481"/>
    </row>
    <row r="839" spans="1:6" ht="14.25">
      <c r="A839" s="368"/>
      <c r="B839" s="377"/>
      <c r="C839" s="368"/>
      <c r="D839" s="369"/>
      <c r="E839" s="482"/>
      <c r="F839" s="482"/>
    </row>
    <row r="840" spans="1:6" ht="14.25">
      <c r="A840" s="368"/>
      <c r="B840" s="377"/>
      <c r="C840" s="368"/>
      <c r="D840" s="369"/>
      <c r="E840" s="482"/>
      <c r="F840" s="482"/>
    </row>
    <row r="841" spans="1:6" ht="14.25">
      <c r="A841" s="368"/>
      <c r="B841" s="377"/>
      <c r="C841" s="368"/>
      <c r="D841" s="369"/>
      <c r="E841" s="482"/>
      <c r="F841" s="482"/>
    </row>
    <row r="842" spans="1:6" ht="14.25">
      <c r="A842" s="368"/>
      <c r="B842" s="377"/>
      <c r="C842" s="368"/>
      <c r="D842" s="369"/>
      <c r="E842" s="482"/>
      <c r="F842" s="482"/>
    </row>
    <row r="843" spans="1:6" ht="13.5">
      <c r="A843" s="367"/>
      <c r="B843" s="367"/>
      <c r="C843" s="367"/>
      <c r="D843" s="370"/>
      <c r="E843" s="481"/>
      <c r="F843" s="481"/>
    </row>
    <row r="844" spans="1:6" ht="14.25">
      <c r="A844" s="368"/>
      <c r="B844" s="377"/>
      <c r="C844" s="368"/>
      <c r="D844" s="369"/>
      <c r="E844" s="482"/>
      <c r="F844" s="482"/>
    </row>
    <row r="845" spans="1:6" ht="14.25">
      <c r="A845" s="368"/>
      <c r="B845" s="377"/>
      <c r="C845" s="368"/>
      <c r="D845" s="369"/>
      <c r="E845" s="482"/>
      <c r="F845" s="482"/>
    </row>
    <row r="846" spans="1:6" ht="14.25">
      <c r="A846" s="368"/>
      <c r="B846" s="377"/>
      <c r="C846" s="368"/>
      <c r="D846" s="369"/>
      <c r="E846" s="482"/>
      <c r="F846" s="482"/>
    </row>
    <row r="847" spans="1:6" ht="14.25">
      <c r="A847" s="368"/>
      <c r="B847" s="377"/>
      <c r="C847" s="368"/>
      <c r="D847" s="369"/>
      <c r="E847" s="482"/>
      <c r="F847" s="482"/>
    </row>
    <row r="848" spans="1:6" ht="13.5">
      <c r="A848" s="367"/>
      <c r="B848" s="367"/>
      <c r="C848" s="367"/>
      <c r="D848" s="370"/>
      <c r="E848" s="481"/>
      <c r="F848" s="481"/>
    </row>
    <row r="849" spans="1:6" ht="14.25">
      <c r="A849" s="368"/>
      <c r="B849" s="377"/>
      <c r="C849" s="368"/>
      <c r="D849" s="369"/>
      <c r="E849" s="482"/>
      <c r="F849" s="482"/>
    </row>
    <row r="850" spans="1:6" ht="14.25">
      <c r="A850" s="368"/>
      <c r="B850" s="377"/>
      <c r="C850" s="368"/>
      <c r="D850" s="369"/>
      <c r="E850" s="482"/>
      <c r="F850" s="482"/>
    </row>
    <row r="851" spans="1:6" ht="14.25">
      <c r="A851" s="368"/>
      <c r="B851" s="377"/>
      <c r="C851" s="368"/>
      <c r="D851" s="369"/>
      <c r="E851" s="482"/>
      <c r="F851" s="482"/>
    </row>
    <row r="852" spans="1:6" ht="14.25">
      <c r="A852" s="368"/>
      <c r="B852" s="377"/>
      <c r="C852" s="368"/>
      <c r="D852" s="369"/>
      <c r="E852" s="482"/>
      <c r="F852" s="482"/>
    </row>
    <row r="853" spans="1:6" ht="13.5">
      <c r="A853" s="367"/>
      <c r="B853" s="367"/>
      <c r="C853" s="367"/>
      <c r="D853" s="370"/>
      <c r="E853" s="481"/>
      <c r="F853" s="481"/>
    </row>
    <row r="854" spans="1:6" ht="14.25">
      <c r="A854" s="368"/>
      <c r="B854" s="377"/>
      <c r="C854" s="368"/>
      <c r="D854" s="369"/>
      <c r="E854" s="482"/>
      <c r="F854" s="482"/>
    </row>
    <row r="855" spans="1:6" ht="14.25">
      <c r="A855" s="368"/>
      <c r="B855" s="377"/>
      <c r="C855" s="368"/>
      <c r="D855" s="369"/>
      <c r="E855" s="482"/>
      <c r="F855" s="482"/>
    </row>
    <row r="856" spans="1:6" ht="14.25">
      <c r="A856" s="368"/>
      <c r="B856" s="377"/>
      <c r="C856" s="368"/>
      <c r="D856" s="369"/>
      <c r="E856" s="482"/>
      <c r="F856" s="482"/>
    </row>
    <row r="857" spans="1:6" ht="14.25">
      <c r="A857" s="368"/>
      <c r="B857" s="377"/>
      <c r="C857" s="368"/>
      <c r="D857" s="369"/>
      <c r="E857" s="482"/>
      <c r="F857" s="482"/>
    </row>
    <row r="858" spans="1:6" ht="13.5">
      <c r="A858" s="367"/>
      <c r="B858" s="367"/>
      <c r="C858" s="367"/>
      <c r="D858" s="370"/>
      <c r="E858" s="481"/>
      <c r="F858" s="481"/>
    </row>
    <row r="859" spans="1:6" ht="14.25">
      <c r="A859" s="368"/>
      <c r="B859" s="377"/>
      <c r="C859" s="368"/>
      <c r="D859" s="369"/>
      <c r="E859" s="482"/>
      <c r="F859" s="482"/>
    </row>
    <row r="860" spans="1:6" ht="14.25">
      <c r="A860" s="368"/>
      <c r="B860" s="377"/>
      <c r="C860" s="368"/>
      <c r="D860" s="369"/>
      <c r="E860" s="482"/>
      <c r="F860" s="482"/>
    </row>
    <row r="861" spans="1:6" ht="14.25">
      <c r="A861" s="368"/>
      <c r="B861" s="377"/>
      <c r="C861" s="368"/>
      <c r="D861" s="369"/>
      <c r="E861" s="482"/>
      <c r="F861" s="482"/>
    </row>
    <row r="862" spans="1:6" ht="14.25">
      <c r="A862" s="368"/>
      <c r="B862" s="377"/>
      <c r="C862" s="368"/>
      <c r="D862" s="369"/>
      <c r="E862" s="482"/>
      <c r="F862" s="482"/>
    </row>
    <row r="863" spans="1:6" ht="13.5">
      <c r="A863" s="367"/>
      <c r="B863" s="367"/>
      <c r="C863" s="367"/>
      <c r="D863" s="370"/>
      <c r="E863" s="481"/>
      <c r="F863" s="481"/>
    </row>
    <row r="864" spans="1:6" ht="14.25">
      <c r="A864" s="368"/>
      <c r="B864" s="377"/>
      <c r="C864" s="368"/>
      <c r="D864" s="369"/>
      <c r="E864" s="482"/>
      <c r="F864" s="482"/>
    </row>
    <row r="865" spans="1:6" ht="14.25">
      <c r="A865" s="368"/>
      <c r="B865" s="377"/>
      <c r="C865" s="368"/>
      <c r="D865" s="369"/>
      <c r="E865" s="482"/>
      <c r="F865" s="482"/>
    </row>
    <row r="866" spans="1:6" ht="14.25">
      <c r="A866" s="368"/>
      <c r="B866" s="377"/>
      <c r="C866" s="368"/>
      <c r="D866" s="369"/>
      <c r="E866" s="482"/>
      <c r="F866" s="482"/>
    </row>
    <row r="867" spans="1:6" ht="14.25">
      <c r="A867" s="368"/>
      <c r="B867" s="377"/>
      <c r="C867" s="368"/>
      <c r="D867" s="369"/>
      <c r="E867" s="482"/>
      <c r="F867" s="482"/>
    </row>
    <row r="868" spans="1:6" ht="13.5">
      <c r="A868" s="367"/>
      <c r="B868" s="367"/>
      <c r="C868" s="367"/>
      <c r="D868" s="370"/>
      <c r="E868" s="481"/>
      <c r="F868" s="481"/>
    </row>
    <row r="869" spans="1:6" ht="14.25">
      <c r="A869" s="368"/>
      <c r="B869" s="377"/>
      <c r="C869" s="368"/>
      <c r="D869" s="369"/>
      <c r="E869" s="482"/>
      <c r="F869" s="482"/>
    </row>
    <row r="870" spans="1:6" ht="14.25">
      <c r="A870" s="368"/>
      <c r="B870" s="377"/>
      <c r="C870" s="368"/>
      <c r="D870" s="369"/>
      <c r="E870" s="482"/>
      <c r="F870" s="482"/>
    </row>
    <row r="871" spans="1:6" ht="14.25">
      <c r="A871" s="368"/>
      <c r="B871" s="377"/>
      <c r="C871" s="368"/>
      <c r="D871" s="369"/>
      <c r="E871" s="482"/>
      <c r="F871" s="482"/>
    </row>
    <row r="872" spans="1:6" ht="14.25">
      <c r="A872" s="368"/>
      <c r="B872" s="377"/>
      <c r="C872" s="368"/>
      <c r="D872" s="369"/>
      <c r="E872" s="482"/>
      <c r="F872" s="482"/>
    </row>
    <row r="873" spans="1:6" ht="13.5">
      <c r="A873" s="367"/>
      <c r="B873" s="367"/>
      <c r="C873" s="367"/>
      <c r="D873" s="370"/>
      <c r="E873" s="481"/>
      <c r="F873" s="481"/>
    </row>
    <row r="874" spans="1:6" ht="14.25">
      <c r="A874" s="368"/>
      <c r="B874" s="377"/>
      <c r="C874" s="368"/>
      <c r="D874" s="369"/>
      <c r="E874" s="482"/>
      <c r="F874" s="482"/>
    </row>
    <row r="875" spans="1:6" ht="14.25">
      <c r="A875" s="368"/>
      <c r="B875" s="377"/>
      <c r="C875" s="368"/>
      <c r="D875" s="369"/>
      <c r="E875" s="482"/>
      <c r="F875" s="482"/>
    </row>
    <row r="876" spans="1:6" ht="14.25">
      <c r="A876" s="368"/>
      <c r="B876" s="377"/>
      <c r="C876" s="368"/>
      <c r="D876" s="369"/>
      <c r="E876" s="482"/>
      <c r="F876" s="482"/>
    </row>
    <row r="877" spans="1:6" ht="14.25">
      <c r="A877" s="368"/>
      <c r="B877" s="377"/>
      <c r="C877" s="368"/>
      <c r="D877" s="369"/>
      <c r="E877" s="482"/>
      <c r="F877" s="482"/>
    </row>
    <row r="878" spans="1:6" ht="13.5">
      <c r="A878" s="367"/>
      <c r="B878" s="367"/>
      <c r="C878" s="367"/>
      <c r="D878" s="370"/>
      <c r="E878" s="481"/>
      <c r="F878" s="481"/>
    </row>
    <row r="879" spans="1:6" ht="14.25">
      <c r="A879" s="368"/>
      <c r="B879" s="377"/>
      <c r="C879" s="368"/>
      <c r="D879" s="369"/>
      <c r="E879" s="482"/>
      <c r="F879" s="482"/>
    </row>
    <row r="880" spans="1:6" ht="14.25">
      <c r="A880" s="368"/>
      <c r="B880" s="377"/>
      <c r="C880" s="368"/>
      <c r="D880" s="369"/>
      <c r="E880" s="482"/>
      <c r="F880" s="482"/>
    </row>
    <row r="881" spans="1:6" ht="14.25">
      <c r="A881" s="368"/>
      <c r="B881" s="377"/>
      <c r="C881" s="368"/>
      <c r="D881" s="369"/>
      <c r="E881" s="482"/>
      <c r="F881" s="482"/>
    </row>
    <row r="882" spans="1:6" ht="14.25">
      <c r="A882" s="368"/>
      <c r="B882" s="377"/>
      <c r="C882" s="368"/>
      <c r="D882" s="369"/>
      <c r="E882" s="482"/>
      <c r="F882" s="482"/>
    </row>
    <row r="883" spans="1:6" ht="13.5">
      <c r="A883" s="367"/>
      <c r="B883" s="367"/>
      <c r="C883" s="367"/>
      <c r="D883" s="370"/>
      <c r="E883" s="481"/>
      <c r="F883" s="481"/>
    </row>
    <row r="884" spans="1:6" ht="14.25">
      <c r="A884" s="368"/>
      <c r="B884" s="377"/>
      <c r="C884" s="368"/>
      <c r="D884" s="369"/>
      <c r="E884" s="482"/>
      <c r="F884" s="482"/>
    </row>
    <row r="885" spans="1:6" ht="14.25">
      <c r="A885" s="368"/>
      <c r="B885" s="377"/>
      <c r="C885" s="368"/>
      <c r="D885" s="369"/>
      <c r="E885" s="482"/>
      <c r="F885" s="482"/>
    </row>
    <row r="886" spans="1:6" ht="14.25">
      <c r="A886" s="368"/>
      <c r="B886" s="377"/>
      <c r="C886" s="368"/>
      <c r="D886" s="369"/>
      <c r="E886" s="482"/>
      <c r="F886" s="482"/>
    </row>
    <row r="887" spans="1:6" ht="14.25">
      <c r="A887" s="368"/>
      <c r="B887" s="377"/>
      <c r="C887" s="368"/>
      <c r="D887" s="369"/>
      <c r="E887" s="482"/>
      <c r="F887" s="482"/>
    </row>
    <row r="888" spans="1:6" ht="13.5">
      <c r="A888" s="367"/>
      <c r="B888" s="367"/>
      <c r="C888" s="367"/>
      <c r="D888" s="370"/>
      <c r="E888" s="481"/>
      <c r="F888" s="481"/>
    </row>
    <row r="889" spans="1:6" ht="14.25">
      <c r="A889" s="368"/>
      <c r="B889" s="377"/>
      <c r="C889" s="368"/>
      <c r="D889" s="369"/>
      <c r="E889" s="482"/>
      <c r="F889" s="482"/>
    </row>
    <row r="890" spans="1:6" ht="14.25">
      <c r="A890" s="368"/>
      <c r="B890" s="377"/>
      <c r="C890" s="368"/>
      <c r="D890" s="369"/>
      <c r="E890" s="482"/>
      <c r="F890" s="482"/>
    </row>
    <row r="891" spans="1:6" ht="14.25">
      <c r="A891" s="368"/>
      <c r="B891" s="377"/>
      <c r="C891" s="368"/>
      <c r="D891" s="369"/>
      <c r="E891" s="482"/>
      <c r="F891" s="482"/>
    </row>
    <row r="892" spans="1:6" ht="14.25">
      <c r="A892" s="368"/>
      <c r="B892" s="377"/>
      <c r="C892" s="368"/>
      <c r="D892" s="369"/>
      <c r="E892" s="482"/>
      <c r="F892" s="482"/>
    </row>
    <row r="893" spans="1:6" ht="13.5">
      <c r="A893" s="367"/>
      <c r="B893" s="367"/>
      <c r="C893" s="367"/>
      <c r="D893" s="370"/>
      <c r="E893" s="481"/>
      <c r="F893" s="481"/>
    </row>
    <row r="894" spans="1:6" ht="14.25">
      <c r="A894" s="368"/>
      <c r="B894" s="377"/>
      <c r="C894" s="368"/>
      <c r="D894" s="369"/>
      <c r="E894" s="482"/>
      <c r="F894" s="482"/>
    </row>
    <row r="895" spans="1:6" ht="14.25">
      <c r="A895" s="368"/>
      <c r="B895" s="377"/>
      <c r="C895" s="368"/>
      <c r="D895" s="369"/>
      <c r="E895" s="482"/>
      <c r="F895" s="482"/>
    </row>
    <row r="896" spans="1:6" ht="14.25">
      <c r="A896" s="368"/>
      <c r="B896" s="377"/>
      <c r="C896" s="368"/>
      <c r="D896" s="369"/>
      <c r="E896" s="482"/>
      <c r="F896" s="482"/>
    </row>
    <row r="897" spans="1:6" ht="14.25">
      <c r="A897" s="368"/>
      <c r="B897" s="377"/>
      <c r="C897" s="368"/>
      <c r="D897" s="369"/>
      <c r="E897" s="482"/>
      <c r="F897" s="482"/>
    </row>
    <row r="898" spans="1:6" ht="13.5">
      <c r="A898" s="367"/>
      <c r="B898" s="367"/>
      <c r="C898" s="367"/>
      <c r="D898" s="370"/>
      <c r="E898" s="481"/>
      <c r="F898" s="481"/>
    </row>
    <row r="899" spans="1:6" ht="14.25">
      <c r="A899" s="368"/>
      <c r="B899" s="377"/>
      <c r="C899" s="368"/>
      <c r="D899" s="369"/>
      <c r="E899" s="482"/>
      <c r="F899" s="482"/>
    </row>
    <row r="900" spans="1:6" ht="14.25">
      <c r="A900" s="368"/>
      <c r="B900" s="377"/>
      <c r="C900" s="368"/>
      <c r="D900" s="369"/>
      <c r="E900" s="482"/>
      <c r="F900" s="482"/>
    </row>
    <row r="901" spans="1:6" ht="14.25">
      <c r="A901" s="368"/>
      <c r="B901" s="377"/>
      <c r="C901" s="368"/>
      <c r="D901" s="369"/>
      <c r="E901" s="482"/>
      <c r="F901" s="482"/>
    </row>
    <row r="902" spans="1:6" ht="14.25">
      <c r="A902" s="368"/>
      <c r="B902" s="377"/>
      <c r="C902" s="368"/>
      <c r="D902" s="369"/>
      <c r="E902" s="482"/>
      <c r="F902" s="482"/>
    </row>
    <row r="903" spans="1:6" ht="13.5">
      <c r="A903" s="367"/>
      <c r="B903" s="367"/>
      <c r="C903" s="367"/>
      <c r="D903" s="370"/>
      <c r="E903" s="481"/>
      <c r="F903" s="481"/>
    </row>
    <row r="904" spans="1:6" ht="14.25">
      <c r="A904" s="368"/>
      <c r="B904" s="377"/>
      <c r="C904" s="368"/>
      <c r="D904" s="369"/>
      <c r="E904" s="482"/>
      <c r="F904" s="482"/>
    </row>
    <row r="905" spans="1:6" ht="14.25">
      <c r="A905" s="368"/>
      <c r="B905" s="377"/>
      <c r="C905" s="368"/>
      <c r="D905" s="369"/>
      <c r="E905" s="482"/>
      <c r="F905" s="482"/>
    </row>
    <row r="906" spans="1:6" ht="14.25">
      <c r="A906" s="368"/>
      <c r="B906" s="377"/>
      <c r="C906" s="368"/>
      <c r="D906" s="369"/>
      <c r="E906" s="482"/>
      <c r="F906" s="482"/>
    </row>
    <row r="907" spans="1:6" ht="14.25">
      <c r="A907" s="368"/>
      <c r="B907" s="377"/>
      <c r="C907" s="368"/>
      <c r="D907" s="369"/>
      <c r="E907" s="482"/>
      <c r="F907" s="482"/>
    </row>
    <row r="908" spans="1:6" ht="13.5">
      <c r="A908" s="367"/>
      <c r="B908" s="367"/>
      <c r="C908" s="367"/>
      <c r="D908" s="370"/>
      <c r="E908" s="481"/>
      <c r="F908" s="481"/>
    </row>
    <row r="909" spans="1:6" ht="14.25">
      <c r="A909" s="368"/>
      <c r="B909" s="377"/>
      <c r="C909" s="368"/>
      <c r="D909" s="369"/>
      <c r="E909" s="482"/>
      <c r="F909" s="482"/>
    </row>
    <row r="910" spans="1:6" ht="14.25">
      <c r="A910" s="368"/>
      <c r="B910" s="377"/>
      <c r="C910" s="368"/>
      <c r="D910" s="369"/>
      <c r="E910" s="482"/>
      <c r="F910" s="482"/>
    </row>
    <row r="911" spans="1:6" ht="14.25">
      <c r="A911" s="368"/>
      <c r="B911" s="377"/>
      <c r="C911" s="368"/>
      <c r="D911" s="369"/>
      <c r="E911" s="482"/>
      <c r="F911" s="482"/>
    </row>
    <row r="912" spans="1:6" ht="14.25">
      <c r="A912" s="368"/>
      <c r="B912" s="377"/>
      <c r="C912" s="368"/>
      <c r="D912" s="369"/>
      <c r="E912" s="482"/>
      <c r="F912" s="482"/>
    </row>
    <row r="913" spans="1:6" ht="13.5">
      <c r="A913" s="367"/>
      <c r="B913" s="367"/>
      <c r="C913" s="367"/>
      <c r="D913" s="370"/>
      <c r="E913" s="481"/>
      <c r="F913" s="481"/>
    </row>
    <row r="914" spans="1:6" ht="14.25">
      <c r="A914" s="368"/>
      <c r="B914" s="377"/>
      <c r="C914" s="368"/>
      <c r="D914" s="369"/>
      <c r="E914" s="482"/>
      <c r="F914" s="482"/>
    </row>
    <row r="915" spans="1:6" ht="14.25">
      <c r="A915" s="368"/>
      <c r="B915" s="377"/>
      <c r="C915" s="368"/>
      <c r="D915" s="369"/>
      <c r="E915" s="482"/>
      <c r="F915" s="482"/>
    </row>
    <row r="916" spans="1:6" ht="14.25">
      <c r="A916" s="368"/>
      <c r="B916" s="377"/>
      <c r="C916" s="368"/>
      <c r="D916" s="369"/>
      <c r="E916" s="482"/>
      <c r="F916" s="482"/>
    </row>
    <row r="917" spans="1:6" ht="14.25">
      <c r="A917" s="368"/>
      <c r="B917" s="377"/>
      <c r="C917" s="368"/>
      <c r="D917" s="369"/>
      <c r="E917" s="482"/>
      <c r="F917" s="482"/>
    </row>
    <row r="918" spans="1:6" ht="13.5">
      <c r="A918" s="367"/>
      <c r="B918" s="367"/>
      <c r="C918" s="367"/>
      <c r="D918" s="370"/>
      <c r="E918" s="481"/>
      <c r="F918" s="481"/>
    </row>
    <row r="919" spans="1:6" ht="14.25">
      <c r="A919" s="368"/>
      <c r="B919" s="377"/>
      <c r="C919" s="368"/>
      <c r="D919" s="369"/>
      <c r="E919" s="482"/>
      <c r="F919" s="482"/>
    </row>
    <row r="920" spans="1:6" ht="14.25">
      <c r="A920" s="368"/>
      <c r="B920" s="377"/>
      <c r="C920" s="368"/>
      <c r="D920" s="369"/>
      <c r="E920" s="482"/>
      <c r="F920" s="482"/>
    </row>
    <row r="921" spans="1:6" ht="14.25">
      <c r="A921" s="368"/>
      <c r="B921" s="377"/>
      <c r="C921" s="368"/>
      <c r="D921" s="369"/>
      <c r="E921" s="482"/>
      <c r="F921" s="482"/>
    </row>
    <row r="922" spans="1:6" ht="14.25">
      <c r="A922" s="368"/>
      <c r="B922" s="377"/>
      <c r="C922" s="368"/>
      <c r="D922" s="369"/>
      <c r="E922" s="482"/>
      <c r="F922" s="482"/>
    </row>
    <row r="923" spans="1:6" ht="13.5">
      <c r="A923" s="367"/>
      <c r="B923" s="367"/>
      <c r="C923" s="367"/>
      <c r="D923" s="370"/>
      <c r="E923" s="481"/>
      <c r="F923" s="481"/>
    </row>
    <row r="924" spans="1:6" ht="14.25">
      <c r="A924" s="368"/>
      <c r="B924" s="377"/>
      <c r="C924" s="368"/>
      <c r="D924" s="369"/>
      <c r="E924" s="482"/>
      <c r="F924" s="482"/>
    </row>
    <row r="925" spans="1:6" ht="14.25">
      <c r="A925" s="368"/>
      <c r="B925" s="377"/>
      <c r="C925" s="368"/>
      <c r="D925" s="369"/>
      <c r="E925" s="482"/>
      <c r="F925" s="482"/>
    </row>
    <row r="926" spans="1:6" ht="14.25">
      <c r="A926" s="368"/>
      <c r="B926" s="377"/>
      <c r="C926" s="368"/>
      <c r="D926" s="369"/>
      <c r="E926" s="482"/>
      <c r="F926" s="482"/>
    </row>
    <row r="927" spans="1:6" ht="14.25">
      <c r="A927" s="368"/>
      <c r="B927" s="377"/>
      <c r="C927" s="368"/>
      <c r="D927" s="369"/>
      <c r="E927" s="482"/>
      <c r="F927" s="482"/>
    </row>
    <row r="928" spans="1:6" ht="13.5">
      <c r="A928" s="367"/>
      <c r="B928" s="367"/>
      <c r="C928" s="367"/>
      <c r="D928" s="370"/>
      <c r="E928" s="481"/>
      <c r="F928" s="481"/>
    </row>
    <row r="929" spans="1:6" ht="14.25">
      <c r="A929" s="368"/>
      <c r="B929" s="377"/>
      <c r="C929" s="368"/>
      <c r="D929" s="369"/>
      <c r="E929" s="482"/>
      <c r="F929" s="482"/>
    </row>
    <row r="930" spans="1:6" ht="14.25">
      <c r="A930" s="368"/>
      <c r="B930" s="377"/>
      <c r="C930" s="368"/>
      <c r="D930" s="369"/>
      <c r="E930" s="482"/>
      <c r="F930" s="482"/>
    </row>
    <row r="931" spans="1:6" ht="14.25">
      <c r="A931" s="368"/>
      <c r="B931" s="377"/>
      <c r="C931" s="368"/>
      <c r="D931" s="369"/>
      <c r="E931" s="482"/>
      <c r="F931" s="482"/>
    </row>
    <row r="932" spans="1:6" ht="14.25">
      <c r="A932" s="368"/>
      <c r="B932" s="377"/>
      <c r="C932" s="368"/>
      <c r="D932" s="369"/>
      <c r="E932" s="482"/>
      <c r="F932" s="482"/>
    </row>
    <row r="933" spans="1:6" ht="13.5">
      <c r="A933" s="367"/>
      <c r="B933" s="367"/>
      <c r="C933" s="367"/>
      <c r="D933" s="370"/>
      <c r="E933" s="481"/>
      <c r="F933" s="481"/>
    </row>
    <row r="934" spans="1:6" ht="14.25">
      <c r="A934" s="368"/>
      <c r="B934" s="377"/>
      <c r="C934" s="368"/>
      <c r="D934" s="369"/>
      <c r="E934" s="482"/>
      <c r="F934" s="482"/>
    </row>
    <row r="935" spans="1:6" ht="14.25">
      <c r="A935" s="368"/>
      <c r="B935" s="377"/>
      <c r="C935" s="368"/>
      <c r="D935" s="369"/>
      <c r="E935" s="482"/>
      <c r="F935" s="482"/>
    </row>
    <row r="936" spans="1:6" ht="14.25">
      <c r="A936" s="368"/>
      <c r="B936" s="377"/>
      <c r="C936" s="368"/>
      <c r="D936" s="369"/>
      <c r="E936" s="482"/>
      <c r="F936" s="482"/>
    </row>
    <row r="937" spans="1:6" ht="14.25">
      <c r="A937" s="368"/>
      <c r="B937" s="377"/>
      <c r="C937" s="368"/>
      <c r="D937" s="369"/>
      <c r="E937" s="482"/>
      <c r="F937" s="482"/>
    </row>
    <row r="938" spans="1:6" ht="13.5">
      <c r="A938" s="367"/>
      <c r="B938" s="367"/>
      <c r="C938" s="367"/>
      <c r="D938" s="370"/>
      <c r="E938" s="481"/>
      <c r="F938" s="481"/>
    </row>
    <row r="939" spans="1:6" ht="14.25">
      <c r="A939" s="368"/>
      <c r="B939" s="377"/>
      <c r="C939" s="368"/>
      <c r="D939" s="369"/>
      <c r="E939" s="482"/>
      <c r="F939" s="482"/>
    </row>
    <row r="940" spans="1:6" ht="14.25">
      <c r="A940" s="368"/>
      <c r="B940" s="377"/>
      <c r="C940" s="368"/>
      <c r="D940" s="369"/>
      <c r="E940" s="482"/>
      <c r="F940" s="482"/>
    </row>
    <row r="941" spans="1:6" ht="14.25">
      <c r="A941" s="368"/>
      <c r="B941" s="377"/>
      <c r="C941" s="368"/>
      <c r="D941" s="369"/>
      <c r="E941" s="482"/>
      <c r="F941" s="482"/>
    </row>
    <row r="942" spans="1:6" ht="14.25">
      <c r="A942" s="368"/>
      <c r="B942" s="377"/>
      <c r="C942" s="368"/>
      <c r="D942" s="369"/>
      <c r="E942" s="482"/>
      <c r="F942" s="482"/>
    </row>
    <row r="943" spans="1:6" ht="13.5">
      <c r="A943" s="367"/>
      <c r="B943" s="367"/>
      <c r="C943" s="367"/>
      <c r="D943" s="370"/>
      <c r="E943" s="481"/>
      <c r="F943" s="481"/>
    </row>
    <row r="944" spans="1:6" ht="14.25">
      <c r="A944" s="368"/>
      <c r="B944" s="377"/>
      <c r="C944" s="368"/>
      <c r="D944" s="369"/>
      <c r="E944" s="482"/>
      <c r="F944" s="482"/>
    </row>
    <row r="945" spans="1:6" ht="14.25">
      <c r="A945" s="368"/>
      <c r="B945" s="377"/>
      <c r="C945" s="368"/>
      <c r="D945" s="369"/>
      <c r="E945" s="482"/>
      <c r="F945" s="482"/>
    </row>
    <row r="946" spans="1:6" ht="14.25">
      <c r="A946" s="368"/>
      <c r="B946" s="377"/>
      <c r="C946" s="368"/>
      <c r="D946" s="369"/>
      <c r="E946" s="482"/>
      <c r="F946" s="482"/>
    </row>
    <row r="947" spans="1:6" ht="14.25">
      <c r="A947" s="368"/>
      <c r="B947" s="377"/>
      <c r="C947" s="368"/>
      <c r="D947" s="369"/>
      <c r="E947" s="482"/>
      <c r="F947" s="482"/>
    </row>
    <row r="948" spans="1:6" ht="13.5">
      <c r="A948" s="367"/>
      <c r="B948" s="367"/>
      <c r="C948" s="367"/>
      <c r="D948" s="370"/>
      <c r="E948" s="481"/>
      <c r="F948" s="481"/>
    </row>
    <row r="949" spans="1:6" ht="14.25">
      <c r="A949" s="368"/>
      <c r="B949" s="377"/>
      <c r="C949" s="368"/>
      <c r="D949" s="369"/>
      <c r="E949" s="482"/>
      <c r="F949" s="482"/>
    </row>
    <row r="950" spans="1:6" ht="14.25">
      <c r="A950" s="368"/>
      <c r="B950" s="377"/>
      <c r="C950" s="368"/>
      <c r="D950" s="369"/>
      <c r="E950" s="482"/>
      <c r="F950" s="482"/>
    </row>
    <row r="951" spans="1:6" ht="14.25">
      <c r="A951" s="368"/>
      <c r="B951" s="377"/>
      <c r="C951" s="368"/>
      <c r="D951" s="369"/>
      <c r="E951" s="482"/>
      <c r="F951" s="482"/>
    </row>
    <row r="952" spans="1:6" ht="14.25">
      <c r="A952" s="368"/>
      <c r="B952" s="377"/>
      <c r="C952" s="368"/>
      <c r="D952" s="369"/>
      <c r="E952" s="482"/>
      <c r="F952" s="482"/>
    </row>
    <row r="953" spans="1:6" ht="13.5">
      <c r="A953" s="367"/>
      <c r="B953" s="367"/>
      <c r="C953" s="367"/>
      <c r="D953" s="370"/>
      <c r="E953" s="481"/>
      <c r="F953" s="481"/>
    </row>
    <row r="954" spans="1:6" ht="14.25">
      <c r="A954" s="368"/>
      <c r="B954" s="377"/>
      <c r="C954" s="368"/>
      <c r="D954" s="369"/>
      <c r="E954" s="482"/>
      <c r="F954" s="482"/>
    </row>
    <row r="955" spans="1:6" ht="14.25">
      <c r="A955" s="368"/>
      <c r="B955" s="377"/>
      <c r="C955" s="368"/>
      <c r="D955" s="369"/>
      <c r="E955" s="482"/>
      <c r="F955" s="482"/>
    </row>
    <row r="956" spans="1:6" ht="14.25">
      <c r="A956" s="368"/>
      <c r="B956" s="377"/>
      <c r="C956" s="368"/>
      <c r="D956" s="369"/>
      <c r="E956" s="482"/>
      <c r="F956" s="482"/>
    </row>
    <row r="957" spans="1:6" ht="14.25">
      <c r="A957" s="368"/>
      <c r="B957" s="377"/>
      <c r="C957" s="368"/>
      <c r="D957" s="369"/>
      <c r="E957" s="482"/>
      <c r="F957" s="482"/>
    </row>
    <row r="958" spans="1:6" ht="13.5">
      <c r="A958" s="367"/>
      <c r="B958" s="367"/>
      <c r="C958" s="367"/>
      <c r="D958" s="370"/>
      <c r="E958" s="481"/>
      <c r="F958" s="481"/>
    </row>
    <row r="959" spans="1:6" ht="14.25">
      <c r="A959" s="368"/>
      <c r="B959" s="377"/>
      <c r="C959" s="368"/>
      <c r="D959" s="369"/>
      <c r="E959" s="482"/>
      <c r="F959" s="482"/>
    </row>
    <row r="960" spans="1:6" ht="14.25">
      <c r="A960" s="368"/>
      <c r="B960" s="377"/>
      <c r="C960" s="368"/>
      <c r="D960" s="369"/>
      <c r="E960" s="482"/>
      <c r="F960" s="482"/>
    </row>
    <row r="961" spans="1:6" ht="14.25">
      <c r="A961" s="368"/>
      <c r="B961" s="377"/>
      <c r="C961" s="368"/>
      <c r="D961" s="369"/>
      <c r="E961" s="482"/>
      <c r="F961" s="482"/>
    </row>
    <row r="962" spans="1:6" ht="14.25">
      <c r="A962" s="368"/>
      <c r="B962" s="377"/>
      <c r="C962" s="368"/>
      <c r="D962" s="369"/>
      <c r="E962" s="482"/>
      <c r="F962" s="482"/>
    </row>
    <row r="963" spans="1:6" ht="13.5">
      <c r="A963" s="367"/>
      <c r="B963" s="367"/>
      <c r="C963" s="367"/>
      <c r="D963" s="370"/>
      <c r="E963" s="481"/>
      <c r="F963" s="481"/>
    </row>
    <row r="964" spans="1:6" ht="14.25">
      <c r="A964" s="368"/>
      <c r="B964" s="377"/>
      <c r="C964" s="368"/>
      <c r="D964" s="369"/>
      <c r="E964" s="482"/>
      <c r="F964" s="482"/>
    </row>
    <row r="965" spans="1:6" ht="14.25">
      <c r="A965" s="368"/>
      <c r="B965" s="377"/>
      <c r="C965" s="368"/>
      <c r="D965" s="369"/>
      <c r="E965" s="482"/>
      <c r="F965" s="482"/>
    </row>
    <row r="966" spans="1:6" ht="14.25">
      <c r="A966" s="368"/>
      <c r="B966" s="377"/>
      <c r="C966" s="368"/>
      <c r="D966" s="369"/>
      <c r="E966" s="482"/>
      <c r="F966" s="482"/>
    </row>
    <row r="967" spans="1:6" ht="14.25">
      <c r="A967" s="368"/>
      <c r="B967" s="377"/>
      <c r="C967" s="368"/>
      <c r="D967" s="369"/>
      <c r="E967" s="482"/>
      <c r="F967" s="482"/>
    </row>
    <row r="968" spans="1:6" ht="13.5">
      <c r="A968" s="367"/>
      <c r="B968" s="367"/>
      <c r="C968" s="367"/>
      <c r="D968" s="370"/>
      <c r="E968" s="481"/>
      <c r="F968" s="481"/>
    </row>
    <row r="969" spans="1:6" ht="14.25">
      <c r="A969" s="368"/>
      <c r="B969" s="377"/>
      <c r="C969" s="368"/>
      <c r="D969" s="369"/>
      <c r="E969" s="482"/>
      <c r="F969" s="482"/>
    </row>
    <row r="970" spans="1:6" ht="14.25">
      <c r="A970" s="368"/>
      <c r="B970" s="377"/>
      <c r="C970" s="368"/>
      <c r="D970" s="369"/>
      <c r="E970" s="482"/>
      <c r="F970" s="482"/>
    </row>
    <row r="971" spans="1:6" ht="14.25">
      <c r="A971" s="368"/>
      <c r="B971" s="377"/>
      <c r="C971" s="368"/>
      <c r="D971" s="369"/>
      <c r="E971" s="482"/>
      <c r="F971" s="482"/>
    </row>
    <row r="972" spans="1:6" ht="14.25">
      <c r="A972" s="368"/>
      <c r="B972" s="377"/>
      <c r="C972" s="368"/>
      <c r="D972" s="369"/>
      <c r="E972" s="482"/>
      <c r="F972" s="482"/>
    </row>
    <row r="973" spans="1:6" ht="13.5">
      <c r="A973" s="367"/>
      <c r="B973" s="367"/>
      <c r="C973" s="367"/>
      <c r="D973" s="370"/>
      <c r="E973" s="481"/>
      <c r="F973" s="481"/>
    </row>
    <row r="974" spans="1:6" ht="14.25">
      <c r="A974" s="368"/>
      <c r="B974" s="377"/>
      <c r="C974" s="368"/>
      <c r="D974" s="369"/>
      <c r="E974" s="482"/>
      <c r="F974" s="482"/>
    </row>
    <row r="975" spans="1:6" ht="14.25">
      <c r="A975" s="368"/>
      <c r="B975" s="377"/>
      <c r="C975" s="368"/>
      <c r="D975" s="369"/>
      <c r="E975" s="482"/>
      <c r="F975" s="482"/>
    </row>
    <row r="976" spans="1:6" ht="14.25">
      <c r="A976" s="368"/>
      <c r="B976" s="377"/>
      <c r="C976" s="368"/>
      <c r="D976" s="369"/>
      <c r="E976" s="482"/>
      <c r="F976" s="482"/>
    </row>
    <row r="977" spans="1:6" ht="14.25">
      <c r="A977" s="368"/>
      <c r="B977" s="377"/>
      <c r="C977" s="368"/>
      <c r="D977" s="369"/>
      <c r="E977" s="482"/>
      <c r="F977" s="482"/>
    </row>
    <row r="978" spans="1:6" ht="13.5">
      <c r="A978" s="367"/>
      <c r="B978" s="367"/>
      <c r="C978" s="367"/>
      <c r="D978" s="370"/>
      <c r="E978" s="481"/>
      <c r="F978" s="481"/>
    </row>
    <row r="979" spans="1:6" ht="14.25">
      <c r="A979" s="368"/>
      <c r="B979" s="377"/>
      <c r="C979" s="368"/>
      <c r="D979" s="369"/>
      <c r="E979" s="482"/>
      <c r="F979" s="482"/>
    </row>
    <row r="980" spans="1:6" ht="14.25">
      <c r="A980" s="368"/>
      <c r="B980" s="377"/>
      <c r="C980" s="368"/>
      <c r="D980" s="369"/>
      <c r="E980" s="482"/>
      <c r="F980" s="482"/>
    </row>
    <row r="981" spans="1:6" ht="14.25">
      <c r="A981" s="368"/>
      <c r="B981" s="377"/>
      <c r="C981" s="368"/>
      <c r="D981" s="369"/>
      <c r="E981" s="482"/>
      <c r="F981" s="482"/>
    </row>
    <row r="982" spans="1:6" ht="14.25">
      <c r="A982" s="368"/>
      <c r="B982" s="377"/>
      <c r="C982" s="368"/>
      <c r="D982" s="369"/>
      <c r="E982" s="482"/>
      <c r="F982" s="482"/>
    </row>
    <row r="983" spans="1:6" ht="13.5">
      <c r="A983" s="367"/>
      <c r="B983" s="367"/>
      <c r="C983" s="367"/>
      <c r="D983" s="370"/>
      <c r="E983" s="481"/>
      <c r="F983" s="481"/>
    </row>
    <row r="984" spans="1:6" ht="14.25">
      <c r="A984" s="368"/>
      <c r="B984" s="377"/>
      <c r="C984" s="368"/>
      <c r="D984" s="369"/>
      <c r="E984" s="482"/>
      <c r="F984" s="482"/>
    </row>
    <row r="985" spans="1:6" ht="14.25">
      <c r="A985" s="368"/>
      <c r="B985" s="377"/>
      <c r="C985" s="368"/>
      <c r="D985" s="369"/>
      <c r="E985" s="482"/>
      <c r="F985" s="482"/>
    </row>
    <row r="986" spans="1:6" ht="14.25">
      <c r="A986" s="368"/>
      <c r="B986" s="377"/>
      <c r="C986" s="368"/>
      <c r="D986" s="369"/>
      <c r="E986" s="482"/>
      <c r="F986" s="482"/>
    </row>
    <row r="987" spans="1:6" ht="14.25">
      <c r="A987" s="368"/>
      <c r="B987" s="377"/>
      <c r="C987" s="368"/>
      <c r="D987" s="369"/>
      <c r="E987" s="482"/>
      <c r="F987" s="482"/>
    </row>
    <row r="988" spans="1:6" ht="13.5">
      <c r="A988" s="367"/>
      <c r="B988" s="367"/>
      <c r="C988" s="367"/>
      <c r="D988" s="370"/>
      <c r="E988" s="481"/>
      <c r="F988" s="481"/>
    </row>
    <row r="989" spans="1:6" ht="14.25">
      <c r="A989" s="368"/>
      <c r="B989" s="377"/>
      <c r="C989" s="368"/>
      <c r="D989" s="369"/>
      <c r="E989" s="482"/>
      <c r="F989" s="482"/>
    </row>
    <row r="990" spans="1:6" ht="14.25">
      <c r="A990" s="368"/>
      <c r="B990" s="377"/>
      <c r="C990" s="368"/>
      <c r="D990" s="369"/>
      <c r="E990" s="482"/>
      <c r="F990" s="482"/>
    </row>
    <row r="991" spans="1:6" ht="14.25">
      <c r="A991" s="368"/>
      <c r="B991" s="377"/>
      <c r="C991" s="368"/>
      <c r="D991" s="369"/>
      <c r="E991" s="482"/>
      <c r="F991" s="482"/>
    </row>
    <row r="992" spans="1:6" ht="14.25">
      <c r="A992" s="368"/>
      <c r="B992" s="377"/>
      <c r="C992" s="368"/>
      <c r="D992" s="369"/>
      <c r="E992" s="482"/>
      <c r="F992" s="482"/>
    </row>
    <row r="993" spans="1:6" ht="13.5">
      <c r="A993" s="367"/>
      <c r="B993" s="367"/>
      <c r="C993" s="367"/>
      <c r="D993" s="370"/>
      <c r="E993" s="481"/>
      <c r="F993" s="481"/>
    </row>
    <row r="994" spans="1:6" ht="14.25">
      <c r="A994" s="368"/>
      <c r="B994" s="377"/>
      <c r="C994" s="368"/>
      <c r="D994" s="369"/>
      <c r="E994" s="482"/>
      <c r="F994" s="482"/>
    </row>
    <row r="995" spans="1:6" ht="14.25">
      <c r="A995" s="368"/>
      <c r="B995" s="377"/>
      <c r="C995" s="368"/>
      <c r="D995" s="369"/>
      <c r="E995" s="482"/>
      <c r="F995" s="482"/>
    </row>
    <row r="996" spans="1:6" ht="14.25">
      <c r="A996" s="368"/>
      <c r="B996" s="377"/>
      <c r="C996" s="368"/>
      <c r="D996" s="369"/>
      <c r="E996" s="482"/>
      <c r="F996" s="482"/>
    </row>
    <row r="997" spans="1:6" ht="14.25">
      <c r="A997" s="368"/>
      <c r="B997" s="377"/>
      <c r="C997" s="368"/>
      <c r="D997" s="369"/>
      <c r="E997" s="482"/>
      <c r="F997" s="482"/>
    </row>
    <row r="998" spans="1:6" ht="13.5">
      <c r="A998" s="367"/>
      <c r="B998" s="367"/>
      <c r="C998" s="367"/>
      <c r="D998" s="370"/>
      <c r="E998" s="481"/>
      <c r="F998" s="481"/>
    </row>
    <row r="999" spans="1:6" ht="14.25">
      <c r="A999" s="368"/>
      <c r="B999" s="377"/>
      <c r="C999" s="368"/>
      <c r="D999" s="369"/>
      <c r="E999" s="482"/>
      <c r="F999" s="482"/>
    </row>
    <row r="1000" spans="1:6" ht="14.25">
      <c r="A1000" s="368"/>
      <c r="B1000" s="377"/>
      <c r="C1000" s="368"/>
      <c r="D1000" s="369"/>
      <c r="E1000" s="482"/>
      <c r="F1000" s="482"/>
    </row>
    <row r="1001" spans="1:6" ht="14.25">
      <c r="A1001" s="368"/>
      <c r="B1001" s="377"/>
      <c r="C1001" s="368"/>
      <c r="D1001" s="369"/>
      <c r="E1001" s="482"/>
      <c r="F1001" s="482"/>
    </row>
    <row r="1002" spans="1:6" ht="14.25">
      <c r="A1002" s="368"/>
      <c r="B1002" s="377"/>
      <c r="C1002" s="368"/>
      <c r="D1002" s="369"/>
      <c r="E1002" s="482"/>
      <c r="F1002" s="482"/>
    </row>
    <row r="1003" spans="1:6" ht="13.5">
      <c r="A1003" s="367"/>
      <c r="B1003" s="367"/>
      <c r="C1003" s="367"/>
      <c r="D1003" s="370"/>
      <c r="E1003" s="481"/>
      <c r="F1003" s="481"/>
    </row>
    <row r="1004" spans="1:6" ht="14.25">
      <c r="A1004" s="368"/>
      <c r="B1004" s="377"/>
      <c r="C1004" s="368"/>
      <c r="D1004" s="369"/>
      <c r="E1004" s="482"/>
      <c r="F1004" s="482"/>
    </row>
    <row r="1005" spans="1:6" ht="14.25">
      <c r="A1005" s="368"/>
      <c r="B1005" s="377"/>
      <c r="C1005" s="368"/>
      <c r="D1005" s="369"/>
      <c r="E1005" s="482"/>
      <c r="F1005" s="482"/>
    </row>
    <row r="1006" spans="1:6" ht="14.25">
      <c r="A1006" s="368"/>
      <c r="B1006" s="377"/>
      <c r="C1006" s="368"/>
      <c r="D1006" s="369"/>
      <c r="E1006" s="482"/>
      <c r="F1006" s="482"/>
    </row>
    <row r="1007" spans="1:6" ht="14.25">
      <c r="A1007" s="368"/>
      <c r="B1007" s="377"/>
      <c r="C1007" s="368"/>
      <c r="D1007" s="369"/>
      <c r="E1007" s="482"/>
      <c r="F1007" s="482"/>
    </row>
    <row r="1008" spans="1:6" ht="13.5">
      <c r="A1008" s="367"/>
      <c r="B1008" s="367"/>
      <c r="C1008" s="367"/>
      <c r="D1008" s="370"/>
      <c r="E1008" s="481"/>
      <c r="F1008" s="481"/>
    </row>
    <row r="1009" spans="1:6" ht="14.25">
      <c r="A1009" s="368"/>
      <c r="B1009" s="377"/>
      <c r="C1009" s="368"/>
      <c r="D1009" s="369"/>
      <c r="E1009" s="482"/>
      <c r="F1009" s="482"/>
    </row>
    <row r="1010" spans="1:6" ht="14.25">
      <c r="A1010" s="368"/>
      <c r="B1010" s="377"/>
      <c r="C1010" s="368"/>
      <c r="D1010" s="369"/>
      <c r="E1010" s="482"/>
      <c r="F1010" s="482"/>
    </row>
    <row r="1011" spans="1:6" ht="14.25">
      <c r="A1011" s="368"/>
      <c r="B1011" s="377"/>
      <c r="C1011" s="368"/>
      <c r="D1011" s="369"/>
      <c r="E1011" s="482"/>
      <c r="F1011" s="482"/>
    </row>
    <row r="1012" spans="1:6" ht="14.25">
      <c r="A1012" s="368"/>
      <c r="B1012" s="377"/>
      <c r="C1012" s="368"/>
      <c r="D1012" s="369"/>
      <c r="E1012" s="482"/>
      <c r="F1012" s="482"/>
    </row>
    <row r="1013" spans="1:6" ht="13.5">
      <c r="A1013" s="367"/>
      <c r="B1013" s="367"/>
      <c r="C1013" s="367"/>
      <c r="D1013" s="370"/>
      <c r="E1013" s="481"/>
      <c r="F1013" s="481"/>
    </row>
    <row r="1014" spans="1:6" ht="14.25">
      <c r="A1014" s="368"/>
      <c r="B1014" s="377"/>
      <c r="C1014" s="368"/>
      <c r="D1014" s="369"/>
      <c r="E1014" s="482"/>
      <c r="F1014" s="482"/>
    </row>
    <row r="1015" spans="1:6" ht="14.25">
      <c r="A1015" s="368"/>
      <c r="B1015" s="377"/>
      <c r="C1015" s="368"/>
      <c r="D1015" s="369"/>
      <c r="E1015" s="482"/>
      <c r="F1015" s="482"/>
    </row>
    <row r="1016" spans="1:6" ht="14.25">
      <c r="A1016" s="368"/>
      <c r="B1016" s="377"/>
      <c r="C1016" s="368"/>
      <c r="D1016" s="369"/>
      <c r="E1016" s="482"/>
      <c r="F1016" s="482"/>
    </row>
    <row r="1017" spans="1:6" ht="14.25">
      <c r="A1017" s="368"/>
      <c r="B1017" s="377"/>
      <c r="C1017" s="368"/>
      <c r="D1017" s="369"/>
      <c r="E1017" s="482"/>
      <c r="F1017" s="482"/>
    </row>
    <row r="1018" spans="1:6" ht="13.5">
      <c r="A1018" s="367"/>
      <c r="B1018" s="367"/>
      <c r="C1018" s="367"/>
      <c r="D1018" s="370"/>
      <c r="E1018" s="481"/>
      <c r="F1018" s="481"/>
    </row>
    <row r="1019" spans="1:6" ht="14.25">
      <c r="A1019" s="368"/>
      <c r="B1019" s="377"/>
      <c r="C1019" s="368"/>
      <c r="D1019" s="369"/>
      <c r="E1019" s="482"/>
      <c r="F1019" s="482"/>
    </row>
    <row r="1020" spans="1:6" ht="14.25">
      <c r="A1020" s="368"/>
      <c r="B1020" s="377"/>
      <c r="C1020" s="368"/>
      <c r="D1020" s="369"/>
      <c r="E1020" s="482"/>
      <c r="F1020" s="482"/>
    </row>
    <row r="1021" spans="1:6" ht="14.25">
      <c r="A1021" s="368"/>
      <c r="B1021" s="377"/>
      <c r="C1021" s="368"/>
      <c r="D1021" s="369"/>
      <c r="E1021" s="482"/>
      <c r="F1021" s="482"/>
    </row>
    <row r="1022" spans="1:6" ht="14.25">
      <c r="A1022" s="368"/>
      <c r="B1022" s="377"/>
      <c r="C1022" s="368"/>
      <c r="D1022" s="369"/>
      <c r="E1022" s="482"/>
      <c r="F1022" s="482"/>
    </row>
    <row r="1023" spans="1:6" ht="13.5">
      <c r="A1023" s="367"/>
      <c r="B1023" s="367"/>
      <c r="C1023" s="367"/>
      <c r="D1023" s="370"/>
      <c r="E1023" s="481"/>
      <c r="F1023" s="481"/>
    </row>
    <row r="1024" spans="1:6" ht="14.25">
      <c r="A1024" s="368"/>
      <c r="B1024" s="377"/>
      <c r="C1024" s="368"/>
      <c r="D1024" s="369"/>
      <c r="E1024" s="482"/>
      <c r="F1024" s="482"/>
    </row>
    <row r="1025" spans="1:6" ht="14.25">
      <c r="A1025" s="368"/>
      <c r="B1025" s="377"/>
      <c r="C1025" s="368"/>
      <c r="D1025" s="369"/>
      <c r="E1025" s="482"/>
      <c r="F1025" s="482"/>
    </row>
    <row r="1026" spans="1:6" ht="14.25">
      <c r="A1026" s="368"/>
      <c r="B1026" s="377"/>
      <c r="C1026" s="368"/>
      <c r="D1026" s="369"/>
      <c r="E1026" s="482"/>
      <c r="F1026" s="482"/>
    </row>
    <row r="1027" spans="1:6" ht="14.25">
      <c r="A1027" s="368"/>
      <c r="B1027" s="377"/>
      <c r="C1027" s="368"/>
      <c r="D1027" s="369"/>
      <c r="E1027" s="482"/>
      <c r="F1027" s="482"/>
    </row>
    <row r="1028" spans="1:6" ht="13.5">
      <c r="A1028" s="367"/>
      <c r="B1028" s="367"/>
      <c r="C1028" s="367"/>
      <c r="D1028" s="370"/>
      <c r="E1028" s="481"/>
      <c r="F1028" s="481"/>
    </row>
    <row r="1029" spans="1:6" ht="14.25">
      <c r="A1029" s="368"/>
      <c r="B1029" s="377"/>
      <c r="C1029" s="368"/>
      <c r="D1029" s="369"/>
      <c r="E1029" s="482"/>
      <c r="F1029" s="482"/>
    </row>
    <row r="1030" spans="1:6" ht="14.25">
      <c r="A1030" s="368"/>
      <c r="B1030" s="377"/>
      <c r="C1030" s="368"/>
      <c r="D1030" s="369"/>
      <c r="E1030" s="482"/>
      <c r="F1030" s="482"/>
    </row>
    <row r="1031" spans="1:6" ht="14.25">
      <c r="A1031" s="368"/>
      <c r="B1031" s="377"/>
      <c r="C1031" s="368"/>
      <c r="D1031" s="369"/>
      <c r="E1031" s="482"/>
      <c r="F1031" s="482"/>
    </row>
    <row r="1032" spans="1:6" ht="14.25">
      <c r="A1032" s="368"/>
      <c r="B1032" s="377"/>
      <c r="C1032" s="368"/>
      <c r="D1032" s="369"/>
      <c r="E1032" s="482"/>
      <c r="F1032" s="482"/>
    </row>
    <row r="1033" spans="1:6" ht="13.5">
      <c r="A1033" s="367"/>
      <c r="B1033" s="367"/>
      <c r="C1033" s="367"/>
      <c r="D1033" s="370"/>
      <c r="E1033" s="481"/>
      <c r="F1033" s="481"/>
    </row>
    <row r="1034" spans="1:6" ht="14.25">
      <c r="A1034" s="368"/>
      <c r="B1034" s="377"/>
      <c r="C1034" s="368"/>
      <c r="D1034" s="369"/>
      <c r="E1034" s="482"/>
      <c r="F1034" s="482"/>
    </row>
    <row r="1035" spans="1:6" ht="14.25">
      <c r="A1035" s="368"/>
      <c r="B1035" s="377"/>
      <c r="C1035" s="368"/>
      <c r="D1035" s="369"/>
      <c r="E1035" s="482"/>
      <c r="F1035" s="482"/>
    </row>
    <row r="1036" spans="1:6" ht="14.25">
      <c r="A1036" s="368"/>
      <c r="B1036" s="377"/>
      <c r="C1036" s="368"/>
      <c r="D1036" s="369"/>
      <c r="E1036" s="482"/>
      <c r="F1036" s="482"/>
    </row>
    <row r="1037" spans="1:6" ht="14.25">
      <c r="A1037" s="368"/>
      <c r="B1037" s="377"/>
      <c r="C1037" s="368"/>
      <c r="D1037" s="369"/>
      <c r="E1037" s="482"/>
      <c r="F1037" s="482"/>
    </row>
    <row r="1038" spans="1:6" ht="13.5">
      <c r="A1038" s="367"/>
      <c r="B1038" s="367"/>
      <c r="C1038" s="367"/>
      <c r="D1038" s="370"/>
      <c r="E1038" s="481"/>
      <c r="F1038" s="481"/>
    </row>
    <row r="1039" spans="1:6" ht="14.25">
      <c r="A1039" s="368"/>
      <c r="B1039" s="377"/>
      <c r="C1039" s="368"/>
      <c r="D1039" s="369"/>
      <c r="E1039" s="482"/>
      <c r="F1039" s="482"/>
    </row>
    <row r="1040" spans="1:6" ht="14.25">
      <c r="A1040" s="368"/>
      <c r="B1040" s="377"/>
      <c r="C1040" s="368"/>
      <c r="D1040" s="369"/>
      <c r="E1040" s="482"/>
      <c r="F1040" s="482"/>
    </row>
    <row r="1041" spans="1:6" ht="14.25">
      <c r="A1041" s="368"/>
      <c r="B1041" s="377"/>
      <c r="C1041" s="368"/>
      <c r="D1041" s="369"/>
      <c r="E1041" s="482"/>
      <c r="F1041" s="482"/>
    </row>
    <row r="1042" spans="1:6" ht="14.25">
      <c r="A1042" s="368"/>
      <c r="B1042" s="377"/>
      <c r="C1042" s="368"/>
      <c r="D1042" s="369"/>
      <c r="E1042" s="482"/>
      <c r="F1042" s="482"/>
    </row>
    <row r="1043" spans="1:6" ht="13.5">
      <c r="A1043" s="367"/>
      <c r="B1043" s="367"/>
      <c r="C1043" s="367"/>
      <c r="D1043" s="370"/>
      <c r="E1043" s="481"/>
      <c r="F1043" s="481"/>
    </row>
    <row r="1044" spans="1:6" ht="14.25">
      <c r="A1044" s="368"/>
      <c r="B1044" s="377"/>
      <c r="C1044" s="368"/>
      <c r="D1044" s="369"/>
      <c r="E1044" s="482"/>
      <c r="F1044" s="482"/>
    </row>
    <row r="1045" spans="1:6" ht="14.25">
      <c r="A1045" s="368"/>
      <c r="B1045" s="377"/>
      <c r="C1045" s="368"/>
      <c r="D1045" s="369"/>
      <c r="E1045" s="482"/>
      <c r="F1045" s="482"/>
    </row>
    <row r="1046" spans="1:6" ht="14.25">
      <c r="A1046" s="368"/>
      <c r="B1046" s="377"/>
      <c r="C1046" s="368"/>
      <c r="D1046" s="369"/>
      <c r="E1046" s="482"/>
      <c r="F1046" s="482"/>
    </row>
    <row r="1047" spans="1:6" ht="14.25">
      <c r="A1047" s="368"/>
      <c r="B1047" s="377"/>
      <c r="C1047" s="368"/>
      <c r="D1047" s="369"/>
      <c r="E1047" s="482"/>
      <c r="F1047" s="482"/>
    </row>
    <row r="1048" spans="1:6" ht="13.5">
      <c r="A1048" s="367"/>
      <c r="B1048" s="367"/>
      <c r="C1048" s="367"/>
      <c r="D1048" s="370"/>
      <c r="E1048" s="481"/>
      <c r="F1048" s="481"/>
    </row>
    <row r="1049" spans="1:6" ht="14.25">
      <c r="A1049" s="368"/>
      <c r="B1049" s="377"/>
      <c r="C1049" s="368"/>
      <c r="D1049" s="369"/>
      <c r="E1049" s="482"/>
      <c r="F1049" s="482"/>
    </row>
    <row r="1050" spans="1:6" ht="14.25">
      <c r="A1050" s="368"/>
      <c r="B1050" s="377"/>
      <c r="C1050" s="368"/>
      <c r="D1050" s="369"/>
      <c r="E1050" s="482"/>
      <c r="F1050" s="482"/>
    </row>
    <row r="1051" spans="1:6" ht="14.25">
      <c r="A1051" s="368"/>
      <c r="B1051" s="377"/>
      <c r="C1051" s="368"/>
      <c r="D1051" s="369"/>
      <c r="E1051" s="482"/>
      <c r="F1051" s="482"/>
    </row>
    <row r="1052" spans="1:6" ht="14.25">
      <c r="A1052" s="368"/>
      <c r="B1052" s="377"/>
      <c r="C1052" s="368"/>
      <c r="D1052" s="369"/>
      <c r="E1052" s="482"/>
      <c r="F1052" s="482"/>
    </row>
    <row r="1053" spans="1:6" ht="13.5">
      <c r="A1053" s="367"/>
      <c r="B1053" s="367"/>
      <c r="C1053" s="367"/>
      <c r="D1053" s="370"/>
      <c r="E1053" s="481"/>
      <c r="F1053" s="481"/>
    </row>
    <row r="1054" spans="1:6" ht="14.25">
      <c r="A1054" s="368"/>
      <c r="B1054" s="377"/>
      <c r="C1054" s="368"/>
      <c r="D1054" s="369"/>
      <c r="E1054" s="482"/>
      <c r="F1054" s="482"/>
    </row>
    <row r="1055" spans="1:6" ht="14.25">
      <c r="A1055" s="368"/>
      <c r="B1055" s="377"/>
      <c r="C1055" s="368"/>
      <c r="D1055" s="369"/>
      <c r="E1055" s="482"/>
      <c r="F1055" s="482"/>
    </row>
    <row r="1056" spans="1:6" ht="14.25">
      <c r="A1056" s="368"/>
      <c r="B1056" s="377"/>
      <c r="C1056" s="368"/>
      <c r="D1056" s="369"/>
      <c r="E1056" s="482"/>
      <c r="F1056" s="482"/>
    </row>
    <row r="1057" spans="1:6" ht="14.25">
      <c r="A1057" s="368"/>
      <c r="B1057" s="377"/>
      <c r="C1057" s="368"/>
      <c r="D1057" s="369"/>
      <c r="E1057" s="482"/>
      <c r="F1057" s="482"/>
    </row>
    <row r="1058" spans="1:6" ht="13.5">
      <c r="A1058" s="367"/>
      <c r="B1058" s="367"/>
      <c r="C1058" s="367"/>
      <c r="D1058" s="370"/>
      <c r="E1058" s="481"/>
      <c r="F1058" s="481"/>
    </row>
    <row r="1059" spans="1:6" ht="14.25">
      <c r="A1059" s="368"/>
      <c r="B1059" s="377"/>
      <c r="C1059" s="368"/>
      <c r="D1059" s="369"/>
      <c r="E1059" s="482"/>
      <c r="F1059" s="482"/>
    </row>
    <row r="1060" spans="1:6" ht="14.25">
      <c r="A1060" s="368"/>
      <c r="B1060" s="377"/>
      <c r="C1060" s="368"/>
      <c r="D1060" s="369"/>
      <c r="E1060" s="482"/>
      <c r="F1060" s="482"/>
    </row>
    <row r="1061" spans="1:6" ht="14.25">
      <c r="A1061" s="368"/>
      <c r="B1061" s="377"/>
      <c r="C1061" s="368"/>
      <c r="D1061" s="369"/>
      <c r="E1061" s="482"/>
      <c r="F1061" s="482"/>
    </row>
    <row r="1062" spans="1:6" ht="14.25">
      <c r="A1062" s="368"/>
      <c r="B1062" s="377"/>
      <c r="C1062" s="368"/>
      <c r="D1062" s="369"/>
      <c r="E1062" s="482"/>
      <c r="F1062" s="482"/>
    </row>
    <row r="1063" spans="1:6" ht="13.5">
      <c r="A1063" s="367"/>
      <c r="B1063" s="367"/>
      <c r="C1063" s="367"/>
      <c r="D1063" s="370"/>
      <c r="E1063" s="481"/>
      <c r="F1063" s="481"/>
    </row>
    <row r="1064" spans="1:6" ht="14.25">
      <c r="A1064" s="368"/>
      <c r="B1064" s="377"/>
      <c r="C1064" s="368"/>
      <c r="D1064" s="369"/>
      <c r="E1064" s="482"/>
      <c r="F1064" s="482"/>
    </row>
    <row r="1065" spans="1:6" ht="14.25">
      <c r="A1065" s="368"/>
      <c r="B1065" s="377"/>
      <c r="C1065" s="368"/>
      <c r="D1065" s="369"/>
      <c r="E1065" s="482"/>
      <c r="F1065" s="482"/>
    </row>
    <row r="1066" spans="1:6" ht="14.25">
      <c r="A1066" s="368"/>
      <c r="B1066" s="377"/>
      <c r="C1066" s="368"/>
      <c r="D1066" s="369"/>
      <c r="E1066" s="482"/>
      <c r="F1066" s="482"/>
    </row>
    <row r="1067" spans="1:6" ht="14.25">
      <c r="A1067" s="368"/>
      <c r="B1067" s="377"/>
      <c r="C1067" s="368"/>
      <c r="D1067" s="369"/>
      <c r="E1067" s="482"/>
      <c r="F1067" s="482"/>
    </row>
    <row r="1068" spans="1:6" ht="13.5">
      <c r="A1068" s="367"/>
      <c r="B1068" s="367"/>
      <c r="C1068" s="367"/>
      <c r="D1068" s="370"/>
      <c r="E1068" s="481"/>
      <c r="F1068" s="481"/>
    </row>
    <row r="1069" spans="1:6" ht="14.25">
      <c r="A1069" s="368"/>
      <c r="B1069" s="377"/>
      <c r="C1069" s="368"/>
      <c r="D1069" s="369"/>
      <c r="E1069" s="482"/>
      <c r="F1069" s="482"/>
    </row>
    <row r="1070" spans="1:6" ht="14.25">
      <c r="A1070" s="368"/>
      <c r="B1070" s="377"/>
      <c r="C1070" s="368"/>
      <c r="D1070" s="369"/>
      <c r="E1070" s="482"/>
      <c r="F1070" s="482"/>
    </row>
    <row r="1071" spans="1:6" ht="14.25">
      <c r="A1071" s="368"/>
      <c r="B1071" s="377"/>
      <c r="C1071" s="368"/>
      <c r="D1071" s="369"/>
      <c r="E1071" s="482"/>
      <c r="F1071" s="482"/>
    </row>
    <row r="1072" spans="1:6" ht="14.25">
      <c r="A1072" s="368"/>
      <c r="B1072" s="377"/>
      <c r="C1072" s="368"/>
      <c r="D1072" s="369"/>
      <c r="E1072" s="482"/>
      <c r="F1072" s="482"/>
    </row>
    <row r="1073" spans="1:6" ht="13.5">
      <c r="A1073" s="367"/>
      <c r="B1073" s="367"/>
      <c r="C1073" s="367"/>
      <c r="D1073" s="370"/>
      <c r="E1073" s="481"/>
      <c r="F1073" s="481"/>
    </row>
    <row r="1074" spans="1:6" ht="14.25">
      <c r="A1074" s="368"/>
      <c r="B1074" s="377"/>
      <c r="C1074" s="368"/>
      <c r="D1074" s="369"/>
      <c r="E1074" s="482"/>
      <c r="F1074" s="482"/>
    </row>
    <row r="1075" spans="1:6" ht="14.25">
      <c r="A1075" s="368"/>
      <c r="B1075" s="377"/>
      <c r="C1075" s="368"/>
      <c r="D1075" s="369"/>
      <c r="E1075" s="482"/>
      <c r="F1075" s="482"/>
    </row>
    <row r="1076" spans="1:6" ht="14.25">
      <c r="A1076" s="368"/>
      <c r="B1076" s="377"/>
      <c r="C1076" s="368"/>
      <c r="D1076" s="369"/>
      <c r="E1076" s="482"/>
      <c r="F1076" s="482"/>
    </row>
    <row r="1077" spans="1:6" ht="14.25">
      <c r="A1077" s="368"/>
      <c r="B1077" s="377"/>
      <c r="C1077" s="368"/>
      <c r="D1077" s="369"/>
      <c r="E1077" s="482"/>
      <c r="F1077" s="482"/>
    </row>
    <row r="1078" spans="1:6" ht="13.5">
      <c r="A1078" s="367"/>
      <c r="B1078" s="367"/>
      <c r="C1078" s="367"/>
      <c r="D1078" s="370"/>
      <c r="E1078" s="481"/>
      <c r="F1078" s="481"/>
    </row>
    <row r="1079" spans="1:6" ht="14.25">
      <c r="A1079" s="368"/>
      <c r="B1079" s="377"/>
      <c r="C1079" s="368"/>
      <c r="D1079" s="369"/>
      <c r="E1079" s="482"/>
      <c r="F1079" s="482"/>
    </row>
    <row r="1080" spans="1:6" ht="14.25">
      <c r="A1080" s="368"/>
      <c r="B1080" s="377"/>
      <c r="C1080" s="368"/>
      <c r="D1080" s="369"/>
      <c r="E1080" s="482"/>
      <c r="F1080" s="482"/>
    </row>
    <row r="1081" spans="1:6" ht="14.25">
      <c r="A1081" s="368"/>
      <c r="B1081" s="377"/>
      <c r="C1081" s="368"/>
      <c r="D1081" s="369"/>
      <c r="E1081" s="482"/>
      <c r="F1081" s="482"/>
    </row>
    <row r="1082" spans="1:6" ht="14.25">
      <c r="A1082" s="368"/>
      <c r="B1082" s="377"/>
      <c r="C1082" s="368"/>
      <c r="D1082" s="369"/>
      <c r="E1082" s="482"/>
      <c r="F1082" s="482"/>
    </row>
    <row r="1083" spans="1:6" ht="13.5">
      <c r="A1083" s="367"/>
      <c r="B1083" s="367"/>
      <c r="C1083" s="367"/>
      <c r="D1083" s="370"/>
      <c r="E1083" s="481"/>
      <c r="F1083" s="481"/>
    </row>
    <row r="1084" spans="1:6" ht="14.25">
      <c r="A1084" s="368"/>
      <c r="B1084" s="377"/>
      <c r="C1084" s="368"/>
      <c r="D1084" s="369"/>
      <c r="E1084" s="482"/>
      <c r="F1084" s="482"/>
    </row>
    <row r="1085" spans="1:6" ht="14.25">
      <c r="A1085" s="368"/>
      <c r="B1085" s="377"/>
      <c r="C1085" s="368"/>
      <c r="D1085" s="369"/>
      <c r="E1085" s="482"/>
      <c r="F1085" s="482"/>
    </row>
    <row r="1086" spans="1:6" ht="14.25">
      <c r="A1086" s="368"/>
      <c r="B1086" s="377"/>
      <c r="C1086" s="368"/>
      <c r="D1086" s="369"/>
      <c r="E1086" s="482"/>
      <c r="F1086" s="482"/>
    </row>
    <row r="1087" spans="1:6" ht="14.25">
      <c r="A1087" s="368"/>
      <c r="B1087" s="377"/>
      <c r="C1087" s="368"/>
      <c r="D1087" s="369"/>
      <c r="E1087" s="482"/>
      <c r="F1087" s="482"/>
    </row>
    <row r="1088" spans="1:6" ht="13.5">
      <c r="A1088" s="367"/>
      <c r="B1088" s="367"/>
      <c r="C1088" s="367"/>
      <c r="D1088" s="370"/>
      <c r="E1088" s="481"/>
      <c r="F1088" s="481"/>
    </row>
    <row r="1089" spans="1:6" ht="14.25">
      <c r="A1089" s="368"/>
      <c r="B1089" s="377"/>
      <c r="C1089" s="368"/>
      <c r="D1089" s="369"/>
      <c r="E1089" s="482"/>
      <c r="F1089" s="482"/>
    </row>
    <row r="1090" spans="1:6" ht="14.25">
      <c r="A1090" s="368"/>
      <c r="B1090" s="377"/>
      <c r="C1090" s="368"/>
      <c r="D1090" s="369"/>
      <c r="E1090" s="482"/>
      <c r="F1090" s="482"/>
    </row>
    <row r="1091" spans="1:6" ht="14.25">
      <c r="A1091" s="368"/>
      <c r="B1091" s="377"/>
      <c r="C1091" s="368"/>
      <c r="D1091" s="369"/>
      <c r="E1091" s="482"/>
      <c r="F1091" s="482"/>
    </row>
    <row r="1092" spans="1:6" ht="14.25">
      <c r="A1092" s="368"/>
      <c r="B1092" s="377"/>
      <c r="C1092" s="368"/>
      <c r="D1092" s="369"/>
      <c r="E1092" s="482"/>
      <c r="F1092" s="482"/>
    </row>
    <row r="1093" spans="1:6" ht="13.5">
      <c r="A1093" s="367"/>
      <c r="B1093" s="367"/>
      <c r="C1093" s="367"/>
      <c r="D1093" s="370"/>
      <c r="E1093" s="481"/>
      <c r="F1093" s="481"/>
    </row>
    <row r="1094" spans="1:6" ht="14.25">
      <c r="A1094" s="368"/>
      <c r="B1094" s="377"/>
      <c r="C1094" s="368"/>
      <c r="D1094" s="369"/>
      <c r="E1094" s="482"/>
      <c r="F1094" s="482"/>
    </row>
    <row r="1095" spans="1:6" ht="14.25">
      <c r="A1095" s="368"/>
      <c r="B1095" s="377"/>
      <c r="C1095" s="368"/>
      <c r="D1095" s="369"/>
      <c r="E1095" s="482"/>
      <c r="F1095" s="482"/>
    </row>
    <row r="1096" spans="1:6" ht="14.25">
      <c r="A1096" s="368"/>
      <c r="B1096" s="377"/>
      <c r="C1096" s="368"/>
      <c r="D1096" s="369"/>
      <c r="E1096" s="482"/>
      <c r="F1096" s="482"/>
    </row>
    <row r="1097" spans="1:6" ht="14.25">
      <c r="A1097" s="368"/>
      <c r="B1097" s="377"/>
      <c r="C1097" s="368"/>
      <c r="D1097" s="369"/>
      <c r="E1097" s="482"/>
      <c r="F1097" s="482"/>
    </row>
    <row r="1098" spans="1:6" ht="13.5">
      <c r="A1098" s="367"/>
      <c r="B1098" s="367"/>
      <c r="C1098" s="367"/>
      <c r="D1098" s="370"/>
      <c r="E1098" s="481"/>
      <c r="F1098" s="481"/>
    </row>
    <row r="1099" spans="1:6" ht="14.25">
      <c r="A1099" s="368"/>
      <c r="B1099" s="377"/>
      <c r="C1099" s="368"/>
      <c r="D1099" s="369"/>
      <c r="E1099" s="482"/>
      <c r="F1099" s="482"/>
    </row>
    <row r="1100" spans="1:6" ht="14.25">
      <c r="A1100" s="368"/>
      <c r="B1100" s="377"/>
      <c r="C1100" s="368"/>
      <c r="D1100" s="369"/>
      <c r="E1100" s="482"/>
      <c r="F1100" s="482"/>
    </row>
    <row r="1101" spans="1:6" ht="14.25">
      <c r="A1101" s="368"/>
      <c r="B1101" s="377"/>
      <c r="C1101" s="368"/>
      <c r="D1101" s="369"/>
      <c r="E1101" s="482"/>
      <c r="F1101" s="482"/>
    </row>
    <row r="1102" spans="1:6" ht="14.25">
      <c r="A1102" s="368"/>
      <c r="B1102" s="377"/>
      <c r="C1102" s="368"/>
      <c r="D1102" s="369"/>
      <c r="E1102" s="482"/>
      <c r="F1102" s="482"/>
    </row>
    <row r="1103" spans="1:6" ht="13.5">
      <c r="A1103" s="367"/>
      <c r="B1103" s="367"/>
      <c r="C1103" s="367"/>
      <c r="D1103" s="370"/>
      <c r="E1103" s="481"/>
      <c r="F1103" s="481"/>
    </row>
    <row r="1104" spans="1:6" ht="14.25">
      <c r="A1104" s="368"/>
      <c r="B1104" s="377"/>
      <c r="C1104" s="368"/>
      <c r="D1104" s="369"/>
      <c r="E1104" s="482"/>
      <c r="F1104" s="482"/>
    </row>
    <row r="1105" spans="1:6" ht="14.25">
      <c r="A1105" s="368"/>
      <c r="B1105" s="377"/>
      <c r="C1105" s="368"/>
      <c r="D1105" s="369"/>
      <c r="E1105" s="482"/>
      <c r="F1105" s="482"/>
    </row>
    <row r="1106" spans="1:6" ht="14.25">
      <c r="A1106" s="368"/>
      <c r="B1106" s="377"/>
      <c r="C1106" s="368"/>
      <c r="D1106" s="369"/>
      <c r="E1106" s="482"/>
      <c r="F1106" s="482"/>
    </row>
    <row r="1107" spans="1:6" ht="14.25">
      <c r="A1107" s="368"/>
      <c r="B1107" s="377"/>
      <c r="C1107" s="368"/>
      <c r="D1107" s="369"/>
      <c r="E1107" s="482"/>
      <c r="F1107" s="482"/>
    </row>
    <row r="1108" spans="1:6" ht="13.5">
      <c r="A1108" s="367"/>
      <c r="B1108" s="367"/>
      <c r="C1108" s="367"/>
      <c r="D1108" s="370"/>
      <c r="E1108" s="481"/>
      <c r="F1108" s="481"/>
    </row>
    <row r="1109" spans="1:6" ht="14.25">
      <c r="A1109" s="368"/>
      <c r="B1109" s="377"/>
      <c r="C1109" s="368"/>
      <c r="D1109" s="369"/>
      <c r="E1109" s="482"/>
      <c r="F1109" s="482"/>
    </row>
    <row r="1110" spans="1:6" ht="14.25">
      <c r="A1110" s="368"/>
      <c r="B1110" s="377"/>
      <c r="C1110" s="368"/>
      <c r="D1110" s="369"/>
      <c r="E1110" s="482"/>
      <c r="F1110" s="482"/>
    </row>
    <row r="1111" spans="1:6" ht="14.25">
      <c r="A1111" s="368"/>
      <c r="B1111" s="377"/>
      <c r="C1111" s="368"/>
      <c r="D1111" s="369"/>
      <c r="E1111" s="482"/>
      <c r="F1111" s="482"/>
    </row>
    <row r="1112" spans="1:6" ht="14.25">
      <c r="A1112" s="368"/>
      <c r="B1112" s="377"/>
      <c r="C1112" s="368"/>
      <c r="D1112" s="369"/>
      <c r="E1112" s="482"/>
      <c r="F1112" s="482"/>
    </row>
    <row r="1113" spans="1:6" ht="13.5">
      <c r="A1113" s="367"/>
      <c r="B1113" s="367"/>
      <c r="C1113" s="367"/>
      <c r="D1113" s="370"/>
      <c r="E1113" s="481"/>
      <c r="F1113" s="481"/>
    </row>
    <row r="1114" spans="1:6" ht="14.25">
      <c r="A1114" s="368"/>
      <c r="B1114" s="377"/>
      <c r="C1114" s="368"/>
      <c r="D1114" s="369"/>
      <c r="E1114" s="482"/>
      <c r="F1114" s="482"/>
    </row>
    <row r="1115" spans="1:6" ht="14.25">
      <c r="A1115" s="368"/>
      <c r="B1115" s="377"/>
      <c r="C1115" s="368"/>
      <c r="D1115" s="369"/>
      <c r="E1115" s="482"/>
      <c r="F1115" s="482"/>
    </row>
    <row r="1116" spans="1:6" ht="14.25">
      <c r="A1116" s="368"/>
      <c r="B1116" s="377"/>
      <c r="C1116" s="368"/>
      <c r="D1116" s="369"/>
      <c r="E1116" s="482"/>
      <c r="F1116" s="482"/>
    </row>
    <row r="1117" spans="1:6" ht="14.25">
      <c r="A1117" s="368"/>
      <c r="B1117" s="377"/>
      <c r="C1117" s="368"/>
      <c r="D1117" s="369"/>
      <c r="E1117" s="482"/>
      <c r="F1117" s="482"/>
    </row>
    <row r="1118" spans="1:6" ht="13.5">
      <c r="A1118" s="367"/>
      <c r="B1118" s="367"/>
      <c r="C1118" s="367"/>
      <c r="D1118" s="370"/>
      <c r="E1118" s="481"/>
      <c r="F1118" s="481"/>
    </row>
    <row r="1119" spans="1:6" ht="14.25">
      <c r="A1119" s="368"/>
      <c r="B1119" s="377"/>
      <c r="C1119" s="368"/>
      <c r="D1119" s="369"/>
      <c r="E1119" s="482"/>
      <c r="F1119" s="482"/>
    </row>
    <row r="1120" spans="1:6" ht="14.25">
      <c r="A1120" s="368"/>
      <c r="B1120" s="377"/>
      <c r="C1120" s="368"/>
      <c r="D1120" s="369"/>
      <c r="E1120" s="482"/>
      <c r="F1120" s="482"/>
    </row>
    <row r="1121" spans="1:6" ht="14.25">
      <c r="A1121" s="368"/>
      <c r="B1121" s="377"/>
      <c r="C1121" s="368"/>
      <c r="D1121" s="369"/>
      <c r="E1121" s="482"/>
      <c r="F1121" s="482"/>
    </row>
    <row r="1122" spans="1:6" ht="14.25">
      <c r="A1122" s="368"/>
      <c r="B1122" s="377"/>
      <c r="C1122" s="368"/>
      <c r="D1122" s="369"/>
      <c r="E1122" s="482"/>
      <c r="F1122" s="482"/>
    </row>
    <row r="1123" spans="1:6" ht="13.5">
      <c r="A1123" s="367"/>
      <c r="B1123" s="367"/>
      <c r="C1123" s="367"/>
      <c r="D1123" s="370"/>
      <c r="E1123" s="481"/>
      <c r="F1123" s="481"/>
    </row>
    <row r="1124" spans="1:6" ht="14.25">
      <c r="A1124" s="368"/>
      <c r="B1124" s="377"/>
      <c r="C1124" s="368"/>
      <c r="D1124" s="369"/>
      <c r="E1124" s="482"/>
      <c r="F1124" s="482"/>
    </row>
    <row r="1125" spans="1:6" ht="14.25">
      <c r="A1125" s="368"/>
      <c r="B1125" s="377"/>
      <c r="C1125" s="368"/>
      <c r="D1125" s="369"/>
      <c r="E1125" s="482"/>
      <c r="F1125" s="482"/>
    </row>
    <row r="1126" spans="1:6" ht="14.25">
      <c r="A1126" s="368"/>
      <c r="B1126" s="377"/>
      <c r="C1126" s="368"/>
      <c r="D1126" s="369"/>
      <c r="E1126" s="482"/>
      <c r="F1126" s="482"/>
    </row>
    <row r="1127" spans="1:6" ht="14.25">
      <c r="A1127" s="368"/>
      <c r="B1127" s="377"/>
      <c r="C1127" s="368"/>
      <c r="D1127" s="369"/>
      <c r="E1127" s="482"/>
      <c r="F1127" s="482"/>
    </row>
    <row r="1128" spans="1:6" ht="13.5">
      <c r="A1128" s="367"/>
      <c r="B1128" s="367"/>
      <c r="C1128" s="367"/>
      <c r="D1128" s="370"/>
      <c r="E1128" s="481"/>
      <c r="F1128" s="481"/>
    </row>
    <row r="1129" spans="1:6" ht="14.25">
      <c r="A1129" s="368"/>
      <c r="B1129" s="377"/>
      <c r="C1129" s="368"/>
      <c r="D1129" s="369"/>
      <c r="E1129" s="482"/>
      <c r="F1129" s="482"/>
    </row>
    <row r="1130" spans="1:6" ht="14.25">
      <c r="A1130" s="368"/>
      <c r="B1130" s="377"/>
      <c r="C1130" s="368"/>
      <c r="D1130" s="369"/>
      <c r="E1130" s="482"/>
      <c r="F1130" s="482"/>
    </row>
    <row r="1131" spans="1:6" ht="14.25">
      <c r="A1131" s="368"/>
      <c r="B1131" s="377"/>
      <c r="C1131" s="368"/>
      <c r="D1131" s="369"/>
      <c r="E1131" s="482"/>
      <c r="F1131" s="482"/>
    </row>
    <row r="1132" spans="1:6" ht="14.25">
      <c r="A1132" s="368"/>
      <c r="B1132" s="377"/>
      <c r="C1132" s="368"/>
      <c r="D1132" s="369"/>
      <c r="E1132" s="482"/>
      <c r="F1132" s="482"/>
    </row>
    <row r="1133" spans="1:6" ht="13.5">
      <c r="A1133" s="367"/>
      <c r="B1133" s="367"/>
      <c r="C1133" s="367"/>
      <c r="D1133" s="370"/>
      <c r="E1133" s="481"/>
      <c r="F1133" s="481"/>
    </row>
    <row r="1134" spans="1:6" ht="14.25">
      <c r="A1134" s="368"/>
      <c r="B1134" s="377"/>
      <c r="C1134" s="368"/>
      <c r="D1134" s="369"/>
      <c r="E1134" s="482"/>
      <c r="F1134" s="482"/>
    </row>
    <row r="1135" spans="1:6" ht="14.25">
      <c r="A1135" s="368"/>
      <c r="B1135" s="377"/>
      <c r="C1135" s="368"/>
      <c r="D1135" s="369"/>
      <c r="E1135" s="482"/>
      <c r="F1135" s="482"/>
    </row>
    <row r="1136" spans="1:6" ht="14.25">
      <c r="A1136" s="368"/>
      <c r="B1136" s="377"/>
      <c r="C1136" s="368"/>
      <c r="D1136" s="369"/>
      <c r="E1136" s="482"/>
      <c r="F1136" s="482"/>
    </row>
    <row r="1137" spans="1:6" ht="14.25">
      <c r="A1137" s="368"/>
      <c r="B1137" s="377"/>
      <c r="C1137" s="368"/>
      <c r="D1137" s="369"/>
      <c r="E1137" s="482"/>
      <c r="F1137" s="482"/>
    </row>
    <row r="1138" spans="1:6" ht="13.5">
      <c r="A1138" s="367"/>
      <c r="B1138" s="367"/>
      <c r="C1138" s="367"/>
      <c r="D1138" s="370"/>
      <c r="E1138" s="481"/>
      <c r="F1138" s="481"/>
    </row>
    <row r="1139" spans="1:6" ht="14.25">
      <c r="A1139" s="368"/>
      <c r="B1139" s="377"/>
      <c r="C1139" s="368"/>
      <c r="D1139" s="369"/>
      <c r="E1139" s="482"/>
      <c r="F1139" s="482"/>
    </row>
    <row r="1140" spans="1:6" ht="14.25">
      <c r="A1140" s="368"/>
      <c r="B1140" s="377"/>
      <c r="C1140" s="368"/>
      <c r="D1140" s="369"/>
      <c r="E1140" s="482"/>
      <c r="F1140" s="482"/>
    </row>
    <row r="1141" spans="1:6" ht="14.25">
      <c r="A1141" s="368"/>
      <c r="B1141" s="377"/>
      <c r="C1141" s="368"/>
      <c r="D1141" s="369"/>
      <c r="E1141" s="482"/>
      <c r="F1141" s="482"/>
    </row>
    <row r="1142" spans="1:6" ht="14.25">
      <c r="A1142" s="368"/>
      <c r="B1142" s="377"/>
      <c r="C1142" s="368"/>
      <c r="D1142" s="369"/>
      <c r="E1142" s="482"/>
      <c r="F1142" s="482"/>
    </row>
    <row r="1143" spans="1:6" ht="13.5">
      <c r="A1143" s="367"/>
      <c r="B1143" s="367"/>
      <c r="C1143" s="367"/>
      <c r="D1143" s="370"/>
      <c r="E1143" s="481"/>
      <c r="F1143" s="481"/>
    </row>
    <row r="1144" spans="1:6" ht="14.25">
      <c r="A1144" s="368"/>
      <c r="B1144" s="377"/>
      <c r="C1144" s="368"/>
      <c r="D1144" s="369"/>
      <c r="E1144" s="482"/>
      <c r="F1144" s="482"/>
    </row>
    <row r="1145" spans="1:6" ht="14.25">
      <c r="A1145" s="368"/>
      <c r="B1145" s="377"/>
      <c r="C1145" s="368"/>
      <c r="D1145" s="369"/>
      <c r="E1145" s="482"/>
      <c r="F1145" s="482"/>
    </row>
    <row r="1146" spans="1:6" ht="14.25">
      <c r="A1146" s="368"/>
      <c r="B1146" s="377"/>
      <c r="C1146" s="368"/>
      <c r="D1146" s="369"/>
      <c r="E1146" s="482"/>
      <c r="F1146" s="482"/>
    </row>
    <row r="1147" spans="1:6" ht="14.25">
      <c r="A1147" s="368"/>
      <c r="B1147" s="377"/>
      <c r="C1147" s="368"/>
      <c r="D1147" s="369"/>
      <c r="E1147" s="482"/>
      <c r="F1147" s="482"/>
    </row>
    <row r="1148" spans="1:6" ht="13.5">
      <c r="A1148" s="367"/>
      <c r="B1148" s="367"/>
      <c r="C1148" s="367"/>
      <c r="D1148" s="370"/>
      <c r="E1148" s="481"/>
      <c r="F1148" s="481"/>
    </row>
    <row r="1149" spans="1:6" ht="14.25">
      <c r="A1149" s="368"/>
      <c r="B1149" s="377"/>
      <c r="C1149" s="368"/>
      <c r="D1149" s="369"/>
      <c r="E1149" s="482"/>
      <c r="F1149" s="482"/>
    </row>
    <row r="1150" spans="1:6" ht="14.25">
      <c r="A1150" s="368"/>
      <c r="B1150" s="377"/>
      <c r="C1150" s="368"/>
      <c r="D1150" s="369"/>
      <c r="E1150" s="482"/>
      <c r="F1150" s="482"/>
    </row>
    <row r="1151" spans="1:6" ht="14.25">
      <c r="A1151" s="368"/>
      <c r="B1151" s="377"/>
      <c r="C1151" s="368"/>
      <c r="D1151" s="369"/>
      <c r="E1151" s="482"/>
      <c r="F1151" s="482"/>
    </row>
    <row r="1152" spans="1:6" ht="14.25">
      <c r="A1152" s="368"/>
      <c r="B1152" s="377"/>
      <c r="C1152" s="368"/>
      <c r="D1152" s="369"/>
      <c r="E1152" s="482"/>
      <c r="F1152" s="482"/>
    </row>
    <row r="1153" spans="1:6" ht="13.5">
      <c r="A1153" s="367"/>
      <c r="B1153" s="367"/>
      <c r="C1153" s="367"/>
      <c r="D1153" s="370"/>
      <c r="E1153" s="481"/>
      <c r="F1153" s="481"/>
    </row>
    <row r="1154" spans="1:6" ht="14.25">
      <c r="A1154" s="368"/>
      <c r="B1154" s="377"/>
      <c r="C1154" s="368"/>
      <c r="D1154" s="369"/>
      <c r="E1154" s="482"/>
      <c r="F1154" s="482"/>
    </row>
    <row r="1155" spans="1:6" ht="14.25">
      <c r="A1155" s="368"/>
      <c r="B1155" s="377"/>
      <c r="C1155" s="368"/>
      <c r="D1155" s="369"/>
      <c r="E1155" s="482"/>
      <c r="F1155" s="482"/>
    </row>
    <row r="1156" spans="1:6" ht="14.25">
      <c r="A1156" s="368"/>
      <c r="B1156" s="377"/>
      <c r="C1156" s="368"/>
      <c r="D1156" s="369"/>
      <c r="E1156" s="482"/>
      <c r="F1156" s="482"/>
    </row>
    <row r="1157" spans="1:6" ht="14.25">
      <c r="A1157" s="368"/>
      <c r="B1157" s="377"/>
      <c r="C1157" s="368"/>
      <c r="D1157" s="369"/>
      <c r="E1157" s="482"/>
      <c r="F1157" s="482"/>
    </row>
    <row r="1158" spans="1:6" ht="13.5">
      <c r="A1158" s="367"/>
      <c r="B1158" s="367"/>
      <c r="C1158" s="367"/>
      <c r="D1158" s="370"/>
      <c r="E1158" s="481"/>
      <c r="F1158" s="481"/>
    </row>
    <row r="1159" spans="1:6" ht="14.25">
      <c r="A1159" s="368"/>
      <c r="B1159" s="377"/>
      <c r="C1159" s="368"/>
      <c r="D1159" s="369"/>
      <c r="E1159" s="482"/>
      <c r="F1159" s="482"/>
    </row>
    <row r="1160" spans="1:6" ht="14.25">
      <c r="A1160" s="368"/>
      <c r="B1160" s="377"/>
      <c r="C1160" s="368"/>
      <c r="D1160" s="369"/>
      <c r="E1160" s="482"/>
      <c r="F1160" s="482"/>
    </row>
    <row r="1161" spans="1:6" ht="14.25">
      <c r="A1161" s="368"/>
      <c r="B1161" s="377"/>
      <c r="C1161" s="368"/>
      <c r="D1161" s="369"/>
      <c r="E1161" s="482"/>
      <c r="F1161" s="482"/>
    </row>
    <row r="1162" spans="1:6" ht="14.25">
      <c r="A1162" s="368"/>
      <c r="B1162" s="377"/>
      <c r="C1162" s="368"/>
      <c r="D1162" s="369"/>
      <c r="E1162" s="482"/>
      <c r="F1162" s="482"/>
    </row>
    <row r="1163" spans="1:6" ht="13.5">
      <c r="A1163" s="367"/>
      <c r="B1163" s="367"/>
      <c r="C1163" s="367"/>
      <c r="D1163" s="370"/>
      <c r="E1163" s="481"/>
      <c r="F1163" s="481"/>
    </row>
    <row r="1164" spans="1:6" ht="14.25">
      <c r="A1164" s="368"/>
      <c r="B1164" s="377"/>
      <c r="C1164" s="368"/>
      <c r="D1164" s="369"/>
      <c r="E1164" s="482"/>
      <c r="F1164" s="482"/>
    </row>
    <row r="1165" spans="1:6" ht="14.25">
      <c r="A1165" s="368"/>
      <c r="B1165" s="377"/>
      <c r="C1165" s="368"/>
      <c r="D1165" s="369"/>
      <c r="E1165" s="482"/>
      <c r="F1165" s="482"/>
    </row>
    <row r="1166" spans="1:6" ht="14.25">
      <c r="A1166" s="368"/>
      <c r="B1166" s="377"/>
      <c r="C1166" s="368"/>
      <c r="D1166" s="369"/>
      <c r="E1166" s="482"/>
      <c r="F1166" s="482"/>
    </row>
    <row r="1167" spans="1:6" ht="14.25">
      <c r="A1167" s="368"/>
      <c r="B1167" s="377"/>
      <c r="C1167" s="368"/>
      <c r="D1167" s="369"/>
      <c r="E1167" s="482"/>
      <c r="F1167" s="482"/>
    </row>
    <row r="1168" spans="1:6" ht="13.5">
      <c r="A1168" s="367"/>
      <c r="B1168" s="367"/>
      <c r="C1168" s="367"/>
      <c r="D1168" s="370"/>
      <c r="E1168" s="481"/>
      <c r="F1168" s="481"/>
    </row>
    <row r="1169" spans="1:6" ht="14.25">
      <c r="A1169" s="368"/>
      <c r="B1169" s="377"/>
      <c r="C1169" s="368"/>
      <c r="D1169" s="369"/>
      <c r="E1169" s="482"/>
      <c r="F1169" s="482"/>
    </row>
    <row r="1170" spans="1:6" ht="14.25">
      <c r="A1170" s="368"/>
      <c r="B1170" s="377"/>
      <c r="C1170" s="368"/>
      <c r="D1170" s="369"/>
      <c r="E1170" s="482"/>
      <c r="F1170" s="482"/>
    </row>
    <row r="1171" spans="1:6" ht="14.25">
      <c r="A1171" s="368"/>
      <c r="B1171" s="377"/>
      <c r="C1171" s="368"/>
      <c r="D1171" s="369"/>
      <c r="E1171" s="482"/>
      <c r="F1171" s="482"/>
    </row>
    <row r="1172" spans="1:6" ht="14.25">
      <c r="A1172" s="368"/>
      <c r="B1172" s="377"/>
      <c r="C1172" s="368"/>
      <c r="D1172" s="369"/>
      <c r="E1172" s="482"/>
      <c r="F1172" s="482"/>
    </row>
    <row r="1173" spans="1:6" ht="13.5">
      <c r="A1173" s="367"/>
      <c r="B1173" s="367"/>
      <c r="C1173" s="367"/>
      <c r="D1173" s="370"/>
      <c r="E1173" s="481"/>
      <c r="F1173" s="481"/>
    </row>
    <row r="1174" spans="1:6" ht="14.25">
      <c r="A1174" s="368"/>
      <c r="B1174" s="377"/>
      <c r="C1174" s="368"/>
      <c r="D1174" s="369"/>
      <c r="E1174" s="482"/>
      <c r="F1174" s="482"/>
    </row>
    <row r="1175" spans="1:6" ht="14.25">
      <c r="A1175" s="368"/>
      <c r="B1175" s="377"/>
      <c r="C1175" s="368"/>
      <c r="D1175" s="369"/>
      <c r="E1175" s="482"/>
      <c r="F1175" s="482"/>
    </row>
    <row r="1176" spans="1:6" ht="14.25">
      <c r="A1176" s="368"/>
      <c r="B1176" s="377"/>
      <c r="C1176" s="368"/>
      <c r="D1176" s="369"/>
      <c r="E1176" s="482"/>
      <c r="F1176" s="482"/>
    </row>
    <row r="1177" spans="1:6" ht="14.25">
      <c r="A1177" s="368"/>
      <c r="B1177" s="377"/>
      <c r="C1177" s="368"/>
      <c r="D1177" s="369"/>
      <c r="E1177" s="482"/>
      <c r="F1177" s="482"/>
    </row>
    <row r="1178" spans="1:6" ht="13.5">
      <c r="A1178" s="367"/>
      <c r="B1178" s="367"/>
      <c r="C1178" s="367"/>
      <c r="D1178" s="370"/>
      <c r="E1178" s="481"/>
      <c r="F1178" s="481"/>
    </row>
    <row r="1179" spans="1:6" ht="14.25">
      <c r="A1179" s="368"/>
      <c r="B1179" s="377"/>
      <c r="C1179" s="368"/>
      <c r="D1179" s="369"/>
      <c r="E1179" s="482"/>
      <c r="F1179" s="482"/>
    </row>
    <row r="1180" spans="1:6" ht="14.25">
      <c r="A1180" s="368"/>
      <c r="B1180" s="377"/>
      <c r="C1180" s="368"/>
      <c r="D1180" s="369"/>
      <c r="E1180" s="482"/>
      <c r="F1180" s="482"/>
    </row>
    <row r="1181" spans="1:6" ht="14.25">
      <c r="A1181" s="368"/>
      <c r="B1181" s="377"/>
      <c r="C1181" s="368"/>
      <c r="D1181" s="369"/>
      <c r="E1181" s="482"/>
      <c r="F1181" s="482"/>
    </row>
    <row r="1182" spans="1:6" ht="14.25">
      <c r="A1182" s="368"/>
      <c r="B1182" s="377"/>
      <c r="C1182" s="368"/>
      <c r="D1182" s="369"/>
      <c r="E1182" s="482"/>
      <c r="F1182" s="482"/>
    </row>
    <row r="1183" spans="1:6" ht="13.5">
      <c r="A1183" s="367"/>
      <c r="B1183" s="367"/>
      <c r="C1183" s="367"/>
      <c r="D1183" s="370"/>
      <c r="E1183" s="481"/>
      <c r="F1183" s="481"/>
    </row>
    <row r="1184" spans="1:6" ht="14.25">
      <c r="A1184" s="368"/>
      <c r="B1184" s="377"/>
      <c r="C1184" s="368"/>
      <c r="D1184" s="369"/>
      <c r="E1184" s="482"/>
      <c r="F1184" s="482"/>
    </row>
    <row r="1185" spans="1:6" ht="14.25">
      <c r="A1185" s="368"/>
      <c r="B1185" s="377"/>
      <c r="C1185" s="368"/>
      <c r="D1185" s="369"/>
      <c r="E1185" s="482"/>
      <c r="F1185" s="482"/>
    </row>
    <row r="1186" spans="1:6" ht="14.25">
      <c r="A1186" s="368"/>
      <c r="B1186" s="377"/>
      <c r="C1186" s="368"/>
      <c r="D1186" s="369"/>
      <c r="E1186" s="482"/>
      <c r="F1186" s="482"/>
    </row>
    <row r="1187" spans="1:6" ht="14.25">
      <c r="A1187" s="368"/>
      <c r="B1187" s="377"/>
      <c r="C1187" s="368"/>
      <c r="D1187" s="369"/>
      <c r="E1187" s="482"/>
      <c r="F1187" s="482"/>
    </row>
    <row r="1188" spans="1:6" ht="13.5">
      <c r="A1188" s="367"/>
      <c r="B1188" s="367"/>
      <c r="C1188" s="367"/>
      <c r="D1188" s="370"/>
      <c r="E1188" s="481"/>
      <c r="F1188" s="481"/>
    </row>
    <row r="1189" spans="1:6" ht="14.25">
      <c r="A1189" s="368"/>
      <c r="B1189" s="377"/>
      <c r="C1189" s="368"/>
      <c r="D1189" s="369"/>
      <c r="E1189" s="482"/>
      <c r="F1189" s="482"/>
    </row>
    <row r="1190" spans="1:6" ht="14.25">
      <c r="A1190" s="368"/>
      <c r="B1190" s="377"/>
      <c r="C1190" s="368"/>
      <c r="D1190" s="369"/>
      <c r="E1190" s="482"/>
      <c r="F1190" s="482"/>
    </row>
    <row r="1191" spans="1:6" ht="14.25">
      <c r="A1191" s="368"/>
      <c r="B1191" s="377"/>
      <c r="C1191" s="368"/>
      <c r="D1191" s="369"/>
      <c r="E1191" s="482"/>
      <c r="F1191" s="482"/>
    </row>
    <row r="1192" spans="1:6" ht="14.25">
      <c r="A1192" s="368"/>
      <c r="B1192" s="377"/>
      <c r="C1192" s="368"/>
      <c r="D1192" s="369"/>
      <c r="E1192" s="482"/>
      <c r="F1192" s="482"/>
    </row>
    <row r="1193" spans="1:6" ht="13.5">
      <c r="A1193" s="367"/>
      <c r="B1193" s="367"/>
      <c r="C1193" s="367"/>
      <c r="D1193" s="370"/>
      <c r="E1193" s="481"/>
      <c r="F1193" s="481"/>
    </row>
    <row r="1194" spans="1:6" ht="14.25">
      <c r="A1194" s="368"/>
      <c r="B1194" s="377"/>
      <c r="C1194" s="368"/>
      <c r="D1194" s="369"/>
      <c r="E1194" s="482"/>
      <c r="F1194" s="482"/>
    </row>
    <row r="1195" spans="1:6" ht="14.25">
      <c r="A1195" s="368"/>
      <c r="B1195" s="377"/>
      <c r="C1195" s="368"/>
      <c r="D1195" s="369"/>
      <c r="E1195" s="482"/>
      <c r="F1195" s="482"/>
    </row>
    <row r="1196" spans="1:6" ht="14.25">
      <c r="A1196" s="368"/>
      <c r="B1196" s="377"/>
      <c r="C1196" s="368"/>
      <c r="D1196" s="369"/>
      <c r="E1196" s="482"/>
      <c r="F1196" s="482"/>
    </row>
    <row r="1197" spans="1:6" ht="14.25">
      <c r="A1197" s="368"/>
      <c r="B1197" s="377"/>
      <c r="C1197" s="368"/>
      <c r="D1197" s="369"/>
      <c r="E1197" s="482"/>
      <c r="F1197" s="482"/>
    </row>
    <row r="1198" spans="1:6" ht="13.5">
      <c r="A1198" s="367"/>
      <c r="B1198" s="367"/>
      <c r="C1198" s="367"/>
      <c r="D1198" s="370"/>
      <c r="E1198" s="481"/>
      <c r="F1198" s="481"/>
    </row>
    <row r="1199" spans="1:6" ht="14.25">
      <c r="A1199" s="368"/>
      <c r="B1199" s="377"/>
      <c r="C1199" s="368"/>
      <c r="D1199" s="369"/>
      <c r="E1199" s="482"/>
      <c r="F1199" s="482"/>
    </row>
    <row r="1200" spans="1:6" ht="14.25">
      <c r="A1200" s="368"/>
      <c r="B1200" s="377"/>
      <c r="C1200" s="368"/>
      <c r="D1200" s="369"/>
      <c r="E1200" s="482"/>
      <c r="F1200" s="482"/>
    </row>
    <row r="1201" spans="1:6" ht="14.25">
      <c r="A1201" s="368"/>
      <c r="B1201" s="377"/>
      <c r="C1201" s="368"/>
      <c r="D1201" s="369"/>
      <c r="E1201" s="482"/>
      <c r="F1201" s="482"/>
    </row>
    <row r="1202" spans="1:6" ht="14.25">
      <c r="A1202" s="368"/>
      <c r="B1202" s="377"/>
      <c r="C1202" s="368"/>
      <c r="D1202" s="369"/>
      <c r="E1202" s="482"/>
      <c r="F1202" s="482"/>
    </row>
    <row r="1203" spans="1:6" ht="13.5">
      <c r="A1203" s="367"/>
      <c r="B1203" s="367"/>
      <c r="C1203" s="367"/>
      <c r="D1203" s="370"/>
      <c r="E1203" s="481"/>
      <c r="F1203" s="481"/>
    </row>
    <row r="1204" spans="1:6" ht="14.25">
      <c r="A1204" s="368"/>
      <c r="B1204" s="377"/>
      <c r="C1204" s="368"/>
      <c r="D1204" s="369"/>
      <c r="E1204" s="482"/>
      <c r="F1204" s="482"/>
    </row>
    <row r="1205" spans="1:6" ht="14.25">
      <c r="A1205" s="368"/>
      <c r="B1205" s="377"/>
      <c r="C1205" s="368"/>
      <c r="D1205" s="369"/>
      <c r="E1205" s="482"/>
      <c r="F1205" s="482"/>
    </row>
    <row r="1206" spans="1:6" ht="14.25">
      <c r="A1206" s="368"/>
      <c r="B1206" s="377"/>
      <c r="C1206" s="368"/>
      <c r="D1206" s="369"/>
      <c r="E1206" s="482"/>
      <c r="F1206" s="482"/>
    </row>
    <row r="1207" spans="1:6" ht="14.25">
      <c r="A1207" s="368"/>
      <c r="B1207" s="377"/>
      <c r="C1207" s="368"/>
      <c r="D1207" s="369"/>
      <c r="E1207" s="482"/>
      <c r="F1207" s="482"/>
    </row>
    <row r="1208" spans="1:6" ht="13.5">
      <c r="A1208" s="367"/>
      <c r="B1208" s="367"/>
      <c r="C1208" s="367"/>
      <c r="D1208" s="370"/>
      <c r="E1208" s="481"/>
      <c r="F1208" s="481"/>
    </row>
    <row r="1209" spans="1:6" ht="14.25">
      <c r="A1209" s="368"/>
      <c r="B1209" s="377"/>
      <c r="C1209" s="368"/>
      <c r="D1209" s="369"/>
      <c r="E1209" s="482"/>
      <c r="F1209" s="482"/>
    </row>
    <row r="1210" spans="1:6" ht="14.25">
      <c r="A1210" s="368"/>
      <c r="B1210" s="377"/>
      <c r="C1210" s="368"/>
      <c r="D1210" s="369"/>
      <c r="E1210" s="482"/>
      <c r="F1210" s="482"/>
    </row>
    <row r="1211" spans="1:6" ht="14.25">
      <c r="A1211" s="368"/>
      <c r="B1211" s="377"/>
      <c r="C1211" s="368"/>
      <c r="D1211" s="369"/>
      <c r="E1211" s="482"/>
      <c r="F1211" s="482"/>
    </row>
    <row r="1212" spans="1:6" ht="14.25">
      <c r="A1212" s="368"/>
      <c r="B1212" s="377"/>
      <c r="C1212" s="368"/>
      <c r="D1212" s="369"/>
      <c r="E1212" s="482"/>
      <c r="F1212" s="482"/>
    </row>
    <row r="1213" spans="1:6" ht="13.5">
      <c r="A1213" s="367"/>
      <c r="B1213" s="367"/>
      <c r="C1213" s="367"/>
      <c r="D1213" s="370"/>
      <c r="E1213" s="481"/>
      <c r="F1213" s="481"/>
    </row>
    <row r="1214" spans="1:6" ht="14.25">
      <c r="A1214" s="368"/>
      <c r="B1214" s="377"/>
      <c r="C1214" s="368"/>
      <c r="D1214" s="369"/>
      <c r="E1214" s="482"/>
      <c r="F1214" s="482"/>
    </row>
    <row r="1215" spans="1:6" ht="14.25">
      <c r="A1215" s="368"/>
      <c r="B1215" s="377"/>
      <c r="C1215" s="368"/>
      <c r="D1215" s="369"/>
      <c r="E1215" s="482"/>
      <c r="F1215" s="482"/>
    </row>
    <row r="1216" spans="1:6" ht="14.25">
      <c r="A1216" s="368"/>
      <c r="B1216" s="377"/>
      <c r="C1216" s="368"/>
      <c r="D1216" s="369"/>
      <c r="E1216" s="482"/>
      <c r="F1216" s="482"/>
    </row>
    <row r="1217" spans="1:6" ht="14.25">
      <c r="A1217" s="368"/>
      <c r="B1217" s="377"/>
      <c r="C1217" s="368"/>
      <c r="D1217" s="369"/>
      <c r="E1217" s="482"/>
      <c r="F1217" s="482"/>
    </row>
    <row r="1218" spans="1:6" ht="13.5">
      <c r="A1218" s="367"/>
      <c r="B1218" s="367"/>
      <c r="C1218" s="367"/>
      <c r="D1218" s="370"/>
      <c r="E1218" s="481"/>
      <c r="F1218" s="481"/>
    </row>
    <row r="1219" spans="1:6" ht="14.25">
      <c r="A1219" s="368"/>
      <c r="B1219" s="377"/>
      <c r="C1219" s="368"/>
      <c r="D1219" s="369"/>
      <c r="E1219" s="482"/>
      <c r="F1219" s="482"/>
    </row>
    <row r="1220" spans="1:6" ht="14.25">
      <c r="A1220" s="368"/>
      <c r="B1220" s="377"/>
      <c r="C1220" s="368"/>
      <c r="D1220" s="369"/>
      <c r="E1220" s="482"/>
      <c r="F1220" s="482"/>
    </row>
    <row r="1221" spans="1:6" ht="14.25">
      <c r="A1221" s="368"/>
      <c r="B1221" s="377"/>
      <c r="C1221" s="368"/>
      <c r="D1221" s="369"/>
      <c r="E1221" s="482"/>
      <c r="F1221" s="482"/>
    </row>
    <row r="1222" spans="1:6" ht="14.25">
      <c r="A1222" s="368"/>
      <c r="B1222" s="377"/>
      <c r="C1222" s="368"/>
      <c r="D1222" s="369"/>
      <c r="E1222" s="482"/>
      <c r="F1222" s="482"/>
    </row>
    <row r="1223" spans="1:6" ht="13.5">
      <c r="A1223" s="367"/>
      <c r="B1223" s="367"/>
      <c r="C1223" s="367"/>
      <c r="D1223" s="370"/>
      <c r="E1223" s="481"/>
      <c r="F1223" s="481"/>
    </row>
    <row r="1224" spans="1:6" ht="14.25">
      <c r="A1224" s="368"/>
      <c r="B1224" s="377"/>
      <c r="C1224" s="368"/>
      <c r="D1224" s="369"/>
      <c r="E1224" s="482"/>
      <c r="F1224" s="482"/>
    </row>
    <row r="1225" spans="1:6" ht="14.25">
      <c r="A1225" s="368"/>
      <c r="B1225" s="377"/>
      <c r="C1225" s="368"/>
      <c r="D1225" s="369"/>
      <c r="E1225" s="482"/>
      <c r="F1225" s="482"/>
    </row>
    <row r="1226" spans="1:6" ht="14.25">
      <c r="A1226" s="368"/>
      <c r="B1226" s="377"/>
      <c r="C1226" s="368"/>
      <c r="D1226" s="369"/>
      <c r="E1226" s="482"/>
      <c r="F1226" s="482"/>
    </row>
    <row r="1227" spans="1:6" ht="14.25">
      <c r="A1227" s="368"/>
      <c r="B1227" s="377"/>
      <c r="C1227" s="368"/>
      <c r="D1227" s="369"/>
      <c r="E1227" s="482"/>
      <c r="F1227" s="482"/>
    </row>
    <row r="1228" spans="1:6" ht="13.5">
      <c r="A1228" s="367"/>
      <c r="B1228" s="367"/>
      <c r="C1228" s="367"/>
      <c r="D1228" s="370"/>
      <c r="E1228" s="481"/>
      <c r="F1228" s="481"/>
    </row>
    <row r="1229" spans="1:6" ht="14.25">
      <c r="A1229" s="368"/>
      <c r="B1229" s="377"/>
      <c r="C1229" s="368"/>
      <c r="D1229" s="369"/>
      <c r="E1229" s="482"/>
      <c r="F1229" s="482"/>
    </row>
    <row r="1230" spans="1:6" ht="14.25">
      <c r="A1230" s="368"/>
      <c r="B1230" s="377"/>
      <c r="C1230" s="368"/>
      <c r="D1230" s="369"/>
      <c r="E1230" s="482"/>
      <c r="F1230" s="482"/>
    </row>
    <row r="1231" spans="1:6" ht="14.25">
      <c r="A1231" s="368"/>
      <c r="B1231" s="377"/>
      <c r="C1231" s="368"/>
      <c r="D1231" s="369"/>
      <c r="E1231" s="482"/>
      <c r="F1231" s="482"/>
    </row>
    <row r="1232" spans="1:6" ht="14.25">
      <c r="A1232" s="368"/>
      <c r="B1232" s="377"/>
      <c r="C1232" s="368"/>
      <c r="D1232" s="369"/>
      <c r="E1232" s="482"/>
      <c r="F1232" s="482"/>
    </row>
    <row r="1233" spans="1:6" ht="13.5">
      <c r="A1233" s="367"/>
      <c r="B1233" s="367"/>
      <c r="C1233" s="367"/>
      <c r="D1233" s="370"/>
      <c r="E1233" s="481"/>
      <c r="F1233" s="481"/>
    </row>
    <row r="1234" spans="1:6" ht="14.25">
      <c r="A1234" s="368"/>
      <c r="B1234" s="377"/>
      <c r="C1234" s="368"/>
      <c r="D1234" s="369"/>
      <c r="E1234" s="482"/>
      <c r="F1234" s="482"/>
    </row>
    <row r="1235" spans="1:6" ht="14.25">
      <c r="A1235" s="368"/>
      <c r="B1235" s="377"/>
      <c r="C1235" s="368"/>
      <c r="D1235" s="369"/>
      <c r="E1235" s="482"/>
      <c r="F1235" s="482"/>
    </row>
    <row r="1236" spans="1:6" ht="14.25">
      <c r="A1236" s="368"/>
      <c r="B1236" s="377"/>
      <c r="C1236" s="368"/>
      <c r="D1236" s="369"/>
      <c r="E1236" s="482"/>
      <c r="F1236" s="482"/>
    </row>
    <row r="1237" spans="1:6" ht="14.25">
      <c r="A1237" s="368"/>
      <c r="B1237" s="377"/>
      <c r="C1237" s="368"/>
      <c r="D1237" s="369"/>
      <c r="E1237" s="482"/>
      <c r="F1237" s="482"/>
    </row>
    <row r="1238" spans="1:6" ht="13.5">
      <c r="A1238" s="367"/>
      <c r="B1238" s="367"/>
      <c r="C1238" s="367"/>
      <c r="D1238" s="370"/>
      <c r="E1238" s="481"/>
      <c r="F1238" s="481"/>
    </row>
    <row r="1239" spans="1:6" ht="14.25">
      <c r="A1239" s="368"/>
      <c r="B1239" s="377"/>
      <c r="C1239" s="368"/>
      <c r="D1239" s="369"/>
      <c r="E1239" s="482"/>
      <c r="F1239" s="482"/>
    </row>
    <row r="1240" spans="1:6" ht="14.25">
      <c r="A1240" s="368"/>
      <c r="B1240" s="377"/>
      <c r="C1240" s="368"/>
      <c r="D1240" s="369"/>
      <c r="E1240" s="482"/>
      <c r="F1240" s="482"/>
    </row>
    <row r="1241" spans="1:6" ht="14.25">
      <c r="A1241" s="368"/>
      <c r="B1241" s="377"/>
      <c r="C1241" s="368"/>
      <c r="D1241" s="369"/>
      <c r="E1241" s="482"/>
      <c r="F1241" s="482"/>
    </row>
    <row r="1242" spans="1:6" ht="14.25">
      <c r="A1242" s="368"/>
      <c r="B1242" s="377"/>
      <c r="C1242" s="368"/>
      <c r="D1242" s="369"/>
      <c r="E1242" s="482"/>
      <c r="F1242" s="482"/>
    </row>
    <row r="1243" spans="1:6" ht="13.5">
      <c r="A1243" s="367"/>
      <c r="B1243" s="367"/>
      <c r="C1243" s="367"/>
      <c r="D1243" s="370"/>
      <c r="E1243" s="481"/>
      <c r="F1243" s="481"/>
    </row>
    <row r="1244" spans="1:6" ht="14.25">
      <c r="A1244" s="368"/>
      <c r="B1244" s="377"/>
      <c r="C1244" s="368"/>
      <c r="D1244" s="369"/>
      <c r="E1244" s="482"/>
      <c r="F1244" s="482"/>
    </row>
    <row r="1245" spans="1:6" ht="14.25">
      <c r="A1245" s="368"/>
      <c r="B1245" s="377"/>
      <c r="C1245" s="368"/>
      <c r="D1245" s="369"/>
      <c r="E1245" s="482"/>
      <c r="F1245" s="482"/>
    </row>
    <row r="1246" spans="1:6" ht="14.25">
      <c r="A1246" s="368"/>
      <c r="B1246" s="377"/>
      <c r="C1246" s="368"/>
      <c r="D1246" s="369"/>
      <c r="E1246" s="482"/>
      <c r="F1246" s="482"/>
    </row>
    <row r="1247" spans="1:6" ht="14.25">
      <c r="A1247" s="368"/>
      <c r="B1247" s="377"/>
      <c r="C1247" s="368"/>
      <c r="D1247" s="369"/>
      <c r="E1247" s="482"/>
      <c r="F1247" s="482"/>
    </row>
    <row r="1248" spans="1:6" ht="13.5">
      <c r="A1248" s="367"/>
      <c r="B1248" s="367"/>
      <c r="C1248" s="367"/>
      <c r="D1248" s="370"/>
      <c r="E1248" s="481"/>
      <c r="F1248" s="481"/>
    </row>
    <row r="1249" spans="1:6" ht="14.25">
      <c r="A1249" s="368"/>
      <c r="B1249" s="377"/>
      <c r="C1249" s="368"/>
      <c r="D1249" s="369"/>
      <c r="E1249" s="482"/>
      <c r="F1249" s="482"/>
    </row>
    <row r="1250" spans="1:6" ht="14.25">
      <c r="A1250" s="368"/>
      <c r="B1250" s="377"/>
      <c r="C1250" s="368"/>
      <c r="D1250" s="369"/>
      <c r="E1250" s="482"/>
      <c r="F1250" s="482"/>
    </row>
    <row r="1251" spans="1:6" ht="14.25">
      <c r="A1251" s="368"/>
      <c r="B1251" s="377"/>
      <c r="C1251" s="368"/>
      <c r="D1251" s="369"/>
      <c r="E1251" s="482"/>
      <c r="F1251" s="482"/>
    </row>
    <row r="1252" spans="1:6" ht="14.25">
      <c r="A1252" s="368"/>
      <c r="B1252" s="377"/>
      <c r="C1252" s="368"/>
      <c r="D1252" s="369"/>
      <c r="E1252" s="482"/>
      <c r="F1252" s="482"/>
    </row>
    <row r="1253" spans="1:6" ht="13.5">
      <c r="A1253" s="367"/>
      <c r="B1253" s="367"/>
      <c r="C1253" s="367"/>
      <c r="D1253" s="370"/>
      <c r="E1253" s="481"/>
      <c r="F1253" s="481"/>
    </row>
    <row r="1254" spans="1:6" ht="14.25">
      <c r="A1254" s="368"/>
      <c r="B1254" s="377"/>
      <c r="C1254" s="368"/>
      <c r="D1254" s="369"/>
      <c r="E1254" s="482"/>
      <c r="F1254" s="482"/>
    </row>
    <row r="1255" spans="1:6" ht="14.25">
      <c r="A1255" s="368"/>
      <c r="B1255" s="377"/>
      <c r="C1255" s="368"/>
      <c r="D1255" s="369"/>
      <c r="E1255" s="482"/>
      <c r="F1255" s="482"/>
    </row>
    <row r="1256" spans="1:6" ht="14.25">
      <c r="A1256" s="368"/>
      <c r="B1256" s="377"/>
      <c r="C1256" s="368"/>
      <c r="D1256" s="369"/>
      <c r="E1256" s="482"/>
      <c r="F1256" s="482"/>
    </row>
    <row r="1257" spans="1:6" ht="14.25">
      <c r="A1257" s="368"/>
      <c r="B1257" s="377"/>
      <c r="C1257" s="368"/>
      <c r="D1257" s="369"/>
      <c r="E1257" s="482"/>
      <c r="F1257" s="482"/>
    </row>
    <row r="1258" spans="1:6" ht="13.5">
      <c r="A1258" s="367"/>
      <c r="B1258" s="367"/>
      <c r="C1258" s="367"/>
      <c r="D1258" s="370"/>
      <c r="E1258" s="481"/>
      <c r="F1258" s="481"/>
    </row>
    <row r="1259" spans="1:6" ht="14.25">
      <c r="A1259" s="368"/>
      <c r="B1259" s="377"/>
      <c r="C1259" s="368"/>
      <c r="D1259" s="369"/>
      <c r="E1259" s="482"/>
      <c r="F1259" s="482"/>
    </row>
    <row r="1260" spans="1:6" ht="14.25">
      <c r="A1260" s="368"/>
      <c r="B1260" s="377"/>
      <c r="C1260" s="368"/>
      <c r="D1260" s="369"/>
      <c r="E1260" s="482"/>
      <c r="F1260" s="482"/>
    </row>
    <row r="1261" spans="1:6" ht="14.25">
      <c r="A1261" s="368"/>
      <c r="B1261" s="377"/>
      <c r="C1261" s="368"/>
      <c r="D1261" s="369"/>
      <c r="E1261" s="482"/>
      <c r="F1261" s="482"/>
    </row>
    <row r="1262" spans="1:6" ht="14.25">
      <c r="A1262" s="368"/>
      <c r="B1262" s="377"/>
      <c r="C1262" s="368"/>
      <c r="D1262" s="369"/>
      <c r="E1262" s="482"/>
      <c r="F1262" s="482"/>
    </row>
    <row r="1263" spans="1:6" ht="13.5">
      <c r="A1263" s="367"/>
      <c r="B1263" s="367"/>
      <c r="C1263" s="367"/>
      <c r="D1263" s="370"/>
      <c r="E1263" s="481"/>
      <c r="F1263" s="481"/>
    </row>
    <row r="1264" spans="1:6" ht="14.25">
      <c r="A1264" s="368"/>
      <c r="B1264" s="377"/>
      <c r="C1264" s="368"/>
      <c r="D1264" s="369"/>
      <c r="E1264" s="482"/>
      <c r="F1264" s="482"/>
    </row>
    <row r="1265" spans="1:6" ht="14.25">
      <c r="A1265" s="368"/>
      <c r="B1265" s="377"/>
      <c r="C1265" s="368"/>
      <c r="D1265" s="369"/>
      <c r="E1265" s="482"/>
      <c r="F1265" s="482"/>
    </row>
    <row r="1266" spans="1:6" ht="14.25">
      <c r="A1266" s="368"/>
      <c r="B1266" s="377"/>
      <c r="C1266" s="368"/>
      <c r="D1266" s="369"/>
      <c r="E1266" s="482"/>
      <c r="F1266" s="482"/>
    </row>
    <row r="1267" spans="1:6" ht="14.25">
      <c r="A1267" s="368"/>
      <c r="B1267" s="377"/>
      <c r="C1267" s="368"/>
      <c r="D1267" s="369"/>
      <c r="E1267" s="482"/>
      <c r="F1267" s="482"/>
    </row>
    <row r="1268" spans="1:6" ht="13.5">
      <c r="A1268" s="367"/>
      <c r="B1268" s="367"/>
      <c r="C1268" s="367"/>
      <c r="D1268" s="370"/>
      <c r="E1268" s="481"/>
      <c r="F1268" s="481"/>
    </row>
    <row r="1269" spans="1:6" ht="14.25">
      <c r="A1269" s="368"/>
      <c r="B1269" s="377"/>
      <c r="C1269" s="368"/>
      <c r="D1269" s="369"/>
      <c r="E1269" s="482"/>
      <c r="F1269" s="482"/>
    </row>
    <row r="1270" spans="1:6" ht="14.25">
      <c r="A1270" s="368"/>
      <c r="B1270" s="377"/>
      <c r="C1270" s="368"/>
      <c r="D1270" s="369"/>
      <c r="E1270" s="482"/>
      <c r="F1270" s="482"/>
    </row>
    <row r="1271" spans="1:6" ht="14.25">
      <c r="A1271" s="368"/>
      <c r="B1271" s="377"/>
      <c r="C1271" s="368"/>
      <c r="D1271" s="369"/>
      <c r="E1271" s="482"/>
      <c r="F1271" s="482"/>
    </row>
    <row r="1272" spans="1:6" ht="14.25">
      <c r="A1272" s="368"/>
      <c r="B1272" s="377"/>
      <c r="C1272" s="368"/>
      <c r="D1272" s="369"/>
      <c r="E1272" s="482"/>
      <c r="F1272" s="482"/>
    </row>
    <row r="1273" spans="1:6" ht="13.5">
      <c r="A1273" s="367"/>
      <c r="B1273" s="367"/>
      <c r="C1273" s="367"/>
      <c r="D1273" s="370"/>
      <c r="E1273" s="481"/>
      <c r="F1273" s="481"/>
    </row>
    <row r="1274" spans="1:6" ht="14.25">
      <c r="A1274" s="368"/>
      <c r="B1274" s="377"/>
      <c r="C1274" s="368"/>
      <c r="D1274" s="369"/>
      <c r="E1274" s="482"/>
      <c r="F1274" s="482"/>
    </row>
    <row r="1275" spans="1:6" ht="14.25">
      <c r="A1275" s="368"/>
      <c r="B1275" s="377"/>
      <c r="C1275" s="368"/>
      <c r="D1275" s="369"/>
      <c r="E1275" s="482"/>
      <c r="F1275" s="482"/>
    </row>
    <row r="1276" spans="1:6" ht="14.25">
      <c r="A1276" s="368"/>
      <c r="B1276" s="377"/>
      <c r="C1276" s="368"/>
      <c r="D1276" s="369"/>
      <c r="E1276" s="482"/>
      <c r="F1276" s="482"/>
    </row>
    <row r="1277" spans="1:6" ht="14.25">
      <c r="A1277" s="368"/>
      <c r="B1277" s="377"/>
      <c r="C1277" s="368"/>
      <c r="D1277" s="369"/>
      <c r="E1277" s="482"/>
      <c r="F1277" s="482"/>
    </row>
    <row r="1278" spans="1:6" ht="13.5">
      <c r="A1278" s="367"/>
      <c r="B1278" s="367"/>
      <c r="C1278" s="367"/>
      <c r="D1278" s="370"/>
      <c r="E1278" s="481"/>
      <c r="F1278" s="481"/>
    </row>
    <row r="1279" spans="1:6" ht="14.25">
      <c r="A1279" s="368"/>
      <c r="B1279" s="377"/>
      <c r="C1279" s="368"/>
      <c r="D1279" s="369"/>
      <c r="E1279" s="482"/>
      <c r="F1279" s="482"/>
    </row>
    <row r="1280" spans="1:6" ht="14.25">
      <c r="A1280" s="368"/>
      <c r="B1280" s="377"/>
      <c r="C1280" s="368"/>
      <c r="D1280" s="369"/>
      <c r="E1280" s="482"/>
      <c r="F1280" s="482"/>
    </row>
    <row r="1281" spans="1:6" ht="14.25">
      <c r="A1281" s="368"/>
      <c r="B1281" s="377"/>
      <c r="C1281" s="368"/>
      <c r="D1281" s="369"/>
      <c r="E1281" s="482"/>
      <c r="F1281" s="482"/>
    </row>
    <row r="1282" spans="1:6" ht="14.25">
      <c r="A1282" s="368"/>
      <c r="B1282" s="377"/>
      <c r="C1282" s="368"/>
      <c r="D1282" s="369"/>
      <c r="E1282" s="482"/>
      <c r="F1282" s="482"/>
    </row>
    <row r="1283" spans="1:6" ht="13.5">
      <c r="A1283" s="367"/>
      <c r="B1283" s="367"/>
      <c r="C1283" s="367"/>
      <c r="D1283" s="370"/>
      <c r="E1283" s="481"/>
      <c r="F1283" s="481"/>
    </row>
    <row r="1284" spans="1:6" ht="14.25">
      <c r="A1284" s="368"/>
      <c r="B1284" s="377"/>
      <c r="C1284" s="368"/>
      <c r="D1284" s="369"/>
      <c r="E1284" s="482"/>
      <c r="F1284" s="482"/>
    </row>
    <row r="1285" spans="1:6" ht="14.25">
      <c r="A1285" s="368"/>
      <c r="B1285" s="377"/>
      <c r="C1285" s="368"/>
      <c r="D1285" s="369"/>
      <c r="E1285" s="482"/>
      <c r="F1285" s="482"/>
    </row>
    <row r="1286" spans="1:6" ht="14.25">
      <c r="A1286" s="368"/>
      <c r="B1286" s="377"/>
      <c r="C1286" s="368"/>
      <c r="D1286" s="369"/>
      <c r="E1286" s="482"/>
      <c r="F1286" s="482"/>
    </row>
    <row r="1287" spans="1:6" ht="14.25">
      <c r="A1287" s="368"/>
      <c r="B1287" s="377"/>
      <c r="C1287" s="368"/>
      <c r="D1287" s="369"/>
      <c r="E1287" s="482"/>
      <c r="F1287" s="482"/>
    </row>
    <row r="1288" spans="1:6" ht="13.5">
      <c r="A1288" s="367"/>
      <c r="B1288" s="367"/>
      <c r="C1288" s="367"/>
      <c r="D1288" s="370"/>
      <c r="E1288" s="481"/>
      <c r="F1288" s="481"/>
    </row>
    <row r="1289" spans="1:6" ht="14.25">
      <c r="A1289" s="368"/>
      <c r="B1289" s="377"/>
      <c r="C1289" s="368"/>
      <c r="D1289" s="369"/>
      <c r="E1289" s="482"/>
      <c r="F1289" s="482"/>
    </row>
    <row r="1290" spans="1:6" ht="14.25">
      <c r="A1290" s="368"/>
      <c r="B1290" s="377"/>
      <c r="C1290" s="368"/>
      <c r="D1290" s="369"/>
      <c r="E1290" s="482"/>
      <c r="F1290" s="482"/>
    </row>
    <row r="1291" spans="1:6" ht="14.25">
      <c r="A1291" s="368"/>
      <c r="B1291" s="377"/>
      <c r="C1291" s="368"/>
      <c r="D1291" s="369"/>
      <c r="E1291" s="482"/>
      <c r="F1291" s="482"/>
    </row>
    <row r="1292" spans="1:6" ht="14.25">
      <c r="A1292" s="368"/>
      <c r="B1292" s="377"/>
      <c r="C1292" s="368"/>
      <c r="D1292" s="369"/>
      <c r="E1292" s="482"/>
      <c r="F1292" s="482"/>
    </row>
    <row r="1293" spans="1:6" ht="13.5">
      <c r="A1293" s="367"/>
      <c r="B1293" s="367"/>
      <c r="C1293" s="367"/>
      <c r="D1293" s="370"/>
      <c r="E1293" s="481"/>
      <c r="F1293" s="481"/>
    </row>
    <row r="1294" spans="1:6" ht="14.25">
      <c r="A1294" s="368"/>
      <c r="B1294" s="377"/>
      <c r="C1294" s="368"/>
      <c r="D1294" s="369"/>
      <c r="E1294" s="482"/>
      <c r="F1294" s="482"/>
    </row>
    <row r="1295" spans="1:6" ht="14.25">
      <c r="A1295" s="368"/>
      <c r="B1295" s="377"/>
      <c r="C1295" s="368"/>
      <c r="D1295" s="369"/>
      <c r="E1295" s="482"/>
      <c r="F1295" s="482"/>
    </row>
    <row r="1296" spans="1:6" ht="14.25">
      <c r="A1296" s="368"/>
      <c r="B1296" s="377"/>
      <c r="C1296" s="368"/>
      <c r="D1296" s="369"/>
      <c r="E1296" s="482"/>
      <c r="F1296" s="482"/>
    </row>
    <row r="1297" spans="1:6" ht="14.25">
      <c r="A1297" s="368"/>
      <c r="B1297" s="377"/>
      <c r="C1297" s="368"/>
      <c r="D1297" s="369"/>
      <c r="E1297" s="482"/>
      <c r="F1297" s="482"/>
    </row>
    <row r="1298" spans="1:6" ht="13.5">
      <c r="A1298" s="367"/>
      <c r="B1298" s="367"/>
      <c r="C1298" s="367"/>
      <c r="D1298" s="370"/>
      <c r="E1298" s="481"/>
      <c r="F1298" s="481"/>
    </row>
    <row r="1299" spans="1:6" ht="14.25">
      <c r="A1299" s="368"/>
      <c r="B1299" s="377"/>
      <c r="C1299" s="368"/>
      <c r="D1299" s="369"/>
      <c r="E1299" s="482"/>
      <c r="F1299" s="482"/>
    </row>
    <row r="1300" spans="1:6" ht="14.25">
      <c r="A1300" s="368"/>
      <c r="B1300" s="377"/>
      <c r="C1300" s="368"/>
      <c r="D1300" s="369"/>
      <c r="E1300" s="482"/>
      <c r="F1300" s="482"/>
    </row>
    <row r="1301" spans="1:6" ht="14.25">
      <c r="A1301" s="368"/>
      <c r="B1301" s="377"/>
      <c r="C1301" s="368"/>
      <c r="D1301" s="369"/>
      <c r="E1301" s="482"/>
      <c r="F1301" s="482"/>
    </row>
    <row r="1302" spans="1:6" ht="14.25">
      <c r="A1302" s="368"/>
      <c r="B1302" s="377"/>
      <c r="C1302" s="368"/>
      <c r="D1302" s="369"/>
      <c r="E1302" s="482"/>
      <c r="F1302" s="482"/>
    </row>
  </sheetData>
  <phoneticPr fontId="0" type="noConversion"/>
  <hyperlinks>
    <hyperlink ref="C3" r:id="rId1" display="http://czechpetanque.cz/klub.html?id=54"/>
    <hyperlink ref="B8" r:id="rId2" display="http://czechpetanque.cz/odhlasit.html?pr=42826"/>
    <hyperlink ref="B13" r:id="rId3" display="http://czechpetanque.cz/odhlasit.html?pr=43650"/>
    <hyperlink ref="B18" r:id="rId4" display="http://czechpetanque.cz/odhlasit.html?pr=42828"/>
    <hyperlink ref="B23" r:id="rId5" display="http://czechpetanque.cz/odhlasit.html?pr=44185"/>
    <hyperlink ref="B28" r:id="rId6" display="http://czechpetanque.cz/odhlasit.html?pr=43237"/>
    <hyperlink ref="B33" r:id="rId7" display="http://czechpetanque.cz/odhlasit.html?pr=43651"/>
    <hyperlink ref="B38" r:id="rId8" display="http://czechpetanque.cz/odhlasit.html?pr=43249"/>
    <hyperlink ref="B43" r:id="rId9" display="http://czechpetanque.cz/odhlasit.html?pr=43414"/>
    <hyperlink ref="B48" r:id="rId10" display="http://czechpetanque.cz/odhlasit.html?pr=42956"/>
    <hyperlink ref="B53" r:id="rId11" display="http://czechpetanque.cz/odhlasit.html?pr=42500"/>
    <hyperlink ref="B58" r:id="rId12" display="http://czechpetanque.cz/odhlasit.html?pr=43378"/>
    <hyperlink ref="B63" r:id="rId13" display="http://czechpetanque.cz/odhlasit.html?pr=43346"/>
    <hyperlink ref="B68" r:id="rId14" display="http://czechpetanque.cz/odhlasit.html?pr=43719"/>
    <hyperlink ref="B73" r:id="rId15" display="http://czechpetanque.cz/odhlasit.html?pr=43778"/>
    <hyperlink ref="B78" r:id="rId16" display="http://czechpetanque.cz/odhlasit.html?pr=43250"/>
    <hyperlink ref="B83" r:id="rId17" display="http://czechpetanque.cz/odhlasit.html?pr=42686"/>
    <hyperlink ref="B88" r:id="rId18" display="http://czechpetanque.cz/odhlasit.html?pr=43365"/>
    <hyperlink ref="B93" r:id="rId19" display="http://czechpetanque.cz/odhlasit.html?pr=43584"/>
    <hyperlink ref="B98" r:id="rId20" display="http://czechpetanque.cz/odhlasit.html?pr=42671"/>
    <hyperlink ref="B103" r:id="rId21" display="http://czechpetanque.cz/odhlasit.html?pr=42646"/>
    <hyperlink ref="B108" r:id="rId22" display="http://czechpetanque.cz/odhlasit.html?pr=43692"/>
    <hyperlink ref="B113" r:id="rId23" display="http://czechpetanque.cz/odhlasit.html?pr=42894"/>
    <hyperlink ref="B118" r:id="rId24" display="http://czechpetanque.cz/odhlasit.html?pr=44148"/>
    <hyperlink ref="B123" r:id="rId25" display="http://czechpetanque.cz/odhlasit.html?pr=42505"/>
    <hyperlink ref="B128" r:id="rId26" display="http://czechpetanque.cz/odhlasit.html?pr=43010"/>
    <hyperlink ref="B133" r:id="rId27" display="http://czechpetanque.cz/odhlasit.html?pr=42536"/>
    <hyperlink ref="B138" r:id="rId28" display="http://czechpetanque.cz/odhlasit.html?pr=43424"/>
    <hyperlink ref="B143" r:id="rId29" display="http://czechpetanque.cz/odhlasit.html?pr=42621"/>
    <hyperlink ref="B148" r:id="rId30" display="http://czechpetanque.cz/odhlasit.html?pr=43652"/>
    <hyperlink ref="B153" r:id="rId31" display="http://czechpetanque.cz/odhlasit.html?pr=43836"/>
    <hyperlink ref="B158" r:id="rId32" display="http://czechpetanque.cz/odhlasit.html?pr=43691"/>
    <hyperlink ref="B163" r:id="rId33" display="http://czechpetanque.cz/odhlasit.html?pr=43011"/>
    <hyperlink ref="B168" r:id="rId34" display="http://czechpetanque.cz/odhlasit.html?pr=42958"/>
    <hyperlink ref="B173" r:id="rId35" display="http://czechpetanque.cz/odhlasit.html?pr=42527"/>
    <hyperlink ref="B178" r:id="rId36" display="http://czechpetanque.cz/odhlasit.html?pr=43366"/>
    <hyperlink ref="B183" r:id="rId37" display="http://czechpetanque.cz/odhlasit.html?pr=44130"/>
    <hyperlink ref="B188" r:id="rId38" display="http://czechpetanque.cz/odhlasit.html?pr=43355"/>
    <hyperlink ref="B193" r:id="rId39" display="http://czechpetanque.cz/odhlasit.html?pr=42525"/>
    <hyperlink ref="B198" r:id="rId40" display="http://czechpetanque.cz/odhlasit.html?pr=43320"/>
    <hyperlink ref="B203" r:id="rId41" display="http://czechpetanque.cz/odhlasit.html?pr=42663"/>
    <hyperlink ref="B208" r:id="rId42" display="http://czechpetanque.cz/odhlasit.html?pr=42522"/>
    <hyperlink ref="B213" r:id="rId43" display="http://czechpetanque.cz/odhlasit.html?pr=43468"/>
    <hyperlink ref="B218" r:id="rId44" display="http://czechpetanque.cz/odhlasit.html?pr=43475"/>
    <hyperlink ref="B223" r:id="rId45" display="http://czechpetanque.cz/odhlasit.html?pr=43335"/>
    <hyperlink ref="B228" r:id="rId46" display="http://czechpetanque.cz/odhlasit.html?pr=43636"/>
    <hyperlink ref="B233" r:id="rId47" display="http://czechpetanque.cz/odhlasit.html?pr=43185"/>
    <hyperlink ref="B238" r:id="rId48" display="http://czechpetanque.cz/odhlasit.html?pr=43053"/>
    <hyperlink ref="B243" r:id="rId49" display="http://czechpetanque.cz/odhlasit.html?pr=43263"/>
    <hyperlink ref="B248" r:id="rId50" display="http://czechpetanque.cz/odhlasit.html?pr=43675"/>
    <hyperlink ref="B253" r:id="rId51" display="http://czechpetanque.cz/odhlasit.html?pr=42633"/>
    <hyperlink ref="B258" r:id="rId52" display="http://czechpetanque.cz/odhlasit.html?pr=43861"/>
    <hyperlink ref="B263" r:id="rId53" display="http://czechpetanque.cz/odhlasit.html?pr=42702"/>
    <hyperlink ref="B268" r:id="rId54" display="http://czechpetanque.cz/odhlasit.html?pr=42634"/>
    <hyperlink ref="B273" r:id="rId55" display="http://czechpetanque.cz/odhlasit.html?pr=42628"/>
    <hyperlink ref="B278" r:id="rId56" display="http://czechpetanque.cz/odhlasit.html?pr=43330"/>
    <hyperlink ref="B283" r:id="rId57" display="http://czechpetanque.cz/odhlasit.html?pr=42492"/>
    <hyperlink ref="B288" r:id="rId58" display="http://czechpetanque.cz/odhlasit.html?pr=43637"/>
    <hyperlink ref="B293" r:id="rId59" display="http://czechpetanque.cz/odhlasit.html?pr=43532"/>
    <hyperlink ref="B298" r:id="rId60" display="http://czechpetanque.cz/odhlasit.html?pr=42701"/>
    <hyperlink ref="B303" r:id="rId61" display="http://czechpetanque.cz/odhlasit.html?pr=42565"/>
    <hyperlink ref="B308" r:id="rId62" display="http://czechpetanque.cz/odhlasit.html?pr=42699"/>
    <hyperlink ref="B313" r:id="rId63" display="http://czechpetanque.cz/odhlasit.html?pr=42533"/>
    <hyperlink ref="B318" r:id="rId64" display="http://czechpetanque.cz/odhlasit.html?pr=42823"/>
    <hyperlink ref="B323" r:id="rId65" display="http://czechpetanque.cz/odhlasit.html?pr=42711"/>
    <hyperlink ref="B328" r:id="rId66" display="http://czechpetanque.cz/odhlasit.html?pr=43513"/>
    <hyperlink ref="B333" r:id="rId67" display="http://czechpetanque.cz/odhlasit.html?pr=43742"/>
    <hyperlink ref="B338" r:id="rId68" display="http://czechpetanque.cz/odhlasit.html?pr=42528"/>
    <hyperlink ref="B343" r:id="rId69" display="http://czechpetanque.cz/odhlasit.html?pr=42670"/>
    <hyperlink ref="B348" r:id="rId70" display="http://czechpetanque.cz/odhlasit.html?pr=43071"/>
    <hyperlink ref="B353" r:id="rId71" display="http://czechpetanque.cz/odhlasit.html?pr=43862"/>
    <hyperlink ref="B358" r:id="rId72" display="http://czechpetanque.cz/odhlasit.html?pr=42608"/>
    <hyperlink ref="B363" r:id="rId73" display="http://czechpetanque.cz/odhlasit.html?pr=43992"/>
    <hyperlink ref="B368" r:id="rId74" display="http://czechpetanque.cz/odhlasit.html?pr=43429"/>
    <hyperlink ref="B373" r:id="rId75" display="http://czechpetanque.cz/odhlasit.html?pr=43184"/>
    <hyperlink ref="B378" r:id="rId76" display="http://czechpetanque.cz/odhlasit.html?pr=42513"/>
    <hyperlink ref="B383" r:id="rId77" display="http://czechpetanque.cz/odhlasit.html?pr=43765"/>
    <hyperlink ref="B388" r:id="rId78" display="http://czechpetanque.cz/odhlasit.html?pr=43013"/>
    <hyperlink ref="B393" r:id="rId79" display="http://czechpetanque.cz/odhlasit.html?pr=42824"/>
    <hyperlink ref="B398" r:id="rId80" display="http://czechpetanque.cz/odhlasit.html?pr=42622"/>
    <hyperlink ref="B403" r:id="rId81" display="http://czechpetanque.cz/odhlasit.html?pr=43060"/>
    <hyperlink ref="B408" r:id="rId82" display="http://czechpetanque.cz/odhlasit.html?pr=42814"/>
    <hyperlink ref="B413" r:id="rId83" display="http://czechpetanque.cz/odhlasit.html?pr=43232"/>
    <hyperlink ref="B418" r:id="rId84" display="http://czechpetanque.cz/odhlasit.html?pr=42815"/>
    <hyperlink ref="B423" r:id="rId85" display="http://czechpetanque.cz/odhlasit.html?pr=43056"/>
    <hyperlink ref="B428" r:id="rId86" display="http://czechpetanque.cz/odhlasit.html?pr=44199"/>
    <hyperlink ref="B433" r:id="rId87" display="http://czechpetanque.cz/odhlasit.html?pr=43057"/>
    <hyperlink ref="B438" r:id="rId88" display="http://czechpetanque.cz/odhlasit.html?pr=44103"/>
    <hyperlink ref="B443" r:id="rId89" display="http://czechpetanque.cz/odhlasit.html?pr=43239"/>
    <hyperlink ref="B448" r:id="rId90" display="http://czechpetanque.cz/odhlasit.html?pr=42982"/>
    <hyperlink ref="B453" r:id="rId91" display="http://czechpetanque.cz/odhlasit.html?pr=42998"/>
    <hyperlink ref="B458" r:id="rId92" display="http://czechpetanque.cz/odhlasit.html?pr=43518"/>
    <hyperlink ref="B463" r:id="rId93" display="http://czechpetanque.cz/odhlasit.html?pr=43993"/>
    <hyperlink ref="B468" r:id="rId94" display="http://czechpetanque.cz/odhlasit.html?pr=42593"/>
    <hyperlink ref="B473" r:id="rId95" display="http://czechpetanque.cz/odhlasit.html?pr=42822"/>
    <hyperlink ref="B478" r:id="rId96" display="http://czechpetanque.cz/odhlasit.html?pr=43383"/>
    <hyperlink ref="B483" r:id="rId97" display="http://czechpetanque.cz/odhlasit.html?pr=42598"/>
    <hyperlink ref="B488" r:id="rId98" display="http://czechpetanque.cz/odhlasit.html?pr=42782"/>
    <hyperlink ref="B493" r:id="rId99" display="http://czechpetanque.cz/odhlasit.html?pr=43240"/>
    <hyperlink ref="B498" r:id="rId100" display="http://czechpetanque.cz/odhlasit.html?pr=43054"/>
    <hyperlink ref="B503" r:id="rId101" display="http://czechpetanque.cz/odhlasit.html?pr=43696"/>
    <hyperlink ref="B508" r:id="rId102" display="http://czechpetanque.cz/odhlasit.html?pr=42735"/>
    <hyperlink ref="B513" r:id="rId103" display="http://czechpetanque.cz/odhlasit.html?pr=44207"/>
    <hyperlink ref="B518" r:id="rId104" display="http://czechpetanque.cz/odhlasit.html?pr=43157"/>
    <hyperlink ref="B523" r:id="rId105" display="http://czechpetanque.cz/odhlasit.html?pr=42653"/>
    <hyperlink ref="B528" r:id="rId106" display="http://czechpetanque.cz/odhlasit.html?pr=44123"/>
    <hyperlink ref="B533" r:id="rId107" display="http://czechpetanque.cz/odhlasit.html?pr=43740"/>
    <hyperlink ref="B538" r:id="rId108" display="http://czechpetanque.cz/odhlasit.html?pr=43200"/>
    <hyperlink ref="B543" r:id="rId109" display="http://czechpetanque.cz/odhlasit.html?pr=44146"/>
    <hyperlink ref="B548" r:id="rId110" display="http://czechpetanque.cz/odhlasit.html?pr=43725"/>
    <hyperlink ref="B553" r:id="rId111" display="http://czechpetanque.cz/odhlasit.html?pr=42734"/>
    <hyperlink ref="B558" r:id="rId112" display="http://czechpetanque.cz/odhlasit.html?pr=43858"/>
    <hyperlink ref="B563" r:id="rId113" display="http://czechpetanque.cz/odhlasit.html?pr=43055"/>
    <hyperlink ref="B568" r:id="rId114" display="http://czechpetanque.cz/odhlasit.html?pr=42654"/>
    <hyperlink ref="B573" r:id="rId115" display="http://czechpetanque.cz/odhlasit.html?pr=43667"/>
    <hyperlink ref="B578" r:id="rId116" display="http://czechpetanque.cz/odhlasit.html?pr=43514"/>
    <hyperlink ref="B583" r:id="rId117" display="http://czechpetanque.cz/odhlasit.html?pr=42746"/>
    <hyperlink ref="B588" r:id="rId118" display="http://czechpetanque.cz/odhlasit.html?pr=42624"/>
    <hyperlink ref="B593" r:id="rId119" display="http://czechpetanque.cz/odhlasit.html?pr=42625"/>
    <hyperlink ref="B598" r:id="rId120" display="http://czechpetanque.cz/odhlasit.html?pr=43233"/>
    <hyperlink ref="B603" r:id="rId121" display="http://czechpetanque.cz/odhlasit.html?pr=43234"/>
    <hyperlink ref="B608" r:id="rId122" display="http://czechpetanque.cz/odhlasit.html?pr=43668"/>
    <hyperlink ref="B613" r:id="rId123" display="http://czechpetanque.cz/odhlasit.html?pr=42747"/>
    <hyperlink ref="B618" r:id="rId124" display="http://czechpetanque.cz/odhlasit.html?pr=43154"/>
    <hyperlink ref="B623" r:id="rId125" display="http://czechpetanque.cz/odhlasit.html?pr=43732"/>
    <hyperlink ref="B628" r:id="rId126" display="http://czechpetanque.cz/odhlasit.html?pr=43487"/>
    <hyperlink ref="B633" r:id="rId127" display="http://czechpetanque.cz/odhlasit.html?pr=42754"/>
    <hyperlink ref="B638" r:id="rId128" display="http://czechpetanque.cz/odhlasit.html?pr=42643"/>
    <hyperlink ref="B643" r:id="rId129" display="http://czechpetanque.cz/odhlasit.html?pr=44065"/>
    <hyperlink ref="B648" r:id="rId130" display="http://czechpetanque.cz/odhlasit.html?pr=44142"/>
    <hyperlink ref="B653" r:id="rId131" display="http://czechpetanque.cz/odhlasit.html?pr=44181"/>
    <hyperlink ref="B658" r:id="rId132" display="http://czechpetanque.cz/odhlasit.html?pr=43787"/>
    <hyperlink ref="B663" r:id="rId133" display="http://czechpetanque.cz/odhlasit.html?pr=44083"/>
    <hyperlink ref="B668" r:id="rId134" display="http://czechpetanque.cz/odhlasit.html?pr=44152"/>
    <hyperlink ref="B673" r:id="rId135" display="http://czechpetanque.cz/odhlasit.html?pr=44171"/>
    <hyperlink ref="B678" r:id="rId136" display="http://czechpetanque.cz/odhlasit.html?pr=43833"/>
    <hyperlink ref="B683" r:id="rId137" display="http://czechpetanque.cz/odhlasit.html?pr=43412"/>
    <hyperlink ref="B688" r:id="rId138" display="http://czechpetanque.cz/odhlasit.html?pr=44084"/>
    <hyperlink ref="B693" r:id="rId139" display="http://czechpetanque.cz/odhlasit.html?pr=43312"/>
    <hyperlink ref="B698" r:id="rId140" display="http://czechpetanque.cz/odhlasit.html?pr=44192"/>
    <hyperlink ref="B703" r:id="rId141" display="http://czechpetanque.cz/odhlasit.html?pr=42816"/>
    <hyperlink ref="B708" r:id="rId142" display="http://czechpetanque.cz/odhlasit.html?pr=43413"/>
    <hyperlink ref="B713" r:id="rId143" display="http://czechpetanque.cz/odhlasit.html?pr=44182"/>
    <hyperlink ref="B718" r:id="rId144" display="http://czechpetanque.cz/odhlasit.html?pr=44183"/>
  </hyperlinks>
  <pageMargins left="0.78740157499999996" right="0.78740157499999996" top="0.984251969" bottom="0.984251969" header="0.4921259845" footer="0.4921259845"/>
  <pageSetup paperSize="9" orientation="portrait" horizontalDpi="300" verticalDpi="300" r:id="rId145"/>
  <headerFooter alignWithMargins="0"/>
</worksheet>
</file>

<file path=xl/worksheets/sheet50.xml><?xml version="1.0" encoding="utf-8"?>
<worksheet xmlns="http://schemas.openxmlformats.org/spreadsheetml/2006/main" xmlns:r="http://schemas.openxmlformats.org/officeDocument/2006/relationships">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28</v>
      </c>
      <c r="B1" s="71" t="s">
        <v>113</v>
      </c>
      <c r="C1" s="71" t="s">
        <v>108</v>
      </c>
      <c r="D1" s="72"/>
      <c r="E1" s="70"/>
      <c r="F1">
        <f>VLOOKUP(A1,'Hra 2P'!I8:J390,2,0)</f>
        <v>170</v>
      </c>
      <c r="L1">
        <f ca="1">IF(TRIM(B3)="-",0,1) + IF(TRIM(B4)="-",0,1) + IF(TRIM(B5)="-",0,1) + IF(TRIM(B6)="-",0,1)</f>
        <v>3</v>
      </c>
      <c r="R1">
        <f ca="1">INDIRECT(ADDRESS(4,A1,1,1,"Hřiště"))</f>
        <v>28</v>
      </c>
      <c r="S1">
        <f ca="1">INDIRECT(ADDRESS(5,A1,1,1,"Hřiště"))</f>
        <v>28</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28 SK Pétanque Řepy - Pastorek Jaroslav</v>
      </c>
      <c r="C3" s="70"/>
      <c r="D3" s="70"/>
      <c r="E3" s="70"/>
    </row>
    <row r="4" spans="1:20" ht="19.5">
      <c r="A4" s="70">
        <v>2</v>
      </c>
      <c r="B4" s="43" t="str">
        <f ca="1">IF(TYPE(VLOOKUP(CONCATENATE($C$1,A4),Skupiny!$A$3:$B$258,2,0))&gt;4," - ",VLOOKUP(CONCATENATE($C$1,A4),Skupiny!$A$3:$B$258,2,0))</f>
        <v>59 SKP Kulová osma - Chmelař Ivo</v>
      </c>
      <c r="C4" s="70"/>
      <c r="D4" s="70"/>
      <c r="E4" s="70"/>
    </row>
    <row r="5" spans="1:20" ht="19.5">
      <c r="A5" s="70">
        <v>3</v>
      </c>
      <c r="B5" s="43" t="str">
        <f ca="1">IF(TYPE(VLOOKUP(CONCATENATE($C$1,A5),Skupiny!$A$3:$B$258,2,0))&gt;4," - ",VLOOKUP(CONCATENATE($C$1,A5),Skupiny!$A$3:$B$258,2,0))</f>
        <v>114 PCP Lipník - Reinbergrová Václava</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28 SK Pétanque Řepy - Pastorek Jaroslav</v>
      </c>
      <c r="C8" s="74" t="str">
        <f>IF(('Hra 2P'!E170=""),"",'Hra 2P'!E170)</f>
        <v/>
      </c>
      <c r="D8" s="74" t="str">
        <f>IF(('Hra 2P'!F170=""),"",'Hra 2P'!F170)</f>
        <v/>
      </c>
      <c r="E8" s="43" t="str">
        <f ca="1">B6</f>
        <v xml:space="preserve"> - </v>
      </c>
    </row>
    <row r="9" spans="1:20" ht="19.5">
      <c r="A9" s="70"/>
      <c r="B9" s="43" t="str">
        <f ca="1">B4</f>
        <v>59 SKP Kulová osma - Chmelař Ivo</v>
      </c>
      <c r="C9" s="74">
        <f>IF(('Hra 2P'!E171=""),"",'Hra 2P'!E171)</f>
        <v>13</v>
      </c>
      <c r="D9" s="74">
        <f>IF(('Hra 2P'!F171=""),"",'Hra 2P'!F171)</f>
        <v>5</v>
      </c>
      <c r="E9" s="43" t="str">
        <f ca="1">B5</f>
        <v>114 PCP Lipník - Reinbergrová Václava</v>
      </c>
    </row>
    <row r="10" spans="1:20" ht="19.5">
      <c r="A10" s="75" t="s">
        <v>46</v>
      </c>
      <c r="B10" s="43" t="str">
        <f ca="1">IF(TRIM(E8)="-",B8,IF(AND(C8="",D8="")," ",IF(N(C8)&gt;N(D8),B8,E8)))</f>
        <v>28 SK Pétanque Řepy - Pastorek Jaroslav</v>
      </c>
      <c r="C10" s="74">
        <f>IF(('Hra 2P'!E172=""),"",'Hra 2P'!E172)</f>
        <v>13</v>
      </c>
      <c r="D10" s="74">
        <f>IF(('Hra 2P'!F172=""),"",'Hra 2P'!F172)</f>
        <v>9</v>
      </c>
      <c r="E10" s="43" t="str">
        <f ca="1">IF(AND(C9="",D9="")," ",IF(N(C9)&gt;N(D9),B9,E9))</f>
        <v>59 SKP Kulová osma - Chmelař Ivo</v>
      </c>
    </row>
    <row r="11" spans="1:20" ht="19.5">
      <c r="A11" s="75" t="s">
        <v>47</v>
      </c>
      <c r="B11" s="43" t="str">
        <f ca="1">IF(TRIM(E8)="-",E8,IF(AND(C8="",D8="")," ",IF(N(C8)&gt;N(D8),E8,B8)))</f>
        <v xml:space="preserve"> - </v>
      </c>
      <c r="C11" s="74" t="str">
        <f>IF(('Hra 2P'!E173=""),"",'Hra 2P'!E173)</f>
        <v/>
      </c>
      <c r="D11" s="74">
        <f>IF(('Hra 2P'!F173=""),"",'Hra 2P'!F173)</f>
        <v>13</v>
      </c>
      <c r="E11" s="43" t="str">
        <f ca="1">IF(TRIM(E9)="",E9,IF(AND(C9="",D9="")," ",IF(N(C9)&gt;N(D9),E9,B9)))</f>
        <v>114 PCP Lipník - Reinbergrová Václava</v>
      </c>
    </row>
    <row r="12" spans="1:20" ht="19.5">
      <c r="A12" s="75" t="s">
        <v>48</v>
      </c>
      <c r="B12" s="43" t="str">
        <f ca="1">IF(TRIM(E10)="",E10,IF(AND(C10="",D10="")," ",IF(N(C10)&gt;N(D10),E10,B10)))</f>
        <v>59 SKP Kulová osma - Chmelař Ivo</v>
      </c>
      <c r="C12" s="74">
        <f>IF(('Hra 2P'!E174=""),"",'Hra 2P'!E174)</f>
        <v>8</v>
      </c>
      <c r="D12" s="74">
        <f>IF(('Hra 2P'!F174=""),"",'Hra 2P'!F174)</f>
        <v>13</v>
      </c>
      <c r="E12" s="43" t="str">
        <f ca="1">IF(AND(TRIM(B11)="",TRIM(E8)=""),E11,IF(AND(C11="",D11="")," ",IF(N(C11)&gt;N(D11),B11,E11)))</f>
        <v>114 PCP Lipník - Reinbergrová Václava</v>
      </c>
    </row>
    <row r="13" spans="1:20" ht="37.15" customHeight="1">
      <c r="A13" s="70"/>
      <c r="B13" s="76" t="s">
        <v>52</v>
      </c>
      <c r="C13" s="77" t="s">
        <v>116</v>
      </c>
      <c r="D13" s="70"/>
      <c r="E13" s="70"/>
    </row>
    <row r="14" spans="1:20" ht="19.5">
      <c r="A14" s="70" t="s">
        <v>31</v>
      </c>
      <c r="B14" s="43" t="str">
        <f ca="1">IF(N(C10)+N(D10)&gt;0,IF(N(C10)&gt;N(D10),B10,E10),"")</f>
        <v>28 SK Pétanque Řepy - Pastorek Jaroslav</v>
      </c>
      <c r="C14" s="73" t="str">
        <f>CONCATENATE($C$1,A3)</f>
        <v>AB1</v>
      </c>
      <c r="D14" s="70"/>
      <c r="E14" s="70"/>
    </row>
    <row r="15" spans="1:20" ht="19.5">
      <c r="A15" s="70" t="s">
        <v>32</v>
      </c>
      <c r="B15" s="43" t="str">
        <f ca="1">IF(N(C12)+N(D12)&gt;0,IF(N(C12)&gt;N(D12),B12,E12),"")</f>
        <v>114 PCP Lipník - Reinbergrová Václava</v>
      </c>
      <c r="C15" s="73" t="str">
        <f>CONCATENATE($C$1,A4)</f>
        <v>AB2</v>
      </c>
      <c r="D15" s="70"/>
      <c r="E15" s="70"/>
    </row>
    <row r="16" spans="1:20" ht="19.5">
      <c r="A16" s="70" t="s">
        <v>33</v>
      </c>
      <c r="B16" s="43" t="str">
        <f ca="1">IF(N(C12)+N(D12)&gt;0,IF(N(C12)&gt;N(D12),E12,B12),"")</f>
        <v>59 SKP Kulová osma - Chmelař Ivo</v>
      </c>
      <c r="C16" s="73" t="str">
        <f>CONCATENATE($C$1,A5)</f>
        <v>AB3</v>
      </c>
      <c r="D16" s="70"/>
      <c r="E16" s="70"/>
    </row>
    <row r="17" spans="1:5" ht="19.5">
      <c r="A17" s="70" t="s">
        <v>34</v>
      </c>
      <c r="B17" s="78" t="str">
        <f ca="1">IF(N(C11)+N(D11)&gt;0,IF(N(C11)&gt;N(D11),E11,B11),"")</f>
        <v xml:space="preserve"> - </v>
      </c>
      <c r="C17" s="73" t="str">
        <f>CONCATENATE($C$1,A6)</f>
        <v>AB4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29</v>
      </c>
      <c r="B1" s="71" t="s">
        <v>113</v>
      </c>
      <c r="C1" s="71" t="s">
        <v>109</v>
      </c>
      <c r="D1" s="72"/>
      <c r="E1" s="70"/>
      <c r="F1">
        <f>VLOOKUP(A1,'Hra 2P'!I8:J390,2,0)</f>
        <v>176</v>
      </c>
      <c r="L1">
        <f ca="1">IF(TRIM(B3)="-",0,1) + IF(TRIM(B4)="-",0,1) + IF(TRIM(B5)="-",0,1) + IF(TRIM(B6)="-",0,1)</f>
        <v>3</v>
      </c>
      <c r="R1">
        <f ca="1">INDIRECT(ADDRESS(4,A1,1,1,"Hřiště"))</f>
        <v>29</v>
      </c>
      <c r="S1">
        <f ca="1">INDIRECT(ADDRESS(5,A1,1,1,"Hřiště"))</f>
        <v>29</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29 PC Sokol Lipník - Froňková Blanka</v>
      </c>
      <c r="C3" s="70"/>
      <c r="D3" s="70"/>
      <c r="E3" s="70"/>
    </row>
    <row r="4" spans="1:20" ht="19.5">
      <c r="A4" s="70">
        <v>2</v>
      </c>
      <c r="B4" s="43" t="str">
        <f ca="1">IF(TYPE(VLOOKUP(CONCATENATE($C$1,A4),Skupiny!$A$3:$B$258,2,0))&gt;4," - ",VLOOKUP(CONCATENATE($C$1,A4),Skupiny!$A$3:$B$258,2,0))</f>
        <v>58 PC Sokol Lipník - Fafek Petr</v>
      </c>
      <c r="C4" s="70"/>
      <c r="D4" s="70"/>
      <c r="E4" s="70"/>
    </row>
    <row r="5" spans="1:20" ht="19.5">
      <c r="A5" s="70">
        <v>3</v>
      </c>
      <c r="B5" s="43" t="str">
        <f ca="1">IF(TYPE(VLOOKUP(CONCATENATE($C$1,A5),Skupiny!$A$3:$B$258,2,0))&gt;4," - ",VLOOKUP(CONCATENATE($C$1,A5),Skupiny!$A$3:$B$258,2,0))</f>
        <v>115 SK Pétanque Řepy - Křížek Evžen</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29 PC Sokol Lipník - Froňková Blanka</v>
      </c>
      <c r="C8" s="74" t="str">
        <f>IF(('Hra 2P'!E176=""),"",'Hra 2P'!E176)</f>
        <v/>
      </c>
      <c r="D8" s="74" t="str">
        <f>IF(('Hra 2P'!F176=""),"",'Hra 2P'!F176)</f>
        <v/>
      </c>
      <c r="E8" s="43" t="str">
        <f ca="1">B6</f>
        <v xml:space="preserve"> - </v>
      </c>
    </row>
    <row r="9" spans="1:20" ht="19.5">
      <c r="A9" s="70"/>
      <c r="B9" s="43" t="str">
        <f ca="1">B4</f>
        <v>58 PC Sokol Lipník - Fafek Petr</v>
      </c>
      <c r="C9" s="74">
        <f>IF(('Hra 2P'!E177=""),"",'Hra 2P'!E177)</f>
        <v>13</v>
      </c>
      <c r="D9" s="74">
        <f>IF(('Hra 2P'!F177=""),"",'Hra 2P'!F177)</f>
        <v>0</v>
      </c>
      <c r="E9" s="43" t="str">
        <f ca="1">B5</f>
        <v>115 SK Pétanque Řepy - Křížek Evžen</v>
      </c>
    </row>
    <row r="10" spans="1:20" ht="19.5">
      <c r="A10" s="75" t="s">
        <v>46</v>
      </c>
      <c r="B10" s="43" t="str">
        <f ca="1">IF(TRIM(E8)="-",B8,IF(AND(C8="",D8="")," ",IF(N(C8)&gt;N(D8),B8,E8)))</f>
        <v>29 PC Sokol Lipník - Froňková Blanka</v>
      </c>
      <c r="C10" s="74">
        <f>IF(('Hra 2P'!E178=""),"",'Hra 2P'!E178)</f>
        <v>9</v>
      </c>
      <c r="D10" s="74">
        <f>IF(('Hra 2P'!F178=""),"",'Hra 2P'!F178)</f>
        <v>13</v>
      </c>
      <c r="E10" s="43" t="str">
        <f ca="1">IF(AND(C9="",D9="")," ",IF(N(C9)&gt;N(D9),B9,E9))</f>
        <v>58 PC Sokol Lipník - Fafek Petr</v>
      </c>
    </row>
    <row r="11" spans="1:20" ht="19.5">
      <c r="A11" s="75" t="s">
        <v>47</v>
      </c>
      <c r="B11" s="43" t="str">
        <f ca="1">IF(TRIM(E8)="-",E8,IF(AND(C8="",D8="")," ",IF(N(C8)&gt;N(D8),E8,B8)))</f>
        <v xml:space="preserve"> - </v>
      </c>
      <c r="C11" s="74" t="str">
        <f>IF(('Hra 2P'!E179=""),"",'Hra 2P'!E179)</f>
        <v/>
      </c>
      <c r="D11" s="74">
        <f>IF(('Hra 2P'!F179=""),"",'Hra 2P'!F179)</f>
        <v>13</v>
      </c>
      <c r="E11" s="43" t="str">
        <f ca="1">IF(TRIM(E9)="",E9,IF(AND(C9="",D9="")," ",IF(N(C9)&gt;N(D9),E9,B9)))</f>
        <v>115 SK Pétanque Řepy - Křížek Evžen</v>
      </c>
    </row>
    <row r="12" spans="1:20" ht="19.5">
      <c r="A12" s="75" t="s">
        <v>48</v>
      </c>
      <c r="B12" s="43" t="str">
        <f ca="1">IF(TRIM(E10)="",E10,IF(AND(C10="",D10="")," ",IF(N(C10)&gt;N(D10),E10,B10)))</f>
        <v>29 PC Sokol Lipník - Froňková Blanka</v>
      </c>
      <c r="C12" s="74">
        <f>IF(('Hra 2P'!E180=""),"",'Hra 2P'!E180)</f>
        <v>13</v>
      </c>
      <c r="D12" s="74">
        <f>IF(('Hra 2P'!F180=""),"",'Hra 2P'!F180)</f>
        <v>5</v>
      </c>
      <c r="E12" s="43" t="str">
        <f ca="1">IF(AND(TRIM(B11)="",TRIM(E8)=""),E11,IF(AND(C11="",D11="")," ",IF(N(C11)&gt;N(D11),B11,E11)))</f>
        <v>115 SK Pétanque Řepy - Křížek Evžen</v>
      </c>
    </row>
    <row r="13" spans="1:20" ht="37.15" customHeight="1">
      <c r="A13" s="70"/>
      <c r="B13" s="76" t="s">
        <v>52</v>
      </c>
      <c r="C13" s="77" t="s">
        <v>116</v>
      </c>
      <c r="D13" s="70"/>
      <c r="E13" s="70"/>
    </row>
    <row r="14" spans="1:20" ht="19.5">
      <c r="A14" s="70" t="s">
        <v>31</v>
      </c>
      <c r="B14" s="43" t="str">
        <f ca="1">IF(N(C10)+N(D10)&gt;0,IF(N(C10)&gt;N(D10),B10,E10),"")</f>
        <v>58 PC Sokol Lipník - Fafek Petr</v>
      </c>
      <c r="C14" s="73" t="str">
        <f>CONCATENATE($C$1,A3)</f>
        <v>AC1</v>
      </c>
      <c r="D14" s="70"/>
      <c r="E14" s="70"/>
    </row>
    <row r="15" spans="1:20" ht="19.5">
      <c r="A15" s="70" t="s">
        <v>32</v>
      </c>
      <c r="B15" s="43" t="str">
        <f ca="1">IF(N(C12)+N(D12)&gt;0,IF(N(C12)&gt;N(D12),B12,E12),"")</f>
        <v>29 PC Sokol Lipník - Froňková Blanka</v>
      </c>
      <c r="C15" s="73" t="str">
        <f>CONCATENATE($C$1,A4)</f>
        <v>AC2</v>
      </c>
      <c r="D15" s="70"/>
      <c r="E15" s="70"/>
    </row>
    <row r="16" spans="1:20" ht="19.5">
      <c r="A16" s="70" t="s">
        <v>33</v>
      </c>
      <c r="B16" s="43" t="str">
        <f ca="1">IF(N(C12)+N(D12)&gt;0,IF(N(C12)&gt;N(D12),E12,B12),"")</f>
        <v>115 SK Pétanque Řepy - Křížek Evžen</v>
      </c>
      <c r="C16" s="73" t="str">
        <f>CONCATENATE($C$1,A5)</f>
        <v>AC3</v>
      </c>
      <c r="D16" s="70"/>
      <c r="E16" s="70"/>
    </row>
    <row r="17" spans="1:5" ht="19.5">
      <c r="A17" s="70" t="s">
        <v>34</v>
      </c>
      <c r="B17" s="78" t="str">
        <f ca="1">IF(N(C11)+N(D11)&gt;0,IF(N(C11)&gt;N(D11),E11,B11),"")</f>
        <v xml:space="preserve"> - </v>
      </c>
      <c r="C17" s="73" t="str">
        <f>CONCATENATE($C$1,A6)</f>
        <v>AC4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30</v>
      </c>
      <c r="B1" s="71" t="s">
        <v>113</v>
      </c>
      <c r="C1" s="71" t="s">
        <v>110</v>
      </c>
      <c r="D1" s="72"/>
      <c r="E1" s="70"/>
      <c r="F1">
        <f>VLOOKUP(A1,'Hra 2P'!I8:J390,2,0)</f>
        <v>182</v>
      </c>
      <c r="L1">
        <f ca="1">IF(TRIM(B3)="-",0,1) + IF(TRIM(B4)="-",0,1) + IF(TRIM(B5)="-",0,1) + IF(TRIM(B6)="-",0,1)</f>
        <v>4</v>
      </c>
      <c r="R1">
        <f ca="1">INDIRECT(ADDRESS(4,A1,1,1,"Hřiště"))</f>
        <v>30</v>
      </c>
      <c r="S1">
        <f ca="1">INDIRECT(ADDRESS(5,A1,1,1,"Hřiště"))</f>
        <v>31</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30 POP Praha - Resl Jan</v>
      </c>
      <c r="C3" s="70"/>
      <c r="D3" s="70"/>
      <c r="E3" s="70"/>
    </row>
    <row r="4" spans="1:20" ht="19.5">
      <c r="A4" s="70">
        <v>2</v>
      </c>
      <c r="B4" s="43" t="str">
        <f ca="1">IF(TYPE(VLOOKUP(CONCATENATE($C$1,A4),Skupiny!$A$3:$B$258,2,0))&gt;4," - ",VLOOKUP(CONCATENATE($C$1,A4),Skupiny!$A$3:$B$258,2,0))</f>
        <v>57 SKP Hranice VI-Valšovice - Kutá Miloslava</v>
      </c>
      <c r="C4" s="70"/>
      <c r="D4" s="70"/>
      <c r="E4" s="70"/>
    </row>
    <row r="5" spans="1:20" ht="19.5">
      <c r="A5" s="70">
        <v>3</v>
      </c>
      <c r="B5" s="43" t="str">
        <f ca="1">IF(TYPE(VLOOKUP(CONCATENATE($C$1,A5),Skupiny!$A$3:$B$258,2,0))&gt;4," - ",VLOOKUP(CONCATENATE($C$1,A5),Skupiny!$A$3:$B$258,2,0))</f>
        <v>116 SK Pétanque Řepy - Procházka Josef</v>
      </c>
      <c r="C5" s="70"/>
      <c r="D5" s="70"/>
      <c r="E5" s="70"/>
    </row>
    <row r="6" spans="1:20" ht="19.5">
      <c r="A6" s="70">
        <v>4</v>
      </c>
      <c r="B6" s="43" t="str">
        <f ca="1">IF(TYPE(VLOOKUP(CONCATENATE($C$1,A6),Skupiny!$A$3:$B$258,2,0))&gt;4," - ",VLOOKUP(CONCATENATE($C$1,A6),Skupiny!$A$3:$B$258,2,0))</f>
        <v>143 PEK Stolín - Geisler Dan</v>
      </c>
      <c r="C6" s="70"/>
      <c r="D6" s="70"/>
      <c r="E6" s="70"/>
    </row>
    <row r="7" spans="1:20" ht="36.6" customHeight="1">
      <c r="A7" s="70"/>
      <c r="B7" s="70" t="s">
        <v>50</v>
      </c>
      <c r="C7" s="73" t="s">
        <v>51</v>
      </c>
      <c r="D7" s="70" t="s">
        <v>51</v>
      </c>
      <c r="E7" s="70"/>
    </row>
    <row r="8" spans="1:20" ht="19.5">
      <c r="A8" s="70"/>
      <c r="B8" s="43" t="str">
        <f ca="1">B3</f>
        <v>30 POP Praha - Resl Jan</v>
      </c>
      <c r="C8" s="74">
        <f>IF(('Hra 2P'!E182=""),"",'Hra 2P'!E182)</f>
        <v>13</v>
      </c>
      <c r="D8" s="74">
        <f>IF(('Hra 2P'!F182=""),"",'Hra 2P'!F182)</f>
        <v>3</v>
      </c>
      <c r="E8" s="43" t="str">
        <f ca="1">B6</f>
        <v>143 PEK Stolín - Geisler Dan</v>
      </c>
    </row>
    <row r="9" spans="1:20" ht="19.5">
      <c r="A9" s="70"/>
      <c r="B9" s="43" t="str">
        <f ca="1">B4</f>
        <v>57 SKP Hranice VI-Valšovice - Kutá Miloslava</v>
      </c>
      <c r="C9" s="74">
        <f>IF(('Hra 2P'!E183=""),"",'Hra 2P'!E183)</f>
        <v>13</v>
      </c>
      <c r="D9" s="74">
        <f>IF(('Hra 2P'!F183=""),"",'Hra 2P'!F183)</f>
        <v>11</v>
      </c>
      <c r="E9" s="43" t="str">
        <f ca="1">B5</f>
        <v>116 SK Pétanque Řepy - Procházka Josef</v>
      </c>
    </row>
    <row r="10" spans="1:20" ht="19.5">
      <c r="A10" s="75" t="s">
        <v>46</v>
      </c>
      <c r="B10" s="43" t="str">
        <f ca="1">IF(TRIM(E8)="-",B8,IF(AND(C8="",D8="")," ",IF(N(C8)&gt;N(D8),B8,E8)))</f>
        <v>30 POP Praha - Resl Jan</v>
      </c>
      <c r="C10" s="74">
        <f>IF(('Hra 2P'!E184=""),"",'Hra 2P'!E184)</f>
        <v>13</v>
      </c>
      <c r="D10" s="74">
        <f>IF(('Hra 2P'!F184=""),"",'Hra 2P'!F184)</f>
        <v>8</v>
      </c>
      <c r="E10" s="43" t="str">
        <f ca="1">IF(AND(C9="",D9="")," ",IF(N(C9)&gt;N(D9),B9,E9))</f>
        <v>57 SKP Hranice VI-Valšovice - Kutá Miloslava</v>
      </c>
    </row>
    <row r="11" spans="1:20" ht="19.5">
      <c r="A11" s="75" t="s">
        <v>47</v>
      </c>
      <c r="B11" s="43" t="str">
        <f ca="1">IF(TRIM(E8)="-",E8,IF(AND(C8="",D8="")," ",IF(N(C8)&gt;N(D8),E8,B8)))</f>
        <v>143 PEK Stolín - Geisler Dan</v>
      </c>
      <c r="C11" s="74">
        <f>IF(('Hra 2P'!E185=""),"",'Hra 2P'!E185)</f>
        <v>13</v>
      </c>
      <c r="D11" s="74">
        <f>IF(('Hra 2P'!F185=""),"",'Hra 2P'!F185)</f>
        <v>11</v>
      </c>
      <c r="E11" s="43" t="str">
        <f ca="1">IF(TRIM(E9)="",E9,IF(AND(C9="",D9="")," ",IF(N(C9)&gt;N(D9),E9,B9)))</f>
        <v>116 SK Pétanque Řepy - Procházka Josef</v>
      </c>
    </row>
    <row r="12" spans="1:20" ht="19.5">
      <c r="A12" s="75" t="s">
        <v>48</v>
      </c>
      <c r="B12" s="43" t="str">
        <f ca="1">IF(TRIM(E10)="",E10,IF(AND(C10="",D10="")," ",IF(N(C10)&gt;N(D10),E10,B10)))</f>
        <v>57 SKP Hranice VI-Valšovice - Kutá Miloslava</v>
      </c>
      <c r="C12" s="74">
        <f>IF(('Hra 2P'!E186=""),"",'Hra 2P'!E186)</f>
        <v>13</v>
      </c>
      <c r="D12" s="74">
        <f>IF(('Hra 2P'!F186=""),"",'Hra 2P'!F186)</f>
        <v>6</v>
      </c>
      <c r="E12" s="43" t="str">
        <f ca="1">IF(AND(TRIM(B11)="",TRIM(E8)=""),E11,IF(AND(C11="",D11="")," ",IF(N(C11)&gt;N(D11),B11,E11)))</f>
        <v>143 PEK Stolín - Geisler Dan</v>
      </c>
    </row>
    <row r="13" spans="1:20" ht="37.15" customHeight="1">
      <c r="A13" s="70"/>
      <c r="B13" s="76" t="s">
        <v>52</v>
      </c>
      <c r="C13" s="77" t="s">
        <v>116</v>
      </c>
      <c r="D13" s="70"/>
      <c r="E13" s="70"/>
    </row>
    <row r="14" spans="1:20" ht="19.5">
      <c r="A14" s="70" t="s">
        <v>31</v>
      </c>
      <c r="B14" s="43" t="str">
        <f ca="1">IF(N(C10)+N(D10)&gt;0,IF(N(C10)&gt;N(D10),B10,E10),"")</f>
        <v>30 POP Praha - Resl Jan</v>
      </c>
      <c r="C14" s="73" t="str">
        <f>CONCATENATE($C$1,A3)</f>
        <v>AD1</v>
      </c>
      <c r="D14" s="70"/>
      <c r="E14" s="70"/>
    </row>
    <row r="15" spans="1:20" ht="19.5">
      <c r="A15" s="70" t="s">
        <v>32</v>
      </c>
      <c r="B15" s="43" t="str">
        <f ca="1">IF(N(C12)+N(D12)&gt;0,IF(N(C12)&gt;N(D12),B12,E12),"")</f>
        <v>57 SKP Hranice VI-Valšovice - Kutá Miloslava</v>
      </c>
      <c r="C15" s="73" t="str">
        <f>CONCATENATE($C$1,A4)</f>
        <v>AD2</v>
      </c>
      <c r="D15" s="70"/>
      <c r="E15" s="70"/>
    </row>
    <row r="16" spans="1:20" ht="19.5">
      <c r="A16" s="70" t="s">
        <v>33</v>
      </c>
      <c r="B16" s="43" t="str">
        <f ca="1">IF(N(C12)+N(D12)&gt;0,IF(N(C12)&gt;N(D12),E12,B12),"")</f>
        <v>143 PEK Stolín - Geisler Dan</v>
      </c>
      <c r="C16" s="73" t="str">
        <f>CONCATENATE($C$1,A5)</f>
        <v>AD3</v>
      </c>
      <c r="D16" s="70"/>
      <c r="E16" s="70"/>
    </row>
    <row r="17" spans="1:5" ht="19.5">
      <c r="A17" s="70" t="s">
        <v>34</v>
      </c>
      <c r="B17" s="78" t="str">
        <f ca="1">IF(N(C11)+N(D11)&gt;0,IF(N(C11)&gt;N(D11),E11,B11),"")</f>
        <v>116 SK Pétanque Řepy - Procházka Josef</v>
      </c>
      <c r="C17" s="73" t="str">
        <f>CONCATENATE($C$1,A6)</f>
        <v>AD4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31</v>
      </c>
      <c r="B1" s="71" t="s">
        <v>113</v>
      </c>
      <c r="C1" s="71" t="s">
        <v>111</v>
      </c>
      <c r="D1" s="72"/>
      <c r="E1" s="70"/>
      <c r="F1">
        <f>VLOOKUP(A1,'Hra 2P'!I8:J390,2,0)</f>
        <v>188</v>
      </c>
      <c r="L1">
        <f ca="1">IF(TRIM(B3)="-",0,1) + IF(TRIM(B4)="-",0,1) + IF(TRIM(B5)="-",0,1) + IF(TRIM(B6)="-",0,1)</f>
        <v>4</v>
      </c>
      <c r="R1">
        <f ca="1">INDIRECT(ADDRESS(4,A1,1,1,"Hřiště"))</f>
        <v>32</v>
      </c>
      <c r="S1">
        <f ca="1">INDIRECT(ADDRESS(5,A1,1,1,"Hřiště"))</f>
        <v>33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31 PLUK Jablonec - Lukáš Petr</v>
      </c>
      <c r="C3" s="70"/>
      <c r="D3" s="70"/>
      <c r="E3" s="70"/>
    </row>
    <row r="4" spans="1:20" ht="19.5">
      <c r="A4" s="70">
        <v>2</v>
      </c>
      <c r="B4" s="43" t="str">
        <f ca="1">IF(TYPE(VLOOKUP(CONCATENATE($C$1,A4),Skupiny!$A$3:$B$258,2,0))&gt;4," - ",VLOOKUP(CONCATENATE($C$1,A4),Skupiny!$A$3:$B$258,2,0))</f>
        <v>56 SK Pétanque Řepy - Hladík Jaroslav</v>
      </c>
      <c r="C4" s="70"/>
      <c r="D4" s="70"/>
      <c r="E4" s="70"/>
    </row>
    <row r="5" spans="1:20" ht="19.5">
      <c r="A5" s="70">
        <v>3</v>
      </c>
      <c r="B5" s="43" t="str">
        <f ca="1">IF(TYPE(VLOOKUP(CONCATENATE($C$1,A5),Skupiny!$A$3:$B$258,2,0))&gt;4," - ",VLOOKUP(CONCATENATE($C$1,A5),Skupiny!$A$3:$B$258,2,0))</f>
        <v>117 PEK Stolín - Jablonský Lukáš</v>
      </c>
      <c r="C5" s="70"/>
      <c r="D5" s="70"/>
      <c r="E5" s="70"/>
    </row>
    <row r="6" spans="1:20" ht="19.5">
      <c r="A6" s="70">
        <v>4</v>
      </c>
      <c r="B6" s="43" t="str">
        <f ca="1">IF(TYPE(VLOOKUP(CONCATENATE($C$1,A6),Skupiny!$A$3:$B$258,2,0))&gt;4," - ",VLOOKUP(CONCATENATE($C$1,A6),Skupiny!$A$3:$B$258,2,0))</f>
        <v>142 PEK Stolín - Rousek Simon</v>
      </c>
      <c r="C6" s="70"/>
      <c r="D6" s="70"/>
      <c r="E6" s="70"/>
    </row>
    <row r="7" spans="1:20" ht="36.6" customHeight="1">
      <c r="A7" s="70"/>
      <c r="B7" s="70" t="s">
        <v>50</v>
      </c>
      <c r="C7" s="73" t="s">
        <v>51</v>
      </c>
      <c r="D7" s="70" t="s">
        <v>51</v>
      </c>
      <c r="E7" s="70"/>
    </row>
    <row r="8" spans="1:20" ht="19.5">
      <c r="A8" s="70"/>
      <c r="B8" s="43" t="str">
        <f ca="1">B3</f>
        <v>31 PLUK Jablonec - Lukáš Petr</v>
      </c>
      <c r="C8" s="74">
        <f>IF(('Hra 2P'!E188=""),"",'Hra 2P'!E188)</f>
        <v>13</v>
      </c>
      <c r="D8" s="74">
        <f>IF(('Hra 2P'!F188=""),"",'Hra 2P'!F188)</f>
        <v>3</v>
      </c>
      <c r="E8" s="43" t="str">
        <f ca="1">B6</f>
        <v>142 PEK Stolín - Rousek Simon</v>
      </c>
    </row>
    <row r="9" spans="1:20" ht="19.5">
      <c r="A9" s="70"/>
      <c r="B9" s="43" t="str">
        <f ca="1">B4</f>
        <v>56 SK Pétanque Řepy - Hladík Jaroslav</v>
      </c>
      <c r="C9" s="74">
        <f>IF(('Hra 2P'!E189=""),"",'Hra 2P'!E189)</f>
        <v>13</v>
      </c>
      <c r="D9" s="74">
        <f>IF(('Hra 2P'!F189=""),"",'Hra 2P'!F189)</f>
        <v>11</v>
      </c>
      <c r="E9" s="43" t="str">
        <f ca="1">B5</f>
        <v>117 PEK Stolín - Jablonský Lukáš</v>
      </c>
    </row>
    <row r="10" spans="1:20" ht="19.5">
      <c r="A10" s="75" t="s">
        <v>46</v>
      </c>
      <c r="B10" s="43" t="str">
        <f ca="1">IF(TRIM(E8)="-",B8,IF(AND(C8="",D8="")," ",IF(N(C8)&gt;N(D8),B8,E8)))</f>
        <v>31 PLUK Jablonec - Lukáš Petr</v>
      </c>
      <c r="C10" s="74">
        <f>IF(('Hra 2P'!E190=""),"",'Hra 2P'!E190)</f>
        <v>13</v>
      </c>
      <c r="D10" s="74">
        <f>IF(('Hra 2P'!F190=""),"",'Hra 2P'!F190)</f>
        <v>4</v>
      </c>
      <c r="E10" s="43" t="str">
        <f ca="1">IF(AND(C9="",D9="")," ",IF(N(C9)&gt;N(D9),B9,E9))</f>
        <v>56 SK Pétanque Řepy - Hladík Jaroslav</v>
      </c>
    </row>
    <row r="11" spans="1:20" ht="19.5">
      <c r="A11" s="75" t="s">
        <v>47</v>
      </c>
      <c r="B11" s="43" t="str">
        <f ca="1">IF(TRIM(E8)="-",E8,IF(AND(C8="",D8="")," ",IF(N(C8)&gt;N(D8),E8,B8)))</f>
        <v>142 PEK Stolín - Rousek Simon</v>
      </c>
      <c r="C11" s="74">
        <f>IF(('Hra 2P'!E191=""),"",'Hra 2P'!E191)</f>
        <v>1</v>
      </c>
      <c r="D11" s="74">
        <f>IF(('Hra 2P'!F191=""),"",'Hra 2P'!F191)</f>
        <v>13</v>
      </c>
      <c r="E11" s="43" t="str">
        <f ca="1">IF(TRIM(E9)="",E9,IF(AND(C9="",D9="")," ",IF(N(C9)&gt;N(D9),E9,B9)))</f>
        <v>117 PEK Stolín - Jablonský Lukáš</v>
      </c>
    </row>
    <row r="12" spans="1:20" ht="19.5">
      <c r="A12" s="75" t="s">
        <v>48</v>
      </c>
      <c r="B12" s="43" t="str">
        <f ca="1">IF(TRIM(E10)="",E10,IF(AND(C10="",D10="")," ",IF(N(C10)&gt;N(D10),E10,B10)))</f>
        <v>56 SK Pétanque Řepy - Hladík Jaroslav</v>
      </c>
      <c r="C12" s="74">
        <f>IF(('Hra 2P'!E192=""),"",'Hra 2P'!E192)</f>
        <v>13</v>
      </c>
      <c r="D12" s="74">
        <f>IF(('Hra 2P'!F192=""),"",'Hra 2P'!F192)</f>
        <v>10</v>
      </c>
      <c r="E12" s="43" t="str">
        <f ca="1">IF(AND(TRIM(B11)="",TRIM(E8)=""),E11,IF(AND(C11="",D11="")," ",IF(N(C11)&gt;N(D11),B11,E11)))</f>
        <v>117 PEK Stolín - Jablonský Lukáš</v>
      </c>
    </row>
    <row r="13" spans="1:20" ht="37.15" customHeight="1">
      <c r="A13" s="70"/>
      <c r="B13" s="76" t="s">
        <v>52</v>
      </c>
      <c r="C13" s="77" t="s">
        <v>116</v>
      </c>
      <c r="D13" s="70"/>
      <c r="E13" s="70"/>
    </row>
    <row r="14" spans="1:20" ht="19.5">
      <c r="A14" s="70" t="s">
        <v>31</v>
      </c>
      <c r="B14" s="43" t="str">
        <f ca="1">IF(N(C10)+N(D10)&gt;0,IF(N(C10)&gt;N(D10),B10,E10),"")</f>
        <v>31 PLUK Jablonec - Lukáš Petr</v>
      </c>
      <c r="C14" s="73" t="str">
        <f>CONCATENATE($C$1,A3)</f>
        <v>AE1</v>
      </c>
      <c r="D14" s="70"/>
      <c r="E14" s="70"/>
    </row>
    <row r="15" spans="1:20" ht="19.5">
      <c r="A15" s="70" t="s">
        <v>32</v>
      </c>
      <c r="B15" s="43" t="str">
        <f ca="1">IF(N(C12)+N(D12)&gt;0,IF(N(C12)&gt;N(D12),B12,E12),"")</f>
        <v>56 SK Pétanque Řepy - Hladík Jaroslav</v>
      </c>
      <c r="C15" s="73" t="str">
        <f>CONCATENATE($C$1,A4)</f>
        <v>AE2</v>
      </c>
      <c r="D15" s="70"/>
      <c r="E15" s="70"/>
    </row>
    <row r="16" spans="1:20" ht="19.5">
      <c r="A16" s="70" t="s">
        <v>33</v>
      </c>
      <c r="B16" s="43" t="str">
        <f ca="1">IF(N(C12)+N(D12)&gt;0,IF(N(C12)&gt;N(D12),E12,B12),"")</f>
        <v>117 PEK Stolín - Jablonský Lukáš</v>
      </c>
      <c r="C16" s="73" t="str">
        <f>CONCATENATE($C$1,A5)</f>
        <v>AE3</v>
      </c>
      <c r="D16" s="70"/>
      <c r="E16" s="70"/>
    </row>
    <row r="17" spans="1:5" ht="19.5">
      <c r="A17" s="70" t="s">
        <v>34</v>
      </c>
      <c r="B17" s="78" t="str">
        <f ca="1">IF(N(C11)+N(D11)&gt;0,IF(N(C11)&gt;N(D11),E11,B11),"")</f>
        <v>142 PEK Stolín - Rousek Simon</v>
      </c>
      <c r="C17" s="73" t="str">
        <f>CONCATENATE($C$1,A6)</f>
        <v>AE4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64</v>
      </c>
      <c r="B1" s="71" t="s">
        <v>113</v>
      </c>
      <c r="C1" s="71" t="s">
        <v>1143</v>
      </c>
      <c r="D1" s="72"/>
      <c r="E1" s="70"/>
      <c r="F1">
        <f>VLOOKUP(A1,'Hra 2P'!I8:J390,2,0)</f>
        <v>386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2P'!E386=""),"",'Hra 2P'!E386)</f>
        <v/>
      </c>
      <c r="D8" s="74" t="str">
        <f>IF(('Hra 2P'!F386=""),"",'Hra 2P'!F386)</f>
        <v/>
      </c>
      <c r="E8" s="43" t="str">
        <f ca="1">B6</f>
        <v xml:space="preserve"> - </v>
      </c>
    </row>
    <row r="9" spans="1:20" ht="19.5">
      <c r="A9" s="70"/>
      <c r="B9" s="43" t="str">
        <f ca="1">B4</f>
        <v xml:space="preserve"> - </v>
      </c>
      <c r="C9" s="74" t="str">
        <f>IF(('Hra 2P'!E387=""),"",'Hra 2P'!E387)</f>
        <v/>
      </c>
      <c r="D9" s="74" t="str">
        <f>IF(('Hra 2P'!F387=""),"",'Hra 2P'!F387)</f>
        <v/>
      </c>
      <c r="E9" s="43" t="str">
        <f ca="1">B5</f>
        <v xml:space="preserve"> - </v>
      </c>
    </row>
    <row r="10" spans="1:20" ht="19.5">
      <c r="A10" s="75" t="s">
        <v>46</v>
      </c>
      <c r="B10" s="43" t="str">
        <f ca="1">IF(TRIM(E8)="-",B8,IF(AND(C8="",D8="")," ",IF(N(C8)&gt;N(D8),B8,E8)))</f>
        <v xml:space="preserve"> - </v>
      </c>
      <c r="C10" s="74" t="str">
        <f>IF(('Hra 2P'!E388=""),"",'Hra 2P'!E388)</f>
        <v/>
      </c>
      <c r="D10" s="74" t="str">
        <f>IF(('Hra 2P'!F388=""),"",'Hra 2P'!F388)</f>
        <v/>
      </c>
      <c r="E10" s="43" t="str">
        <f>IF(AND(C9="",D9="")," ",IF(N(C9)&gt;N(D9),B9,E9))</f>
        <v xml:space="preserve"> </v>
      </c>
    </row>
    <row r="11" spans="1:20" ht="19.5">
      <c r="A11" s="75" t="s">
        <v>47</v>
      </c>
      <c r="B11" s="43" t="str">
        <f ca="1">IF(TRIM(E8)="-",E8,IF(AND(C8="",D8="")," ",IF(N(C8)&gt;N(D8),E8,B8)))</f>
        <v xml:space="preserve"> - </v>
      </c>
      <c r="C11" s="74" t="str">
        <f>IF(('Hra 2P'!E389=""),"",'Hra 2P'!E389)</f>
        <v/>
      </c>
      <c r="D11" s="74" t="str">
        <f>IF(('Hra 2P'!F389=""),"",'Hra 2P'!F389)</f>
        <v/>
      </c>
      <c r="E11" s="43" t="str">
        <f ca="1">IF(TRIM(E9)="",E9,IF(AND(C9="",D9="")," ",IF(N(C9)&gt;N(D9),E9,B9)))</f>
        <v xml:space="preserve"> </v>
      </c>
    </row>
    <row r="12" spans="1:20" ht="19.5">
      <c r="A12" s="75" t="s">
        <v>48</v>
      </c>
      <c r="B12" s="43" t="str">
        <f>IF(TRIM(E10)="",E10,IF(AND(C10="",D10="")," ",IF(N(C10)&gt;N(D10),E10,B10)))</f>
        <v xml:space="preserve"> </v>
      </c>
      <c r="C12" s="74" t="str">
        <f>IF(('Hra 2P'!E390=""),"",'Hra 2P'!E390)</f>
        <v/>
      </c>
      <c r="D12" s="74" t="str">
        <f>IF(('Hra 2P'!F390=""),"",'Hra 2P'!F390)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BL1</v>
      </c>
      <c r="D14" s="70"/>
      <c r="E14" s="70"/>
    </row>
    <row r="15" spans="1:20" ht="19.5">
      <c r="A15" s="70" t="s">
        <v>32</v>
      </c>
      <c r="B15" s="43" t="str">
        <f>IF(N(C12)+N(D12)&gt;0,IF(N(C12)&gt;N(D12),B12,E12),"")</f>
        <v/>
      </c>
      <c r="C15" s="73" t="str">
        <f>CONCATENATE($C$1,A4)</f>
        <v>BL2</v>
      </c>
      <c r="D15" s="70"/>
      <c r="E15" s="70"/>
    </row>
    <row r="16" spans="1:20" ht="19.5">
      <c r="A16" s="70" t="s">
        <v>33</v>
      </c>
      <c r="B16" s="43" t="str">
        <f>IF(N(C12)+N(D12)&gt;0,IF(N(C12)&gt;N(D12),E12,B12),"")</f>
        <v/>
      </c>
      <c r="C16" s="73" t="str">
        <f>CONCATENATE($C$1,A5)</f>
        <v>BL3</v>
      </c>
      <c r="D16" s="70"/>
      <c r="E16" s="70"/>
    </row>
    <row r="17" spans="1:5" ht="19.5">
      <c r="A17" s="70" t="s">
        <v>34</v>
      </c>
      <c r="B17" s="78" t="str">
        <f>IF(N(C11)+N(D11)&gt;0,IF(N(C11)&gt;N(D11),E11,B11),"")</f>
        <v/>
      </c>
      <c r="C17" s="73" t="str">
        <f>CONCATENATE($C$1,A6)</f>
        <v>BL4</v>
      </c>
      <c r="D17" s="70"/>
      <c r="E17" s="70"/>
    </row>
    <row r="18" spans="1:5" ht="19.5">
      <c r="A18" s="1"/>
      <c r="B18" s="1"/>
      <c r="C18" s="1"/>
      <c r="D18" s="1"/>
      <c r="E18" s="1"/>
    </row>
  </sheetData>
  <sheetCalcPr fullCalcOnLoad="1"/>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63</v>
      </c>
      <c r="B1" s="71" t="s">
        <v>113</v>
      </c>
      <c r="C1" s="71" t="s">
        <v>1144</v>
      </c>
      <c r="D1" s="72"/>
      <c r="E1" s="70"/>
      <c r="F1">
        <f>VLOOKUP(A1,'Hra 2P'!I8:J390,2,0)</f>
        <v>380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2P'!E380=""),"",'Hra 2P'!E380)</f>
        <v/>
      </c>
      <c r="D8" s="74" t="str">
        <f>IF(('Hra 2P'!F380=""),"",'Hra 2P'!F380)</f>
        <v/>
      </c>
      <c r="E8" s="43" t="str">
        <f ca="1">B6</f>
        <v xml:space="preserve"> - </v>
      </c>
    </row>
    <row r="9" spans="1:20" ht="19.5">
      <c r="A9" s="70"/>
      <c r="B9" s="43" t="str">
        <f ca="1">B4</f>
        <v xml:space="preserve"> - </v>
      </c>
      <c r="C9" s="74" t="str">
        <f>IF(('Hra 2P'!E381=""),"",'Hra 2P'!E381)</f>
        <v/>
      </c>
      <c r="D9" s="74" t="str">
        <f>IF(('Hra 2P'!F381=""),"",'Hra 2P'!F381)</f>
        <v/>
      </c>
      <c r="E9" s="43" t="str">
        <f ca="1">B5</f>
        <v xml:space="preserve"> - </v>
      </c>
    </row>
    <row r="10" spans="1:20" ht="19.5">
      <c r="A10" s="75" t="s">
        <v>46</v>
      </c>
      <c r="B10" s="43" t="str">
        <f ca="1">IF(TRIM(E8)="-",B8,IF(AND(C8="",D8="")," ",IF(N(C8)&gt;N(D8),B8,E8)))</f>
        <v xml:space="preserve"> - </v>
      </c>
      <c r="C10" s="74" t="str">
        <f>IF(('Hra 2P'!E382=""),"",'Hra 2P'!E382)</f>
        <v/>
      </c>
      <c r="D10" s="74" t="str">
        <f>IF(('Hra 2P'!F382=""),"",'Hra 2P'!F382)</f>
        <v/>
      </c>
      <c r="E10" s="43" t="str">
        <f>IF(AND(C9="",D9="")," ",IF(N(C9)&gt;N(D9),B9,E9))</f>
        <v xml:space="preserve"> </v>
      </c>
    </row>
    <row r="11" spans="1:20" ht="19.5">
      <c r="A11" s="75" t="s">
        <v>47</v>
      </c>
      <c r="B11" s="43" t="str">
        <f ca="1">IF(TRIM(E8)="-",E8,IF(AND(C8="",D8="")," ",IF(N(C8)&gt;N(D8),E8,B8)))</f>
        <v xml:space="preserve"> - </v>
      </c>
      <c r="C11" s="74" t="str">
        <f>IF(('Hra 2P'!E383=""),"",'Hra 2P'!E383)</f>
        <v/>
      </c>
      <c r="D11" s="74" t="str">
        <f>IF(('Hra 2P'!F383=""),"",'Hra 2P'!F383)</f>
        <v/>
      </c>
      <c r="E11" s="43" t="str">
        <f ca="1">IF(TRIM(E9)="",E9,IF(AND(C9="",D9="")," ",IF(N(C9)&gt;N(D9),E9,B9)))</f>
        <v xml:space="preserve"> </v>
      </c>
    </row>
    <row r="12" spans="1:20" ht="19.5">
      <c r="A12" s="75" t="s">
        <v>48</v>
      </c>
      <c r="B12" s="43" t="str">
        <f>IF(TRIM(E10)="",E10,IF(AND(C10="",D10="")," ",IF(N(C10)&gt;N(D10),E10,B10)))</f>
        <v xml:space="preserve"> </v>
      </c>
      <c r="C12" s="74" t="str">
        <f>IF(('Hra 2P'!E384=""),"",'Hra 2P'!E384)</f>
        <v/>
      </c>
      <c r="D12" s="74" t="str">
        <f>IF(('Hra 2P'!F384=""),"",'Hra 2P'!F384)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BK1</v>
      </c>
      <c r="D14" s="70"/>
      <c r="E14" s="70"/>
    </row>
    <row r="15" spans="1:20" ht="19.5">
      <c r="A15" s="70" t="s">
        <v>32</v>
      </c>
      <c r="B15" s="43" t="str">
        <f>IF(N(C12)+N(D12)&gt;0,IF(N(C12)&gt;N(D12),B12,E12),"")</f>
        <v/>
      </c>
      <c r="C15" s="73" t="str">
        <f>CONCATENATE($C$1,A4)</f>
        <v>BK2</v>
      </c>
      <c r="D15" s="70"/>
      <c r="E15" s="70"/>
    </row>
    <row r="16" spans="1:20" ht="19.5">
      <c r="A16" s="70" t="s">
        <v>33</v>
      </c>
      <c r="B16" s="43" t="str">
        <f>IF(N(C12)+N(D12)&gt;0,IF(N(C12)&gt;N(D12),E12,B12),"")</f>
        <v/>
      </c>
      <c r="C16" s="73" t="str">
        <f>CONCATENATE($C$1,A5)</f>
        <v>BK3</v>
      </c>
      <c r="D16" s="70"/>
      <c r="E16" s="70"/>
    </row>
    <row r="17" spans="1:5" ht="19.5">
      <c r="A17" s="70" t="s">
        <v>34</v>
      </c>
      <c r="B17" s="78" t="str">
        <f>IF(N(C11)+N(D11)&gt;0,IF(N(C11)&gt;N(D11),E11,B11),"")</f>
        <v/>
      </c>
      <c r="C17" s="73" t="str">
        <f>CONCATENATE($C$1,A6)</f>
        <v>BK4</v>
      </c>
      <c r="D17" s="70"/>
      <c r="E17" s="70"/>
    </row>
    <row r="18" spans="1:5" ht="19.5">
      <c r="A18" s="1"/>
      <c r="B18" s="1"/>
      <c r="C18" s="1"/>
      <c r="D18" s="1"/>
      <c r="E18" s="1"/>
    </row>
  </sheetData>
  <sheetCalcPr fullCalcOnLoad="1"/>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62</v>
      </c>
      <c r="B1" s="71" t="s">
        <v>113</v>
      </c>
      <c r="C1" s="71" t="s">
        <v>1145</v>
      </c>
      <c r="D1" s="72"/>
      <c r="E1" s="70"/>
      <c r="F1">
        <f>VLOOKUP(A1,'Hra 2P'!I8:J390,2,0)</f>
        <v>374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2P'!E374=""),"",'Hra 2P'!E374)</f>
        <v/>
      </c>
      <c r="D8" s="74" t="str">
        <f>IF(('Hra 2P'!F374=""),"",'Hra 2P'!F374)</f>
        <v/>
      </c>
      <c r="E8" s="43" t="str">
        <f ca="1">B6</f>
        <v xml:space="preserve"> - </v>
      </c>
    </row>
    <row r="9" spans="1:20" ht="19.5">
      <c r="A9" s="70"/>
      <c r="B9" s="43" t="str">
        <f ca="1">B4</f>
        <v xml:space="preserve"> - </v>
      </c>
      <c r="C9" s="74" t="str">
        <f>IF(('Hra 2P'!E375=""),"",'Hra 2P'!E375)</f>
        <v/>
      </c>
      <c r="D9" s="74" t="str">
        <f>IF(('Hra 2P'!F375=""),"",'Hra 2P'!F375)</f>
        <v/>
      </c>
      <c r="E9" s="43" t="str">
        <f ca="1">B5</f>
        <v xml:space="preserve"> - </v>
      </c>
    </row>
    <row r="10" spans="1:20" ht="19.5">
      <c r="A10" s="75" t="s">
        <v>46</v>
      </c>
      <c r="B10" s="43" t="str">
        <f ca="1">IF(TRIM(E8)="-",B8,IF(AND(C8="",D8="")," ",IF(N(C8)&gt;N(D8),B8,E8)))</f>
        <v xml:space="preserve"> - </v>
      </c>
      <c r="C10" s="74" t="str">
        <f>IF(('Hra 2P'!E376=""),"",'Hra 2P'!E376)</f>
        <v/>
      </c>
      <c r="D10" s="74" t="str">
        <f>IF(('Hra 2P'!F376=""),"",'Hra 2P'!F376)</f>
        <v/>
      </c>
      <c r="E10" s="43" t="str">
        <f>IF(AND(C9="",D9="")," ",IF(N(C9)&gt;N(D9),B9,E9))</f>
        <v xml:space="preserve"> </v>
      </c>
    </row>
    <row r="11" spans="1:20" ht="19.5">
      <c r="A11" s="75" t="s">
        <v>47</v>
      </c>
      <c r="B11" s="43" t="str">
        <f ca="1">IF(TRIM(E8)="-",E8,IF(AND(C8="",D8="")," ",IF(N(C8)&gt;N(D8),E8,B8)))</f>
        <v xml:space="preserve"> - </v>
      </c>
      <c r="C11" s="74" t="str">
        <f>IF(('Hra 2P'!E377=""),"",'Hra 2P'!E377)</f>
        <v/>
      </c>
      <c r="D11" s="74" t="str">
        <f>IF(('Hra 2P'!F377=""),"",'Hra 2P'!F377)</f>
        <v/>
      </c>
      <c r="E11" s="43" t="str">
        <f ca="1">IF(TRIM(E9)="",E9,IF(AND(C9="",D9="")," ",IF(N(C9)&gt;N(D9),E9,B9)))</f>
        <v xml:space="preserve"> </v>
      </c>
    </row>
    <row r="12" spans="1:20" ht="19.5">
      <c r="A12" s="75" t="s">
        <v>48</v>
      </c>
      <c r="B12" s="43" t="str">
        <f>IF(TRIM(E10)="",E10,IF(AND(C10="",D10="")," ",IF(N(C10)&gt;N(D10),E10,B10)))</f>
        <v xml:space="preserve"> </v>
      </c>
      <c r="C12" s="74" t="str">
        <f>IF(('Hra 2P'!E378=""),"",'Hra 2P'!E378)</f>
        <v/>
      </c>
      <c r="D12" s="74" t="str">
        <f>IF(('Hra 2P'!F378=""),"",'Hra 2P'!F378)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BJ1</v>
      </c>
      <c r="D14" s="70"/>
      <c r="E14" s="70"/>
    </row>
    <row r="15" spans="1:20" ht="19.5">
      <c r="A15" s="70" t="s">
        <v>32</v>
      </c>
      <c r="B15" s="43" t="str">
        <f>IF(N(C12)+N(D12)&gt;0,IF(N(C12)&gt;N(D12),B12,E12),"")</f>
        <v/>
      </c>
      <c r="C15" s="73" t="str">
        <f>CONCATENATE($C$1,A4)</f>
        <v>BJ2</v>
      </c>
      <c r="D15" s="70"/>
      <c r="E15" s="70"/>
    </row>
    <row r="16" spans="1:20" ht="19.5">
      <c r="A16" s="70" t="s">
        <v>33</v>
      </c>
      <c r="B16" s="43" t="str">
        <f>IF(N(C12)+N(D12)&gt;0,IF(N(C12)&gt;N(D12),E12,B12),"")</f>
        <v/>
      </c>
      <c r="C16" s="73" t="str">
        <f>CONCATENATE($C$1,A5)</f>
        <v>BJ3</v>
      </c>
      <c r="D16" s="70"/>
      <c r="E16" s="70"/>
    </row>
    <row r="17" spans="1:5" ht="19.5">
      <c r="A17" s="70" t="s">
        <v>34</v>
      </c>
      <c r="B17" s="78" t="str">
        <f>IF(N(C11)+N(D11)&gt;0,IF(N(C11)&gt;N(D11),E11,B11),"")</f>
        <v/>
      </c>
      <c r="C17" s="73" t="str">
        <f>CONCATENATE($C$1,A6)</f>
        <v>BJ4</v>
      </c>
      <c r="D17" s="70"/>
      <c r="E17" s="70"/>
    </row>
    <row r="18" spans="1:5" ht="19.5">
      <c r="A18" s="1"/>
      <c r="B18" s="1"/>
      <c r="C18" s="1"/>
      <c r="D18" s="1"/>
      <c r="E18" s="1"/>
    </row>
  </sheetData>
  <sheetCalcPr fullCalcOnLoad="1"/>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61</v>
      </c>
      <c r="B1" s="71" t="s">
        <v>113</v>
      </c>
      <c r="C1" s="71" t="s">
        <v>1146</v>
      </c>
      <c r="D1" s="72"/>
      <c r="E1" s="70"/>
      <c r="F1">
        <f>VLOOKUP(A1,'Hra 2P'!I8:J390,2,0)</f>
        <v>368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2P'!E368=""),"",'Hra 2P'!E368)</f>
        <v/>
      </c>
      <c r="D8" s="74" t="str">
        <f>IF(('Hra 2P'!F368=""),"",'Hra 2P'!F368)</f>
        <v/>
      </c>
      <c r="E8" s="43" t="str">
        <f ca="1">B6</f>
        <v xml:space="preserve"> - </v>
      </c>
    </row>
    <row r="9" spans="1:20" ht="19.5">
      <c r="A9" s="70"/>
      <c r="B9" s="43" t="str">
        <f ca="1">B4</f>
        <v xml:space="preserve"> - </v>
      </c>
      <c r="C9" s="74" t="str">
        <f>IF(('Hra 2P'!E369=""),"",'Hra 2P'!E369)</f>
        <v/>
      </c>
      <c r="D9" s="74" t="str">
        <f>IF(('Hra 2P'!F369=""),"",'Hra 2P'!F369)</f>
        <v/>
      </c>
      <c r="E9" s="43" t="str">
        <f ca="1">B5</f>
        <v xml:space="preserve"> - </v>
      </c>
    </row>
    <row r="10" spans="1:20" ht="19.5">
      <c r="A10" s="75" t="s">
        <v>46</v>
      </c>
      <c r="B10" s="43" t="str">
        <f ca="1">IF(TRIM(E8)="-",B8,IF(AND(C8="",D8="")," ",IF(N(C8)&gt;N(D8),B8,E8)))</f>
        <v xml:space="preserve"> - </v>
      </c>
      <c r="C10" s="74" t="str">
        <f>IF(('Hra 2P'!E370=""),"",'Hra 2P'!E370)</f>
        <v/>
      </c>
      <c r="D10" s="74" t="str">
        <f>IF(('Hra 2P'!F370=""),"",'Hra 2P'!F370)</f>
        <v/>
      </c>
      <c r="E10" s="43" t="str">
        <f>IF(AND(C9="",D9="")," ",IF(N(C9)&gt;N(D9),B9,E9))</f>
        <v xml:space="preserve"> </v>
      </c>
    </row>
    <row r="11" spans="1:20" ht="19.5">
      <c r="A11" s="75" t="s">
        <v>47</v>
      </c>
      <c r="B11" s="43" t="str">
        <f ca="1">IF(TRIM(E8)="-",E8,IF(AND(C8="",D8="")," ",IF(N(C8)&gt;N(D8),E8,B8)))</f>
        <v xml:space="preserve"> - </v>
      </c>
      <c r="C11" s="74" t="str">
        <f>IF(('Hra 2P'!E371=""),"",'Hra 2P'!E371)</f>
        <v/>
      </c>
      <c r="D11" s="74" t="str">
        <f>IF(('Hra 2P'!F371=""),"",'Hra 2P'!F371)</f>
        <v/>
      </c>
      <c r="E11" s="43" t="str">
        <f ca="1">IF(TRIM(E9)="",E9,IF(AND(C9="",D9="")," ",IF(N(C9)&gt;N(D9),E9,B9)))</f>
        <v xml:space="preserve"> </v>
      </c>
    </row>
    <row r="12" spans="1:20" ht="19.5">
      <c r="A12" s="75" t="s">
        <v>48</v>
      </c>
      <c r="B12" s="43" t="str">
        <f>IF(TRIM(E10)="",E10,IF(AND(C10="",D10="")," ",IF(N(C10)&gt;N(D10),E10,B10)))</f>
        <v xml:space="preserve"> </v>
      </c>
      <c r="C12" s="74" t="str">
        <f>IF(('Hra 2P'!E372=""),"",'Hra 2P'!E372)</f>
        <v/>
      </c>
      <c r="D12" s="74" t="str">
        <f>IF(('Hra 2P'!F372=""),"",'Hra 2P'!F372)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BI1</v>
      </c>
      <c r="D14" s="70"/>
      <c r="E14" s="70"/>
    </row>
    <row r="15" spans="1:20" ht="19.5">
      <c r="A15" s="70" t="s">
        <v>32</v>
      </c>
      <c r="B15" s="43" t="str">
        <f>IF(N(C12)+N(D12)&gt;0,IF(N(C12)&gt;N(D12),B12,E12),"")</f>
        <v/>
      </c>
      <c r="C15" s="73" t="str">
        <f>CONCATENATE($C$1,A4)</f>
        <v>BI2</v>
      </c>
      <c r="D15" s="70"/>
      <c r="E15" s="70"/>
    </row>
    <row r="16" spans="1:20" ht="19.5">
      <c r="A16" s="70" t="s">
        <v>33</v>
      </c>
      <c r="B16" s="43" t="str">
        <f>IF(N(C12)+N(D12)&gt;0,IF(N(C12)&gt;N(D12),E12,B12),"")</f>
        <v/>
      </c>
      <c r="C16" s="73" t="str">
        <f>CONCATENATE($C$1,A5)</f>
        <v>BI3</v>
      </c>
      <c r="D16" s="70"/>
      <c r="E16" s="70"/>
    </row>
    <row r="17" spans="1:5" ht="19.5">
      <c r="A17" s="70" t="s">
        <v>34</v>
      </c>
      <c r="B17" s="78" t="str">
        <f>IF(N(C11)+N(D11)&gt;0,IF(N(C11)&gt;N(D11),E11,B11),"")</f>
        <v/>
      </c>
      <c r="C17" s="73" t="str">
        <f>CONCATENATE($C$1,A6)</f>
        <v>BI4</v>
      </c>
      <c r="D17" s="70"/>
      <c r="E17" s="70"/>
    </row>
    <row r="18" spans="1:5" ht="19.5">
      <c r="A18" s="1"/>
      <c r="B18" s="1"/>
      <c r="C18" s="1"/>
      <c r="D18" s="1"/>
      <c r="E18" s="1"/>
    </row>
  </sheetData>
  <sheetCalcPr fullCalcOnLoad="1"/>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60</v>
      </c>
      <c r="B1" s="71" t="s">
        <v>113</v>
      </c>
      <c r="C1" s="71" t="s">
        <v>1147</v>
      </c>
      <c r="D1" s="72"/>
      <c r="E1" s="70"/>
      <c r="F1">
        <f>VLOOKUP(A1,'Hra 2P'!I8:J390,2,0)</f>
        <v>362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2P'!E362=""),"",'Hra 2P'!E362)</f>
        <v/>
      </c>
      <c r="D8" s="74" t="str">
        <f>IF(('Hra 2P'!F362=""),"",'Hra 2P'!F362)</f>
        <v/>
      </c>
      <c r="E8" s="43" t="str">
        <f ca="1">B6</f>
        <v xml:space="preserve"> - </v>
      </c>
    </row>
    <row r="9" spans="1:20" ht="19.5">
      <c r="A9" s="70"/>
      <c r="B9" s="43" t="str">
        <f ca="1">B4</f>
        <v xml:space="preserve"> - </v>
      </c>
      <c r="C9" s="74" t="str">
        <f>IF(('Hra 2P'!E363=""),"",'Hra 2P'!E363)</f>
        <v/>
      </c>
      <c r="D9" s="74" t="str">
        <f>IF(('Hra 2P'!F363=""),"",'Hra 2P'!F363)</f>
        <v/>
      </c>
      <c r="E9" s="43" t="str">
        <f ca="1">B5</f>
        <v xml:space="preserve"> - </v>
      </c>
    </row>
    <row r="10" spans="1:20" ht="19.5">
      <c r="A10" s="75" t="s">
        <v>46</v>
      </c>
      <c r="B10" s="43" t="str">
        <f ca="1">IF(TRIM(E8)="-",B8,IF(AND(C8="",D8="")," ",IF(N(C8)&gt;N(D8),B8,E8)))</f>
        <v xml:space="preserve"> - </v>
      </c>
      <c r="C10" s="74" t="str">
        <f>IF(('Hra 2P'!E364=""),"",'Hra 2P'!E364)</f>
        <v/>
      </c>
      <c r="D10" s="74" t="str">
        <f>IF(('Hra 2P'!F364=""),"",'Hra 2P'!F364)</f>
        <v/>
      </c>
      <c r="E10" s="43" t="str">
        <f>IF(AND(C9="",D9="")," ",IF(N(C9)&gt;N(D9),B9,E9))</f>
        <v xml:space="preserve"> </v>
      </c>
    </row>
    <row r="11" spans="1:20" ht="19.5">
      <c r="A11" s="75" t="s">
        <v>47</v>
      </c>
      <c r="B11" s="43" t="str">
        <f ca="1">IF(TRIM(E8)="-",E8,IF(AND(C8="",D8="")," ",IF(N(C8)&gt;N(D8),E8,B8)))</f>
        <v xml:space="preserve"> - </v>
      </c>
      <c r="C11" s="74" t="str">
        <f>IF(('Hra 2P'!E365=""),"",'Hra 2P'!E365)</f>
        <v/>
      </c>
      <c r="D11" s="74" t="str">
        <f>IF(('Hra 2P'!F365=""),"",'Hra 2P'!F365)</f>
        <v/>
      </c>
      <c r="E11" s="43" t="str">
        <f ca="1">IF(TRIM(E9)="",E9,IF(AND(C9="",D9="")," ",IF(N(C9)&gt;N(D9),E9,B9)))</f>
        <v xml:space="preserve"> </v>
      </c>
    </row>
    <row r="12" spans="1:20" ht="19.5">
      <c r="A12" s="75" t="s">
        <v>48</v>
      </c>
      <c r="B12" s="43" t="str">
        <f>IF(TRIM(E10)="",E10,IF(AND(C10="",D10="")," ",IF(N(C10)&gt;N(D10),E10,B10)))</f>
        <v xml:space="preserve"> </v>
      </c>
      <c r="C12" s="74" t="str">
        <f>IF(('Hra 2P'!E366=""),"",'Hra 2P'!E366)</f>
        <v/>
      </c>
      <c r="D12" s="74" t="str">
        <f>IF(('Hra 2P'!F366=""),"",'Hra 2P'!F366)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BH1</v>
      </c>
      <c r="D14" s="70"/>
      <c r="E14" s="70"/>
    </row>
    <row r="15" spans="1:20" ht="19.5">
      <c r="A15" s="70" t="s">
        <v>32</v>
      </c>
      <c r="B15" s="43" t="str">
        <f>IF(N(C12)+N(D12)&gt;0,IF(N(C12)&gt;N(D12),B12,E12),"")</f>
        <v/>
      </c>
      <c r="C15" s="73" t="str">
        <f>CONCATENATE($C$1,A4)</f>
        <v>BH2</v>
      </c>
      <c r="D15" s="70"/>
      <c r="E15" s="70"/>
    </row>
    <row r="16" spans="1:20" ht="19.5">
      <c r="A16" s="70" t="s">
        <v>33</v>
      </c>
      <c r="B16" s="43" t="str">
        <f>IF(N(C12)+N(D12)&gt;0,IF(N(C12)&gt;N(D12),E12,B12),"")</f>
        <v/>
      </c>
      <c r="C16" s="73" t="str">
        <f>CONCATENATE($C$1,A5)</f>
        <v>BH3</v>
      </c>
      <c r="D16" s="70"/>
      <c r="E16" s="70"/>
    </row>
    <row r="17" spans="1:5" ht="19.5">
      <c r="A17" s="70" t="s">
        <v>34</v>
      </c>
      <c r="B17" s="78" t="str">
        <f>IF(N(C11)+N(D11)&gt;0,IF(N(C11)&gt;N(D11),E11,B11),"")</f>
        <v/>
      </c>
      <c r="C17" s="73" t="str">
        <f>CONCATENATE($C$1,A6)</f>
        <v>BH4</v>
      </c>
      <c r="D17" s="70"/>
      <c r="E17" s="70"/>
    </row>
    <row r="18" spans="1:5" ht="19.5">
      <c r="A18" s="1"/>
      <c r="B18" s="1"/>
      <c r="C18" s="1"/>
      <c r="D18" s="1"/>
      <c r="E18" s="1"/>
    </row>
  </sheetData>
  <sheetCalcPr fullCalcOnLoad="1"/>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59</v>
      </c>
      <c r="B1" s="71" t="s">
        <v>113</v>
      </c>
      <c r="C1" s="71" t="s">
        <v>1148</v>
      </c>
      <c r="D1" s="72"/>
      <c r="E1" s="70"/>
      <c r="F1">
        <f>VLOOKUP(A1,'Hra 2P'!I8:J390,2,0)</f>
        <v>356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2P'!E356=""),"",'Hra 2P'!E356)</f>
        <v/>
      </c>
      <c r="D8" s="74" t="str">
        <f>IF(('Hra 2P'!F356=""),"",'Hra 2P'!F356)</f>
        <v/>
      </c>
      <c r="E8" s="43" t="str">
        <f ca="1">B6</f>
        <v xml:space="preserve"> - </v>
      </c>
    </row>
    <row r="9" spans="1:20" ht="19.5">
      <c r="A9" s="70"/>
      <c r="B9" s="43" t="str">
        <f ca="1">B4</f>
        <v xml:space="preserve"> - </v>
      </c>
      <c r="C9" s="74" t="str">
        <f>IF(('Hra 2P'!E357=""),"",'Hra 2P'!E357)</f>
        <v/>
      </c>
      <c r="D9" s="74" t="str">
        <f>IF(('Hra 2P'!F357=""),"",'Hra 2P'!F357)</f>
        <v/>
      </c>
      <c r="E9" s="43" t="str">
        <f ca="1">B5</f>
        <v xml:space="preserve"> - </v>
      </c>
    </row>
    <row r="10" spans="1:20" ht="19.5">
      <c r="A10" s="75" t="s">
        <v>46</v>
      </c>
      <c r="B10" s="43" t="str">
        <f ca="1">IF(TRIM(E8)="-",B8,IF(AND(C8="",D8="")," ",IF(N(C8)&gt;N(D8),B8,E8)))</f>
        <v xml:space="preserve"> - </v>
      </c>
      <c r="C10" s="74" t="str">
        <f>IF(('Hra 2P'!E358=""),"",'Hra 2P'!E358)</f>
        <v/>
      </c>
      <c r="D10" s="74" t="str">
        <f>IF(('Hra 2P'!F358=""),"",'Hra 2P'!F358)</f>
        <v/>
      </c>
      <c r="E10" s="43" t="str">
        <f>IF(AND(C9="",D9="")," ",IF(N(C9)&gt;N(D9),B9,E9))</f>
        <v xml:space="preserve"> </v>
      </c>
    </row>
    <row r="11" spans="1:20" ht="19.5">
      <c r="A11" s="75" t="s">
        <v>47</v>
      </c>
      <c r="B11" s="43" t="str">
        <f ca="1">IF(TRIM(E8)="-",E8,IF(AND(C8="",D8="")," ",IF(N(C8)&gt;N(D8),E8,B8)))</f>
        <v xml:space="preserve"> - </v>
      </c>
      <c r="C11" s="74" t="str">
        <f>IF(('Hra 2P'!E359=""),"",'Hra 2P'!E359)</f>
        <v/>
      </c>
      <c r="D11" s="74" t="str">
        <f>IF(('Hra 2P'!F359=""),"",'Hra 2P'!F359)</f>
        <v/>
      </c>
      <c r="E11" s="43" t="str">
        <f ca="1">IF(TRIM(E9)="",E9,IF(AND(C9="",D9="")," ",IF(N(C9)&gt;N(D9),E9,B9)))</f>
        <v xml:space="preserve"> </v>
      </c>
    </row>
    <row r="12" spans="1:20" ht="19.5">
      <c r="A12" s="75" t="s">
        <v>48</v>
      </c>
      <c r="B12" s="43" t="str">
        <f>IF(TRIM(E10)="",E10,IF(AND(C10="",D10="")," ",IF(N(C10)&gt;N(D10),E10,B10)))</f>
        <v xml:space="preserve"> </v>
      </c>
      <c r="C12" s="74" t="str">
        <f>IF(('Hra 2P'!E360=""),"",'Hra 2P'!E360)</f>
        <v/>
      </c>
      <c r="D12" s="74" t="str">
        <f>IF(('Hra 2P'!F360=""),"",'Hra 2P'!F360)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BG1</v>
      </c>
      <c r="D14" s="70"/>
      <c r="E14" s="70"/>
    </row>
    <row r="15" spans="1:20" ht="19.5">
      <c r="A15" s="70" t="s">
        <v>32</v>
      </c>
      <c r="B15" s="43" t="str">
        <f>IF(N(C12)+N(D12)&gt;0,IF(N(C12)&gt;N(D12),B12,E12),"")</f>
        <v/>
      </c>
      <c r="C15" s="73" t="str">
        <f>CONCATENATE($C$1,A4)</f>
        <v>BG2</v>
      </c>
      <c r="D15" s="70"/>
      <c r="E15" s="70"/>
    </row>
    <row r="16" spans="1:20" ht="19.5">
      <c r="A16" s="70" t="s">
        <v>33</v>
      </c>
      <c r="B16" s="43" t="str">
        <f>IF(N(C12)+N(D12)&gt;0,IF(N(C12)&gt;N(D12),E12,B12),"")</f>
        <v/>
      </c>
      <c r="C16" s="73" t="str">
        <f>CONCATENATE($C$1,A5)</f>
        <v>BG3</v>
      </c>
      <c r="D16" s="70"/>
      <c r="E16" s="70"/>
    </row>
    <row r="17" spans="1:5" ht="19.5">
      <c r="A17" s="70" t="s">
        <v>34</v>
      </c>
      <c r="B17" s="78" t="str">
        <f>IF(N(C11)+N(D11)&gt;0,IF(N(C11)&gt;N(D11),E11,B11),"")</f>
        <v/>
      </c>
      <c r="C17" s="73" t="str">
        <f>CONCATENATE($C$1,A6)</f>
        <v>BG4</v>
      </c>
      <c r="D17" s="70"/>
      <c r="E17" s="70"/>
    </row>
    <row r="18" spans="1:5" ht="19.5">
      <c r="A18" s="1"/>
      <c r="B18" s="1"/>
      <c r="C18" s="1"/>
      <c r="D18" s="1"/>
      <c r="E18" s="1"/>
    </row>
  </sheetData>
  <sheetCalcPr fullCalcOnLoad="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sheetPr codeName="List2">
    <tabColor rgb="FF7030A0"/>
    <pageSetUpPr fitToPage="1"/>
  </sheetPr>
  <dimension ref="A1:BF266"/>
  <sheetViews>
    <sheetView tabSelected="1" workbookViewId="0">
      <pane xSplit="8" ySplit="10" topLeftCell="Y11" activePane="bottomRight" state="frozen"/>
      <selection sqref="A1:B1"/>
      <selection pane="topRight" sqref="A1:B1"/>
      <selection pane="bottomLeft" sqref="A1:B1"/>
      <selection pane="bottomRight" activeCell="AL5" sqref="AL5"/>
    </sheetView>
  </sheetViews>
  <sheetFormatPr defaultRowHeight="12.75"/>
  <cols>
    <col min="1" max="1" width="9" style="408" hidden="1" customWidth="1"/>
    <col min="2" max="2" width="3.85546875" style="408" hidden="1" customWidth="1"/>
    <col min="3" max="5" width="9" style="408" hidden="1" customWidth="1"/>
    <col min="6" max="6" width="24" style="408" hidden="1" customWidth="1"/>
    <col min="7" max="7" width="3.5703125" style="408" customWidth="1"/>
    <col min="8" max="9" width="9.140625" style="408"/>
    <col min="10" max="10" width="13.42578125" style="408" customWidth="1"/>
    <col min="11" max="11" width="13.7109375" style="408" customWidth="1"/>
    <col min="12" max="12" width="20.42578125" style="408" customWidth="1"/>
    <col min="13" max="13" width="6.140625" style="408" customWidth="1"/>
    <col min="14" max="14" width="6.5703125" style="408" customWidth="1"/>
    <col min="15" max="15" width="9.140625" style="408"/>
    <col min="16" max="16" width="14.42578125" style="408" customWidth="1"/>
    <col min="17" max="17" width="11.5703125" style="408" customWidth="1"/>
    <col min="18" max="18" width="20.42578125" style="408" customWidth="1"/>
    <col min="19" max="19" width="6.140625" style="408" customWidth="1"/>
    <col min="20" max="20" width="6.5703125" style="408" customWidth="1"/>
    <col min="21" max="21" width="9.140625" style="408"/>
    <col min="22" max="22" width="14.42578125" style="408" customWidth="1"/>
    <col min="23" max="23" width="11.5703125" style="408" customWidth="1"/>
    <col min="24" max="24" width="20.42578125" style="408" customWidth="1"/>
    <col min="25" max="25" width="6.140625" style="408" customWidth="1"/>
    <col min="26" max="26" width="6.5703125" style="408" customWidth="1"/>
    <col min="27" max="27" width="9.140625" style="408"/>
    <col min="28" max="28" width="14.42578125" style="408" customWidth="1"/>
    <col min="29" max="29" width="11.5703125" style="408" customWidth="1"/>
    <col min="30" max="30" width="20.42578125" style="408" customWidth="1"/>
    <col min="31" max="31" width="6.140625" style="408" customWidth="1"/>
    <col min="32" max="32" width="6.5703125" style="408" customWidth="1"/>
    <col min="33" max="33" width="1.42578125" style="408" customWidth="1"/>
    <col min="34" max="34" width="8.140625" style="408" customWidth="1"/>
    <col min="35" max="37" width="8.140625" style="408" hidden="1" customWidth="1"/>
    <col min="38" max="38" width="34.7109375" style="408" customWidth="1"/>
    <col min="39" max="39" width="9.140625" style="408"/>
    <col min="40" max="40" width="7.7109375" style="408" customWidth="1"/>
    <col min="41" max="41" width="8.42578125" style="408" customWidth="1"/>
    <col min="42" max="42" width="7.85546875" style="408" customWidth="1"/>
    <col min="43" max="43" width="8.28515625" style="408" customWidth="1"/>
    <col min="44" max="16384" width="9.140625" style="408"/>
  </cols>
  <sheetData>
    <row r="1" spans="1:58" ht="32.25" thickBot="1">
      <c r="A1" s="400"/>
      <c r="B1" s="400"/>
      <c r="C1" s="400"/>
      <c r="D1" s="400"/>
      <c r="E1" s="400"/>
      <c r="F1" s="400"/>
      <c r="G1" s="400"/>
      <c r="H1" s="401" t="s">
        <v>456</v>
      </c>
      <c r="I1" s="402" t="s">
        <v>6</v>
      </c>
      <c r="J1" s="403"/>
      <c r="K1" s="403"/>
      <c r="L1" s="403"/>
      <c r="M1" s="404"/>
      <c r="N1" s="404"/>
      <c r="O1" s="404"/>
      <c r="P1" s="404"/>
      <c r="Q1" s="400"/>
      <c r="R1" s="405" t="s">
        <v>324</v>
      </c>
      <c r="S1" s="406">
        <f ca="1">'Kvalita turnaje'!$F$1</f>
        <v>44.175812499999999</v>
      </c>
      <c r="T1" s="407"/>
      <c r="U1" s="400"/>
      <c r="V1" s="400"/>
      <c r="W1" s="400"/>
      <c r="X1" s="400"/>
      <c r="Y1" s="400"/>
      <c r="Z1" s="400"/>
      <c r="AA1" s="400"/>
      <c r="AB1" s="400"/>
      <c r="AC1" s="400"/>
      <c r="AD1" s="400"/>
      <c r="AE1" s="400"/>
      <c r="AF1" s="400"/>
      <c r="AG1" s="400"/>
      <c r="AH1" s="400"/>
      <c r="AI1" s="400"/>
      <c r="AJ1" s="400"/>
      <c r="AK1" s="400"/>
      <c r="AL1" s="400"/>
      <c r="AM1" s="400"/>
    </row>
    <row r="2" spans="1:58" ht="18.75" thickBot="1">
      <c r="A2" s="400"/>
      <c r="B2" s="400"/>
      <c r="C2" s="400"/>
      <c r="D2" s="400"/>
      <c r="E2" s="400"/>
      <c r="F2" s="400"/>
      <c r="G2" s="400"/>
      <c r="H2" s="409"/>
      <c r="I2" s="410" t="s">
        <v>62</v>
      </c>
      <c r="J2" s="411"/>
      <c r="K2" s="412">
        <f>IF(Internet!$E$1=0,Turnaje!A4,Internet!$E$1)</f>
        <v>20035</v>
      </c>
      <c r="M2" s="413" t="s">
        <v>321</v>
      </c>
      <c r="N2" s="414" t="s">
        <v>94</v>
      </c>
      <c r="O2" s="400"/>
      <c r="P2" s="400"/>
      <c r="Q2" s="400"/>
      <c r="R2" s="405" t="s">
        <v>322</v>
      </c>
      <c r="S2" s="407">
        <f>IF(TYPE(VLOOKUP(Start.listina!N2,Bonusy!A4:B8,2,0))&gt;3,0,VLOOKUP(Start.listina!N2,Bonusy!A4:B8,2,0))</f>
        <v>200</v>
      </c>
      <c r="T2" s="407"/>
      <c r="U2" s="400"/>
      <c r="V2" s="400"/>
      <c r="W2" s="400"/>
      <c r="X2" s="400"/>
      <c r="Y2" s="400"/>
      <c r="Z2" s="400"/>
      <c r="AA2" s="400"/>
      <c r="AB2" s="400"/>
      <c r="AC2" s="400"/>
      <c r="AD2" s="400"/>
      <c r="AE2" s="400"/>
      <c r="AF2" s="400"/>
      <c r="AG2" s="400"/>
      <c r="AH2" s="400"/>
      <c r="AI2" s="400"/>
      <c r="AJ2" s="400"/>
      <c r="AK2" s="400"/>
      <c r="AL2" s="400"/>
      <c r="AM2" s="400"/>
    </row>
    <row r="3" spans="1:58" ht="18">
      <c r="A3" s="400"/>
      <c r="B3" s="400"/>
      <c r="C3" s="400"/>
      <c r="D3" s="400"/>
      <c r="E3" s="400"/>
      <c r="F3" s="400"/>
      <c r="G3" s="400"/>
      <c r="H3" s="409"/>
      <c r="I3" s="415" t="s">
        <v>54</v>
      </c>
      <c r="J3" s="411"/>
      <c r="K3" s="416" t="str">
        <f>IF(ISBLANK(K2)," ",VLOOKUP(K2,Turnaje!$A$1:$F$147,3,0))</f>
        <v>12.09.2020</v>
      </c>
      <c r="L3" s="400"/>
      <c r="M3" s="413" t="s">
        <v>17</v>
      </c>
      <c r="N3" s="414"/>
      <c r="O3" s="400"/>
      <c r="P3" s="400"/>
      <c r="Q3" s="400"/>
      <c r="R3" s="405" t="s">
        <v>323</v>
      </c>
      <c r="S3" s="407">
        <f>IF(TYPE(VLOOKUP(Start.listina!N2,Paušál!A4:B7,2,0))&gt;3,0,VLOOKUP(Start.listina!N2,Paušál!A4:B7,2,0))</f>
        <v>20</v>
      </c>
      <c r="T3" s="407"/>
      <c r="U3" s="400"/>
      <c r="V3" s="400"/>
      <c r="W3" s="400"/>
      <c r="X3" s="400"/>
      <c r="Y3" s="400"/>
      <c r="Z3" s="400"/>
      <c r="AA3" s="400"/>
      <c r="AB3" s="400"/>
      <c r="AC3" s="400"/>
      <c r="AD3" s="400"/>
      <c r="AE3" s="400"/>
      <c r="AF3" s="400"/>
      <c r="AG3" s="400"/>
      <c r="AH3" s="400"/>
      <c r="AI3" s="400"/>
      <c r="AJ3" s="400"/>
      <c r="AK3" s="400"/>
      <c r="AL3" s="400"/>
      <c r="AM3" s="400"/>
    </row>
    <row r="4" spans="1:58" ht="19.5" thickBot="1">
      <c r="A4" s="400"/>
      <c r="B4" s="400"/>
      <c r="C4" s="400"/>
      <c r="D4" s="400"/>
      <c r="E4" s="400"/>
      <c r="F4" s="400"/>
      <c r="G4" s="400"/>
      <c r="H4" s="409"/>
      <c r="I4" s="417" t="s">
        <v>55</v>
      </c>
      <c r="J4" s="418"/>
      <c r="K4" s="419" t="str">
        <f>IF(ISBLANK(K2)," ",VLOOKUP(K2,Turnaje!$A$1:$F$147,2,0))</f>
        <v>MČR 1x1</v>
      </c>
      <c r="L4" s="420"/>
      <c r="M4" s="420"/>
      <c r="N4" s="421"/>
      <c r="O4" s="400"/>
      <c r="P4" s="422">
        <v>1</v>
      </c>
      <c r="Q4" s="400"/>
      <c r="R4" s="405" t="s">
        <v>7</v>
      </c>
      <c r="S4" s="407">
        <f ca="1">'Počet kol'!$D$3</f>
        <v>8</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Vědomice</v>
      </c>
      <c r="L5" s="426"/>
      <c r="M5" s="427"/>
      <c r="N5" s="421"/>
      <c r="O5" s="400"/>
      <c r="P5" s="498"/>
      <c r="Q5" s="400"/>
      <c r="R5" s="405" t="s">
        <v>8</v>
      </c>
      <c r="S5" s="428">
        <f>IF(M7&lt;5,3,5)*U5/60</f>
        <v>3.75</v>
      </c>
      <c r="T5" s="407" t="s">
        <v>9</v>
      </c>
      <c r="U5" s="429">
        <v>75</v>
      </c>
      <c r="V5" s="407" t="s">
        <v>10</v>
      </c>
      <c r="W5" s="400"/>
      <c r="X5" s="400"/>
      <c r="Y5" s="400"/>
      <c r="Z5" s="400"/>
      <c r="AA5" s="400"/>
      <c r="AB5" s="400"/>
      <c r="AC5" s="400"/>
      <c r="AD5" s="400"/>
      <c r="AE5" s="400"/>
      <c r="AF5" s="400"/>
      <c r="AG5" s="400"/>
      <c r="AH5" s="400"/>
      <c r="AI5" s="400"/>
      <c r="AJ5" s="400"/>
      <c r="AK5" s="400"/>
      <c r="AL5" s="400"/>
      <c r="AM5" s="400"/>
    </row>
    <row r="6" spans="1:58" ht="19.5" thickBot="1">
      <c r="A6" s="430"/>
      <c r="B6" s="430"/>
      <c r="C6" s="430"/>
      <c r="D6" s="430"/>
      <c r="E6" s="430"/>
      <c r="F6" s="431"/>
      <c r="G6" s="400"/>
      <c r="H6" s="409"/>
      <c r="I6" s="410" t="s">
        <v>68</v>
      </c>
      <c r="J6" s="424"/>
      <c r="K6" s="432">
        <f>IF(ISBLANK(K2)," ",VLOOKUP(K2,Turnaje!$A$1:$F$147,6,0))</f>
        <v>1</v>
      </c>
      <c r="L6" s="433" t="s">
        <v>11</v>
      </c>
      <c r="M6" s="434">
        <v>3</v>
      </c>
      <c r="N6" s="435">
        <f ca="1">IF(TYPE((K7-M7*N7)/M6)&gt;3,"",(K7-M7*N7)/M6)</f>
        <v>29</v>
      </c>
      <c r="O6" s="400"/>
      <c r="P6" s="400"/>
      <c r="Q6" s="400"/>
      <c r="R6" s="405" t="s">
        <v>12</v>
      </c>
      <c r="S6" s="428">
        <f ca="1">IF(S7=0,0,ROUNDUP(LOG(S7,2),0)*U5/60)</f>
        <v>8.75</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20.25" thickTop="1" thickBot="1">
      <c r="A7" s="430"/>
      <c r="B7" s="430"/>
      <c r="C7" s="430"/>
      <c r="D7" s="430"/>
      <c r="E7" s="430"/>
      <c r="F7" s="431"/>
      <c r="G7" s="400"/>
      <c r="H7" s="409"/>
      <c r="I7" s="410" t="s">
        <v>57</v>
      </c>
      <c r="J7" s="424"/>
      <c r="K7" s="432">
        <f ca="1">SUM(B11:B266)</f>
        <v>143</v>
      </c>
      <c r="L7" s="433" t="s">
        <v>11</v>
      </c>
      <c r="M7" s="434">
        <v>4</v>
      </c>
      <c r="N7" s="436">
        <v>14</v>
      </c>
      <c r="O7" s="437">
        <f ca="1">IF(TYPE(N6+N7)&gt;3,"",N6+N7)</f>
        <v>43</v>
      </c>
      <c r="P7" s="400" t="s">
        <v>13</v>
      </c>
      <c r="Q7" s="400"/>
      <c r="R7" s="405" t="s">
        <v>14</v>
      </c>
      <c r="S7" s="407">
        <f ca="1">O7*2</f>
        <v>86</v>
      </c>
      <c r="T7" s="407" t="s">
        <v>15</v>
      </c>
      <c r="U7" s="429" t="s">
        <v>450</v>
      </c>
      <c r="V7" s="407" t="s">
        <v>451</v>
      </c>
      <c r="W7" s="400"/>
      <c r="X7" s="400"/>
      <c r="Y7" s="400"/>
      <c r="Z7" s="400"/>
      <c r="AA7" s="400"/>
      <c r="AB7" s="400"/>
      <c r="AC7" s="400"/>
      <c r="AD7" s="400"/>
      <c r="AE7" s="400"/>
      <c r="AF7" s="400"/>
      <c r="AG7" s="400"/>
      <c r="AH7" s="400"/>
      <c r="AI7" s="400"/>
      <c r="AJ7" s="400"/>
      <c r="AM7" s="400"/>
    </row>
    <row r="8" spans="1:58" ht="14.25" thickTop="1">
      <c r="A8" s="430"/>
      <c r="B8" s="430"/>
      <c r="C8" s="430"/>
      <c r="D8" s="430"/>
      <c r="E8" s="430"/>
      <c r="F8" s="431"/>
      <c r="G8" s="400"/>
      <c r="H8" s="400"/>
      <c r="I8" s="400"/>
      <c r="J8" s="438"/>
      <c r="K8" s="400"/>
      <c r="L8" s="400"/>
      <c r="M8" s="400"/>
      <c r="N8" s="400"/>
      <c r="O8" s="400"/>
      <c r="P8" s="400"/>
      <c r="Q8" s="400"/>
      <c r="R8" s="405" t="s">
        <v>16</v>
      </c>
      <c r="S8" s="407">
        <f ca="1">INT(M7/2)*N7+INT(M6/2)*N6</f>
        <v>57</v>
      </c>
      <c r="T8" s="407"/>
      <c r="U8" s="400"/>
      <c r="V8" s="400"/>
      <c r="W8" s="400"/>
      <c r="X8" s="400"/>
      <c r="Y8" s="400"/>
      <c r="Z8" s="400"/>
      <c r="AA8" s="400"/>
      <c r="AB8" s="400"/>
      <c r="AC8" s="400"/>
      <c r="AD8" s="400"/>
      <c r="AE8" s="400"/>
      <c r="AF8" s="400"/>
      <c r="AG8" s="400"/>
      <c r="AH8" s="400"/>
      <c r="AI8" s="400"/>
      <c r="AJ8" s="400"/>
      <c r="AK8" s="400"/>
      <c r="AL8" s="400"/>
      <c r="AM8" s="400"/>
    </row>
    <row r="9" spans="1:58" ht="13.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9"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5" thickTop="1">
      <c r="A11" s="466">
        <f t="shared" ref="A11:A42" ca="1" si="0">IF(OR(LEFT(J11,1)=" ",ISBLANK(J11)),0,1)+IF(OR(LEFT(P11,1)=" ",ISBLANK(P11)),0,1)+IF(OR(LEFT(V11,1)=" ",ISBLANK(V11)),0,1)</f>
        <v>1</v>
      </c>
      <c r="B11" s="466">
        <f t="shared" ref="B11:B42" ca="1" si="1">IF(AND(TYPE(G11&lt;15),G11=FALSE),1,0)</f>
        <v>1</v>
      </c>
      <c r="C11" s="466">
        <f t="shared" ref="C11:C42" ca="1" si="2">IF(B11=0,0,N11+T11+Z11)</f>
        <v>54.75</v>
      </c>
      <c r="D11" s="466">
        <f t="shared" ref="D11:D42" ca="1" si="3">IF(B11=0,99999,M11+S11+Y11)</f>
        <v>20000</v>
      </c>
      <c r="E11" s="430">
        <f t="shared" ref="E11:E42" ca="1" si="4">MIN(M11,S11,Y11)</f>
        <v>2</v>
      </c>
      <c r="F11" s="431" t="str">
        <f t="shared" ref="F11:F42" ca="1" si="5">CONCATENATE(IF(AND($P$4=1,H11&gt;2*$O$7),"0","9"),TEXT(B11,"0"),IF(AND($P$4=1,H11&gt;2*$O$7),"000000",TEXT(1000*C11,"000000")),IF(AND($P$4=1,H11&gt;2*$O$7),"000000",TEXT(999999-D11,"000000")),IF(AND($P$4=1,H11&gt;2*$O$7),"000000",TEXT(999999-E11,"000000")),TEXT(999999*RAND(),"000000"))</f>
        <v>91054750979999999997096068</v>
      </c>
      <c r="G11" s="467" t="b">
        <f t="shared" ref="G11:G42" ca="1" si="6">IF(OR($K$6&gt;A11,AR11&gt;0),TRUE,FALSE)</f>
        <v>0</v>
      </c>
      <c r="H11" s="468">
        <f t="shared" ref="H11:H42" si="7">ROW(H11)-10</f>
        <v>1</v>
      </c>
      <c r="I11" s="469">
        <f t="shared" ref="I11:I42" ca="1" si="8">IF(N(INDIRECT(ADDRESS(ROW() + $A$9-9 + (ROW()-11)*4,1,1,1,"Internet")))&gt;0,INDIRECT(ADDRESS(ROW() + $A$9-9 + (ROW()-11)*4,1,1,1,"Internet")),"")</f>
        <v>99532</v>
      </c>
      <c r="J11" s="470" t="str">
        <f ca="1">IF(N(I11)&gt;0,VLOOKUP(I11,Hraci!$A$1:$I$1500,2,0),IF(TYPE(INDIRECT(ADDRESS(ROW() + $A$9-9 + (ROW()-11)*4,2,1,1,"Internet")))&gt;1,INDIRECT(ADDRESS(ROW() + $A$9-9 + (ROW()-11)*4,2,1,1,"Internet"))," "))</f>
        <v>Michálek</v>
      </c>
      <c r="K11" s="471" t="str">
        <f ca="1">IF(N(I11)&gt;0,VLOOKUP(I11,Hraci!$A$1:$I$1500,3,0)," ")</f>
        <v>Ivo</v>
      </c>
      <c r="L11" s="471" t="str">
        <f ca="1">IF(N(I11)&gt;0,VLOOKUP(I11,Hraci!$A$1:$I$1500,5,0),IF(TYPE(INDIRECT(ADDRESS(ROW() + $A$9-9 + (ROW()-11)*4,3,1,1,"Internet")))&gt;1,INDIRECT(ADDRESS(ROW() + $A$9-9 + (ROW()-11)*4,3,1,1,"Internet"))," "))</f>
        <v>Carreau Brno</v>
      </c>
      <c r="M11" s="472">
        <f ca="1">IF(N(I11)=0,9999,VLOOKUP(I11,Hraci!$A$1:$I$1500,8,0))</f>
        <v>2</v>
      </c>
      <c r="N11" s="473">
        <f ca="1">IF(N(I11)=0,0,VLOOKUP(I11,Hraci!$A$1:$I$1500,9,0))</f>
        <v>54.75</v>
      </c>
      <c r="O11" s="469" t="str">
        <f t="shared" ref="O11:O42" ca="1" si="9">IF(N(INDIRECT(ADDRESS(ROW() + $A$9-8 + (ROW()-11)*4,1,1,1,"Internet")))&gt;0,INDIRECT(ADDRESS(ROW() + $A$9-8 + (ROW()-11)*4,1,1,1,"Internet")),"")</f>
        <v/>
      </c>
      <c r="P11" s="470" t="str">
        <f ca="1">IF(N(O11)&gt;0,VLOOKUP(O11,Hraci!$A$1:$I$1500,2,0),IF(TYPE(INDIRECT(ADDRESS(ROW() + $A$9-8 + (ROW()-11)*4,2,1,1,"Internet")))&gt;1,INDIRECT(ADDRESS(ROW() + $A$9-8 + (ROW()-11)*4,2,1,1,"Internet"))," "))</f>
        <v xml:space="preserve"> </v>
      </c>
      <c r="Q11" s="471" t="str">
        <f ca="1">IF(N(O11)&gt;0,VLOOKUP(O11,Hraci!$A$1:$I$1500,3,0)," ")</f>
        <v xml:space="preserve"> </v>
      </c>
      <c r="R11" s="471" t="str">
        <f ca="1">IF(N(O11)&gt;0,VLOOKUP(O11,Hraci!$A$1:$I$1500,5,0),IF(TYPE(INDIRECT(ADDRESS(ROW() + $A$9-8 + (ROW()-11)*4,3,1,1,"Internet")))&gt;1,INDIRECT(ADDRESS(ROW() + $A$9-8 + (ROW()-11)*4,3,1,1,"Internet"))," "))</f>
        <v xml:space="preserve"> </v>
      </c>
      <c r="S11" s="472">
        <f ca="1">IF(N(O11)=0,9999,VLOOKUP(O11,Hraci!$A$1:$I$1500,8,0))</f>
        <v>9999</v>
      </c>
      <c r="T11" s="473">
        <f ca="1">IF(N(O11)=0,0,VLOOKUP(O11,Hraci!$A$1:$I$1500,9,0))</f>
        <v>0</v>
      </c>
      <c r="U11" s="469" t="str">
        <f t="shared" ref="U11:U42" ca="1" si="10">IF(N(INDIRECT(ADDRESS(ROW() + $A$9-7 + (ROW()-11)*4,1,1,1,"Internet")))&gt;0,INDIRECT(ADDRESS(ROW() + $A$9-7 + (ROW()-11)*4,1,1,1,"Internet")),"")</f>
        <v/>
      </c>
      <c r="V11" s="470" t="str">
        <f ca="1">IF(N(U11)&gt;0,VLOOKUP(U11,Hraci!$A$1:$I$1500,2,0),IF(TYPE(INDIRECT(ADDRESS(ROW() + $A$9-7 + (ROW()-11)*4,2,1,1,"Internet")))&gt;1,INDIRECT(ADDRESS(ROW() + $A$9-7 + (ROW()-11)*4,2,1,1,"Internet"))," "))</f>
        <v xml:space="preserve"> </v>
      </c>
      <c r="W11" s="471" t="str">
        <f ca="1">IF(N(U11)&gt;0,VLOOKUP(U11,Hraci!$A$1:$I$1500,3,0)," ")</f>
        <v xml:space="preserve"> </v>
      </c>
      <c r="X11" s="471" t="str">
        <f ca="1">IF(N(U11)&gt;0,VLOOKUP(U11,Hraci!$A$1:$I$1500,5,0),IF(TYPE(INDIRECT(ADDRESS(ROW() + $A$9-7 + (ROW()-11)*4,3,1,1,"Internet")))&gt;1,INDIRECT(ADDRESS(ROW() + $A$9-7 + (ROW()-11)*4,3,1,1,"Internet"))," "))</f>
        <v xml:space="preserve"> </v>
      </c>
      <c r="Y11" s="472">
        <f ca="1">IF(N(U11)=0,9999,VLOOKUP(U11,Hraci!$A$1:$I$1500,8,0))</f>
        <v>9999</v>
      </c>
      <c r="Z11" s="473">
        <f ca="1">IF(N(U11)=0,0,VLOOKUP(U11,Hraci!$A$1:$I$1500,9,0))</f>
        <v>0</v>
      </c>
      <c r="AA11" s="469" t="str">
        <f t="shared" ref="AA11:AA42" ca="1" si="11">IF(N(INDIRECT(ADDRESS(ROW() + $A$9-6 + (ROW()-11)*4,1,1,1,"Internet")))&gt;0,INDIRECT(ADDRESS(ROW() + $A$9-6 + (ROW()-11)*4,1,1,1,"Internet")),"")</f>
        <v/>
      </c>
      <c r="AB11" s="470" t="str">
        <f ca="1">IF(N(AA11)&gt;0,VLOOKUP(AA11,Hraci!$A$1:$I$1500,2,0)," ")</f>
        <v xml:space="preserve"> </v>
      </c>
      <c r="AC11" s="471" t="str">
        <f ca="1">IF(N(AA11)&gt;0,VLOOKUP(AA11,Hraci!$A$1:$I$1500,3,0)," ")</f>
        <v xml:space="preserve"> </v>
      </c>
      <c r="AD11" s="471" t="str">
        <f ca="1">IF(N(AA11)&gt;0,VLOOKUP(AA11,Hraci!$A$1:$I$1500,5,0)," ")</f>
        <v xml:space="preserve"> </v>
      </c>
      <c r="AE11" s="472">
        <f ca="1">IF(N(AA11)=0,9999,VLOOKUP(AA11,Hraci!$A$1:$I$1500,8,0))</f>
        <v>9999</v>
      </c>
      <c r="AF11" s="473">
        <f ca="1">IF(N(AA11)=0,0,VLOOKUP(AA11,Hraci!$A$1:$I$1500,9,0))</f>
        <v>0</v>
      </c>
      <c r="AG11" s="474"/>
      <c r="AH11" s="480">
        <v>32</v>
      </c>
      <c r="AI11" s="475">
        <f ca="1">IF(N($AH11)&gt;0,VLOOKUP($AH11,Body!$A$4:$F$259,5,0),"")</f>
        <v>332.52743750000002</v>
      </c>
      <c r="AJ11" s="476">
        <f ca="1">IF(N($AH11)&gt;0,VLOOKUP($AH11,Body!$A$4:$F$259,6,0),"")</f>
        <v>200</v>
      </c>
      <c r="AK11" s="475">
        <f ca="1">IF(N($AH11)&gt;0,VLOOKUP($AH11,Body!$A$4:$F$259,2,0),"")</f>
        <v>3</v>
      </c>
      <c r="AL11" s="477" t="str">
        <f t="shared" ref="AL11:AL42" ca="1" si="12">IF(N(H11)&gt;$K$7,"",CONCATENATE(IF($U$7="","",H11&amp;" "),L11,IF(L11="",""," - "),J11," ",K11))</f>
        <v>1 Carreau Brno - Michálek Ivo</v>
      </c>
      <c r="AM11" s="478">
        <f t="shared" ref="AM11:AM42" ca="1" si="13">C11</f>
        <v>54.75</v>
      </c>
      <c r="AN11" s="408">
        <f ca="1">IF(OR(TYPE(I11)&gt;1,TYPE(MATCH(I11,I12:I$267,0))&gt;1),0,MATCH(I11,I12:I$267,0))+IF(OR(TYPE(I11)&gt;1,TYPE(MATCH(I11,O$11:O$267,0))&gt;1),0,MATCH(I11,O$11:O$267,0))+IF(OR(TYPE(I11)&gt;1,TYPE(MATCH(I11,U$11:U$267,0))&gt;1),0,MATCH(I11,U$11:U$267,0))+IF(OR(TYPE(I11)&gt;1,TYPE(MATCH(I11,AA$11:AA$267,0))&gt;1),0,MATCH(I11,AA$11:AA$267,0))</f>
        <v>0</v>
      </c>
      <c r="AO11" s="408">
        <f ca="1">IF(OR(TYPE(O11)&gt;1,TYPE(MATCH(O11,I$11:I$267,0))&gt;1),0,MATCH(O11,I$11:I$267,0))+IF(OR(TYPE(O11)&gt;1,TYPE(MATCH(O11,O12:O$267,0))&gt;1),0,MATCH(O11,O12:O$267,0))+IF(OR(TYPE(O11)&gt;1,TYPE(MATCH(O11,U$11:U$267,0))&gt;1),0,MATCH(O11,U$11:U$267,0))+IF(OR(TYPE(O11)&gt;1,TYPE(MATCH(O11,AA$11:AA$267,0))&gt;1),0,MATCH(O11,AA$11:AA$267,0))</f>
        <v>0</v>
      </c>
      <c r="AP11" s="408">
        <f ca="1">IF(OR(TYPE(U11)&gt;1,TYPE(MATCH(U11,I$11:I$267,0))&gt;1),0,MATCH(U11,I$11:I$267,0))+IF(OR(TYPE(U11)&gt;1,TYPE(MATCH(U11,O$11:O$267,0))&gt;1),0,MATCH(U11,O$11:O$267,0))+IF(OR(TYPE(U11)&gt;1,TYPE(MATCH(U11,U12:U$267,0))&gt;1),0,MATCH(U11,U12:U$267,0))+IF(OR(TYPE(U11)&gt;1,TYPE(MATCH(U11,AA$11:AA$267,0))&gt;1),0,MATCH(U11,AA$11:AA$267,0))</f>
        <v>0</v>
      </c>
      <c r="AQ11" s="408">
        <f ca="1">IF(OR(TYPE(AA11)&gt;1,TYPE(MATCH(AA11,I$11:I$267,0))&gt;1),0,MATCH(AA11,I$11:I$267,0))+IF(OR(TYPE(AA11)&gt;1,TYPE(MATCH(AA11,O$11:O$267,0))&gt;1),0,MATCH(AA11,O$11:O$267,0))+IF(OR(TYPE(AA11)&gt;1,TYPE(MATCH(AA11,U$11:U$267,0))&gt;1),0,MATCH(U11,U$11:U$267,0))+IF(OR(TYPE(AA11)&gt;1,TYPE(MATCH(AA11,AA12:AA$267,0))&gt;1),0,MATCH(AA11,AA12:AA$267,0))</f>
        <v>0</v>
      </c>
      <c r="AR11" s="408">
        <f ca="1">SUM(AN11:AQ11)</f>
        <v>0</v>
      </c>
      <c r="BF11" s="408">
        <f>H11</f>
        <v>1</v>
      </c>
    </row>
    <row r="12" spans="1:58" ht="14.25">
      <c r="A12" s="430">
        <f t="shared" ca="1" si="0"/>
        <v>1</v>
      </c>
      <c r="B12" s="430">
        <f t="shared" ca="1" si="1"/>
        <v>1</v>
      </c>
      <c r="C12" s="430">
        <f t="shared" ca="1" si="2"/>
        <v>54.5</v>
      </c>
      <c r="D12" s="430">
        <f t="shared" ca="1" si="3"/>
        <v>20002</v>
      </c>
      <c r="E12" s="430">
        <f t="shared" ca="1" si="4"/>
        <v>4</v>
      </c>
      <c r="F12" s="431" t="str">
        <f t="shared" ca="1" si="5"/>
        <v>91054500979997999995950755</v>
      </c>
      <c r="G12" s="467" t="b">
        <f t="shared" ca="1" si="6"/>
        <v>0</v>
      </c>
      <c r="H12" s="468">
        <f t="shared" si="7"/>
        <v>2</v>
      </c>
      <c r="I12" s="469">
        <f t="shared" ca="1" si="8"/>
        <v>29062</v>
      </c>
      <c r="J12" s="470" t="str">
        <f ca="1">IF(N(I12)&gt;0,VLOOKUP(I12,Hraci!$A$1:$I$1500,2,0),IF(TYPE(INDIRECT(ADDRESS(ROW() + $A$9-9 + (ROW()-11)*4,2,1,1,"Internet")))&gt;1,INDIRECT(ADDRESS(ROW() + $A$9-9 + (ROW()-11)*4,2,1,1,"Internet"))," "))</f>
        <v>Vavrovič</v>
      </c>
      <c r="K12" s="471" t="str">
        <f ca="1">IF(N(I12)&gt;0,VLOOKUP(I12,Hraci!$A$1:$I$1500,3,0)," ")</f>
        <v>Petr ml.</v>
      </c>
      <c r="L12" s="471" t="str">
        <f ca="1">IF(N(I12)&gt;0,VLOOKUP(I12,Hraci!$A$1:$I$1500,5,0),IF(TYPE(INDIRECT(ADDRESS(ROW() + $A$9-9 + (ROW()-11)*4,3,1,1,"Internet")))&gt;1,INDIRECT(ADDRESS(ROW() + $A$9-9 + (ROW()-11)*4,3,1,1,"Internet"))," "))</f>
        <v>PC Sokol Lipník</v>
      </c>
      <c r="M12" s="472">
        <f ca="1">IF(N(I12)=0,9999,VLOOKUP(I12,Hraci!$A$1:$I$1500,8,0))</f>
        <v>4</v>
      </c>
      <c r="N12" s="473">
        <f ca="1">IF(N(I12)=0,0,VLOOKUP(I12,Hraci!$A$1:$I$1500,9,0))</f>
        <v>54.5</v>
      </c>
      <c r="O12" s="469" t="str">
        <f t="shared" ca="1" si="9"/>
        <v/>
      </c>
      <c r="P12" s="470" t="str">
        <f ca="1">IF(N(O12)&gt;0,VLOOKUP(O12,Hraci!$A$1:$I$1500,2,0),IF(TYPE(INDIRECT(ADDRESS(ROW() + $A$9-8 + (ROW()-11)*4,2,1,1,"Internet")))&gt;1,INDIRECT(ADDRESS(ROW() + $A$9-8 + (ROW()-11)*4,2,1,1,"Internet"))," "))</f>
        <v xml:space="preserve"> </v>
      </c>
      <c r="Q12" s="471" t="str">
        <f ca="1">IF(N(O12)&gt;0,VLOOKUP(O12,Hraci!$A$1:$I$1500,3,0)," ")</f>
        <v xml:space="preserve"> </v>
      </c>
      <c r="R12" s="471" t="str">
        <f ca="1">IF(N(O12)&gt;0,VLOOKUP(O12,Hraci!$A$1:$I$1500,5,0),IF(TYPE(INDIRECT(ADDRESS(ROW() + $A$9-8 + (ROW()-11)*4,3,1,1,"Internet")))&gt;1,INDIRECT(ADDRESS(ROW() + $A$9-8 + (ROW()-11)*4,3,1,1,"Internet"))," "))</f>
        <v xml:space="preserve"> </v>
      </c>
      <c r="S12" s="472">
        <f ca="1">IF(N(O12)=0,9999,VLOOKUP(O12,Hraci!$A$1:$I$1500,8,0))</f>
        <v>9999</v>
      </c>
      <c r="T12" s="473">
        <f ca="1">IF(N(O12)=0,0,VLOOKUP(O12,Hraci!$A$1:$I$1500,9,0))</f>
        <v>0</v>
      </c>
      <c r="U12" s="469" t="str">
        <f t="shared" ca="1" si="10"/>
        <v/>
      </c>
      <c r="V12" s="470" t="str">
        <f ca="1">IF(N(U12)&gt;0,VLOOKUP(U12,Hraci!$A$1:$I$1500,2,0),IF(TYPE(INDIRECT(ADDRESS(ROW() + $A$9-7 + (ROW()-11)*4,2,1,1,"Internet")))&gt;1,INDIRECT(ADDRESS(ROW() + $A$9-7 + (ROW()-11)*4,2,1,1,"Internet"))," "))</f>
        <v xml:space="preserve"> </v>
      </c>
      <c r="W12" s="471" t="str">
        <f ca="1">IF(N(U12)&gt;0,VLOOKUP(U12,Hraci!$A$1:$I$1500,3,0)," ")</f>
        <v xml:space="preserve"> </v>
      </c>
      <c r="X12" s="471" t="str">
        <f ca="1">IF(N(U12)&gt;0,VLOOKUP(U12,Hraci!$A$1:$I$1500,5,0),IF(TYPE(INDIRECT(ADDRESS(ROW() + $A$9-7 + (ROW()-11)*4,3,1,1,"Internet")))&gt;1,INDIRECT(ADDRESS(ROW() + $A$9-7 + (ROW()-11)*4,3,1,1,"Internet"))," "))</f>
        <v xml:space="preserve"> </v>
      </c>
      <c r="Y12" s="472">
        <f ca="1">IF(N(U12)=0,9999,VLOOKUP(U12,Hraci!$A$1:$I$1500,8,0))</f>
        <v>9999</v>
      </c>
      <c r="Z12" s="473">
        <f ca="1">IF(N(U12)=0,0,VLOOKUP(U12,Hraci!$A$1:$I$1500,9,0))</f>
        <v>0</v>
      </c>
      <c r="AA12" s="469" t="str">
        <f t="shared" ca="1" si="11"/>
        <v/>
      </c>
      <c r="AB12" s="470" t="str">
        <f ca="1">IF(N(AA12)&gt;0,VLOOKUP(AA12,Hraci!$A$1:$I$1500,2,0)," ")</f>
        <v xml:space="preserve"> </v>
      </c>
      <c r="AC12" s="471" t="str">
        <f ca="1">IF(N(AA12)&gt;0,VLOOKUP(AA12,Hraci!$A$1:$I$1500,3,0)," ")</f>
        <v xml:space="preserve"> </v>
      </c>
      <c r="AD12" s="471" t="str">
        <f ca="1">IF(N(AA12)&gt;0,VLOOKUP(AA12,Hraci!$A$1:$I$1500,5,0)," ")</f>
        <v xml:space="preserve"> </v>
      </c>
      <c r="AE12" s="472">
        <f ca="1">IF(N(AA12)=0,9999,VLOOKUP(AA12,Hraci!$A$1:$I$1500,8,0))</f>
        <v>9999</v>
      </c>
      <c r="AF12" s="473">
        <f ca="1">IF(N(AA12)=0,0,VLOOKUP(AA12,Hraci!$A$1:$I$1500,9,0))</f>
        <v>0</v>
      </c>
      <c r="AG12" s="474"/>
      <c r="AH12" s="480">
        <v>3</v>
      </c>
      <c r="AI12" s="475">
        <f ca="1">IF(N($AH12)&gt;0,VLOOKUP($AH12,Body!$A$4:$F$259,5,0),"")</f>
        <v>487.14278124999998</v>
      </c>
      <c r="AJ12" s="476">
        <f ca="1">IF(N($AH12)&gt;0,VLOOKUP($AH12,Body!$A$4:$F$259,6,0),"")</f>
        <v>200</v>
      </c>
      <c r="AK12" s="475">
        <f ca="1">IF(N($AH12)&gt;0,VLOOKUP($AH12,Body!$A$4:$F$259,2,0),"")</f>
        <v>6.5</v>
      </c>
      <c r="AL12" s="477" t="str">
        <f t="shared" ca="1" si="12"/>
        <v>2 PC Sokol Lipník - Vavrovič Petr ml.</v>
      </c>
      <c r="AM12" s="478">
        <f t="shared" ca="1" si="13"/>
        <v>54.5</v>
      </c>
      <c r="AN12" s="408">
        <f ca="1">IF(OR(TYPE(I12)&gt;1,TYPE(MATCH(I12,I13:I$267,0))&gt;1),0,MATCH(I12,I13:I$267,0))+IF(OR(TYPE(I12)&gt;1,TYPE(MATCH(I12,O$11:O$267,0))&gt;1),0,MATCH(I12,O$11:O$267,0))+IF(OR(TYPE(I12)&gt;1,TYPE(MATCH(I12,U$11:U$267,0))&gt;1),0,MATCH(I12,U$11:U$267,0))+IF(OR(TYPE(I12)&gt;1,TYPE(MATCH(I12,AA$11:AA$267,0))&gt;1),0,MATCH(I12,AA$11:AA$267,0))</f>
        <v>0</v>
      </c>
      <c r="AO12" s="408">
        <f ca="1">IF(OR(TYPE(O12)&gt;1,TYPE(MATCH(O12,I$11:I$267,0))&gt;1),0,MATCH(O12,I$11:I$267,0))+IF(OR(TYPE(O12)&gt;1,TYPE(MATCH(O12,O13:O$267,0))&gt;1),0,MATCH(O12,O13:O$267,0))+IF(OR(TYPE(O12)&gt;1,TYPE(MATCH(O12,U$11:U$267,0))&gt;1),0,MATCH(O12,U$11:U$267,0))+IF(OR(TYPE(O12)&gt;1,TYPE(MATCH(O12,AA$11:AA$267,0))&gt;1),0,MATCH(O12,AA$11:AA$267,0))</f>
        <v>0</v>
      </c>
      <c r="AP12" s="408">
        <f ca="1">IF(OR(TYPE(U12)&gt;1,TYPE(MATCH(U12,I$11:I$267,0))&gt;1),0,MATCH(U12,I$11:I$267,0))+IF(OR(TYPE(U12)&gt;1,TYPE(MATCH(U12,O$11:O$267,0))&gt;1),0,MATCH(U12,O$11:O$267,0))+IF(OR(TYPE(U12)&gt;1,TYPE(MATCH(U12,U13:U$267,0))&gt;1),0,MATCH(U12,U13:U$267,0))+IF(OR(TYPE(U12)&gt;1,TYPE(MATCH(U12,AA$11:AA$267,0))&gt;1),0,MATCH(U12,AA$11:AA$267,0))</f>
        <v>0</v>
      </c>
      <c r="AQ12" s="408">
        <f ca="1">IF(OR(TYPE(AA12)&gt;1,TYPE(MATCH(AA12,I$11:I$267,0))&gt;1),0,MATCH(AA12,I$11:I$267,0))+IF(OR(TYPE(AA12)&gt;1,TYPE(MATCH(AA12,O$11:O$267,0))&gt;1),0,MATCH(AA12,O$11:O$267,0))+IF(OR(TYPE(AA12)&gt;1,TYPE(MATCH(AA12,U$11:U$267,0))&gt;1),0,MATCH(U12,U$11:U$267,0))+IF(OR(TYPE(AA12)&gt;1,TYPE(MATCH(AA12,AA13:AA$267,0))&gt;1),0,MATCH(AA12,AA13:AA$267,0))</f>
        <v>0</v>
      </c>
      <c r="AR12" s="408">
        <f t="shared" ref="AR12:AR75" ca="1" si="14">SUM(AN12:AQ12)</f>
        <v>0</v>
      </c>
      <c r="BF12" s="408">
        <f t="shared" ref="BF12:BF75" si="15">H12</f>
        <v>2</v>
      </c>
    </row>
    <row r="13" spans="1:58" ht="14.25">
      <c r="A13" s="430">
        <f t="shared" ca="1" si="0"/>
        <v>1</v>
      </c>
      <c r="B13" s="430">
        <f t="shared" ca="1" si="1"/>
        <v>1</v>
      </c>
      <c r="C13" s="430">
        <f t="shared" ca="1" si="2"/>
        <v>54</v>
      </c>
      <c r="D13" s="430">
        <f t="shared" ca="1" si="3"/>
        <v>20004</v>
      </c>
      <c r="E13" s="430">
        <f t="shared" ca="1" si="4"/>
        <v>6</v>
      </c>
      <c r="F13" s="431" t="str">
        <f t="shared" ca="1" si="5"/>
        <v>91054000979995999993849077</v>
      </c>
      <c r="G13" s="467" t="b">
        <f t="shared" ca="1" si="6"/>
        <v>0</v>
      </c>
      <c r="H13" s="468">
        <f t="shared" si="7"/>
        <v>3</v>
      </c>
      <c r="I13" s="469">
        <f t="shared" ca="1" si="8"/>
        <v>21774</v>
      </c>
      <c r="J13" s="470" t="str">
        <f ca="1">IF(N(I13)&gt;0,VLOOKUP(I13,Hraci!$A$1:$I$1500,2,0),IF(TYPE(INDIRECT(ADDRESS(ROW() + $A$9-9 + (ROW()-11)*4,2,1,1,"Internet")))&gt;1,INDIRECT(ADDRESS(ROW() + $A$9-9 + (ROW()-11)*4,2,1,1,"Internet"))," "))</f>
        <v>Michálek</v>
      </c>
      <c r="K13" s="471" t="str">
        <f ca="1">IF(N(I13)&gt;0,VLOOKUP(I13,Hraci!$A$1:$I$1500,3,0)," ")</f>
        <v>Tomáš</v>
      </c>
      <c r="L13" s="471" t="str">
        <f ca="1">IF(N(I13)&gt;0,VLOOKUP(I13,Hraci!$A$1:$I$1500,5,0),IF(TYPE(INDIRECT(ADDRESS(ROW() + $A$9-9 + (ROW()-11)*4,3,1,1,"Internet")))&gt;1,INDIRECT(ADDRESS(ROW() + $A$9-9 + (ROW()-11)*4,3,1,1,"Internet"))," "))</f>
        <v>Carreau Brno</v>
      </c>
      <c r="M13" s="472">
        <f ca="1">IF(N(I13)=0,9999,VLOOKUP(I13,Hraci!$A$1:$I$1500,8,0))</f>
        <v>6</v>
      </c>
      <c r="N13" s="473">
        <f ca="1">IF(N(I13)=0,0,VLOOKUP(I13,Hraci!$A$1:$I$1500,9,0))</f>
        <v>54</v>
      </c>
      <c r="O13" s="469" t="str">
        <f t="shared" ca="1" si="9"/>
        <v/>
      </c>
      <c r="P13" s="470" t="str">
        <f ca="1">IF(N(O13)&gt;0,VLOOKUP(O13,Hraci!$A$1:$I$1500,2,0),IF(TYPE(INDIRECT(ADDRESS(ROW() + $A$9-8 + (ROW()-11)*4,2,1,1,"Internet")))&gt;1,INDIRECT(ADDRESS(ROW() + $A$9-8 + (ROW()-11)*4,2,1,1,"Internet"))," "))</f>
        <v xml:space="preserve"> </v>
      </c>
      <c r="Q13" s="471" t="str">
        <f ca="1">IF(N(O13)&gt;0,VLOOKUP(O13,Hraci!$A$1:$I$1500,3,0)," ")</f>
        <v xml:space="preserve"> </v>
      </c>
      <c r="R13" s="471" t="str">
        <f ca="1">IF(N(O13)&gt;0,VLOOKUP(O13,Hraci!$A$1:$I$1500,5,0),IF(TYPE(INDIRECT(ADDRESS(ROW() + $A$9-8 + (ROW()-11)*4,3,1,1,"Internet")))&gt;1,INDIRECT(ADDRESS(ROW() + $A$9-8 + (ROW()-11)*4,3,1,1,"Internet"))," "))</f>
        <v xml:space="preserve"> </v>
      </c>
      <c r="S13" s="472">
        <f ca="1">IF(N(O13)=0,9999,VLOOKUP(O13,Hraci!$A$1:$I$1500,8,0))</f>
        <v>9999</v>
      </c>
      <c r="T13" s="473">
        <f ca="1">IF(N(O13)=0,0,VLOOKUP(O13,Hraci!$A$1:$I$1500,9,0))</f>
        <v>0</v>
      </c>
      <c r="U13" s="469" t="str">
        <f t="shared" ca="1" si="10"/>
        <v/>
      </c>
      <c r="V13" s="470" t="str">
        <f ca="1">IF(N(U13)&gt;0,VLOOKUP(U13,Hraci!$A$1:$I$1500,2,0),IF(TYPE(INDIRECT(ADDRESS(ROW() + $A$9-7 + (ROW()-11)*4,2,1,1,"Internet")))&gt;1,INDIRECT(ADDRESS(ROW() + $A$9-7 + (ROW()-11)*4,2,1,1,"Internet"))," "))</f>
        <v xml:space="preserve"> </v>
      </c>
      <c r="W13" s="471" t="str">
        <f ca="1">IF(N(U13)&gt;0,VLOOKUP(U13,Hraci!$A$1:$I$1500,3,0)," ")</f>
        <v xml:space="preserve"> </v>
      </c>
      <c r="X13" s="471" t="str">
        <f ca="1">IF(N(U13)&gt;0,VLOOKUP(U13,Hraci!$A$1:$I$1500,5,0),IF(TYPE(INDIRECT(ADDRESS(ROW() + $A$9-7 + (ROW()-11)*4,3,1,1,"Internet")))&gt;1,INDIRECT(ADDRESS(ROW() + $A$9-7 + (ROW()-11)*4,3,1,1,"Internet"))," "))</f>
        <v xml:space="preserve"> </v>
      </c>
      <c r="Y13" s="472">
        <f ca="1">IF(N(U13)=0,9999,VLOOKUP(U13,Hraci!$A$1:$I$1500,8,0))</f>
        <v>9999</v>
      </c>
      <c r="Z13" s="473">
        <f ca="1">IF(N(U13)=0,0,VLOOKUP(U13,Hraci!$A$1:$I$1500,9,0))</f>
        <v>0</v>
      </c>
      <c r="AA13" s="469" t="str">
        <f t="shared" ca="1" si="11"/>
        <v/>
      </c>
      <c r="AB13" s="470" t="str">
        <f ca="1">IF(N(AA13)&gt;0,VLOOKUP(AA13,Hraci!$A$1:$I$1500,2,0)," ")</f>
        <v xml:space="preserve"> </v>
      </c>
      <c r="AC13" s="471" t="str">
        <f ca="1">IF(N(AA13)&gt;0,VLOOKUP(AA13,Hraci!$A$1:$I$1500,3,0)," ")</f>
        <v xml:space="preserve"> </v>
      </c>
      <c r="AD13" s="471" t="str">
        <f ca="1">IF(N(AA13)&gt;0,VLOOKUP(AA13,Hraci!$A$1:$I$1500,5,0)," ")</f>
        <v xml:space="preserve"> </v>
      </c>
      <c r="AE13" s="472">
        <f ca="1">IF(N(AA13)=0,9999,VLOOKUP(AA13,Hraci!$A$1:$I$1500,8,0))</f>
        <v>9999</v>
      </c>
      <c r="AF13" s="473">
        <f ca="1">IF(N(AA13)=0,0,VLOOKUP(AA13,Hraci!$A$1:$I$1500,9,0))</f>
        <v>0</v>
      </c>
      <c r="AG13" s="474"/>
      <c r="AH13" s="480">
        <v>1</v>
      </c>
      <c r="AI13" s="475">
        <f ca="1">IF(N($AH13)&gt;0,VLOOKUP($AH13,Body!$A$4:$F$259,5,0),"")</f>
        <v>553.40650000000005</v>
      </c>
      <c r="AJ13" s="476">
        <f ca="1">IF(N($AH13)&gt;0,VLOOKUP($AH13,Body!$A$4:$F$259,6,0),"")</f>
        <v>200</v>
      </c>
      <c r="AK13" s="475">
        <f ca="1">IF(N($AH13)&gt;0,VLOOKUP($AH13,Body!$A$4:$F$259,2,0),"")</f>
        <v>8</v>
      </c>
      <c r="AL13" s="477" t="str">
        <f t="shared" ca="1" si="12"/>
        <v>3 Carreau Brno - Michálek Tomáš</v>
      </c>
      <c r="AM13" s="478">
        <f t="shared" ca="1" si="13"/>
        <v>54</v>
      </c>
      <c r="AN13" s="408">
        <f ca="1">IF(OR(TYPE(I13)&gt;1,TYPE(MATCH(I13,I14:I$267,0))&gt;1),0,MATCH(I13,I14:I$267,0))+IF(OR(TYPE(I13)&gt;1,TYPE(MATCH(I13,O$11:O$267,0))&gt;1),0,MATCH(I13,O$11:O$267,0))+IF(OR(TYPE(I13)&gt;1,TYPE(MATCH(I13,U$11:U$267,0))&gt;1),0,MATCH(I13,U$11:U$267,0))+IF(OR(TYPE(I13)&gt;1,TYPE(MATCH(I13,AA$11:AA$267,0))&gt;1),0,MATCH(I13,AA$11:AA$267,0))</f>
        <v>0</v>
      </c>
      <c r="AO13" s="408">
        <f ca="1">IF(OR(TYPE(O13)&gt;1,TYPE(MATCH(O13,I$11:I$267,0))&gt;1),0,MATCH(O13,I$11:I$267,0))+IF(OR(TYPE(O13)&gt;1,TYPE(MATCH(O13,O14:O$267,0))&gt;1),0,MATCH(O13,O14:O$267,0))+IF(OR(TYPE(O13)&gt;1,TYPE(MATCH(O13,U$11:U$267,0))&gt;1),0,MATCH(O13,U$11:U$267,0))+IF(OR(TYPE(O13)&gt;1,TYPE(MATCH(O13,AA$11:AA$267,0))&gt;1),0,MATCH(O13,AA$11:AA$267,0))</f>
        <v>0</v>
      </c>
      <c r="AP13" s="408">
        <f ca="1">IF(OR(TYPE(U13)&gt;1,TYPE(MATCH(U13,I$11:I$267,0))&gt;1),0,MATCH(U13,I$11:I$267,0))+IF(OR(TYPE(U13)&gt;1,TYPE(MATCH(U13,O$11:O$267,0))&gt;1),0,MATCH(U13,O$11:O$267,0))+IF(OR(TYPE(U13)&gt;1,TYPE(MATCH(U13,U14:U$267,0))&gt;1),0,MATCH(U13,U14:U$267,0))+IF(OR(TYPE(U13)&gt;1,TYPE(MATCH(U13,AA$11:AA$267,0))&gt;1),0,MATCH(U13,AA$11:AA$267,0))</f>
        <v>0</v>
      </c>
      <c r="AQ13" s="408">
        <f ca="1">IF(OR(TYPE(AA13)&gt;1,TYPE(MATCH(AA13,I$11:I$267,0))&gt;1),0,MATCH(AA13,I$11:I$267,0))+IF(OR(TYPE(AA13)&gt;1,TYPE(MATCH(AA13,O$11:O$267,0))&gt;1),0,MATCH(AA13,O$11:O$267,0))+IF(OR(TYPE(AA13)&gt;1,TYPE(MATCH(AA13,U$11:U$267,0))&gt;1),0,MATCH(U13,U$11:U$267,0))+IF(OR(TYPE(AA13)&gt;1,TYPE(MATCH(AA13,AA14:AA$267,0))&gt;1),0,MATCH(AA13,AA14:AA$267,0))</f>
        <v>0</v>
      </c>
      <c r="AR13" s="408">
        <f t="shared" ca="1" si="14"/>
        <v>0</v>
      </c>
      <c r="BF13" s="408">
        <f t="shared" si="15"/>
        <v>3</v>
      </c>
    </row>
    <row r="14" spans="1:58" ht="14.25">
      <c r="A14" s="430">
        <f t="shared" ca="1" si="0"/>
        <v>1</v>
      </c>
      <c r="B14" s="430">
        <f t="shared" ca="1" si="1"/>
        <v>1</v>
      </c>
      <c r="C14" s="430">
        <f t="shared" ca="1" si="2"/>
        <v>50.75</v>
      </c>
      <c r="D14" s="430">
        <f t="shared" ca="1" si="3"/>
        <v>19999</v>
      </c>
      <c r="E14" s="430">
        <f t="shared" ca="1" si="4"/>
        <v>1</v>
      </c>
      <c r="F14" s="431" t="str">
        <f t="shared" ca="1" si="5"/>
        <v>91050750980000999998668856</v>
      </c>
      <c r="G14" s="467" t="b">
        <f t="shared" ca="1" si="6"/>
        <v>0</v>
      </c>
      <c r="H14" s="468">
        <f t="shared" si="7"/>
        <v>4</v>
      </c>
      <c r="I14" s="469">
        <f t="shared" ca="1" si="8"/>
        <v>27039</v>
      </c>
      <c r="J14" s="470" t="str">
        <f ca="1">IF(N(I14)&gt;0,VLOOKUP(I14,Hraci!$A$1:$I$1500,2,0),IF(TYPE(INDIRECT(ADDRESS(ROW() + $A$9-9 + (ROW()-11)*4,2,1,1,"Internet")))&gt;1,INDIRECT(ADDRESS(ROW() + $A$9-9 + (ROW()-11)*4,2,1,1,"Internet"))," "))</f>
        <v>Kauca</v>
      </c>
      <c r="K14" s="471" t="str">
        <f ca="1">IF(N(I14)&gt;0,VLOOKUP(I14,Hraci!$A$1:$I$1500,3,0)," ")</f>
        <v>Jindřich</v>
      </c>
      <c r="L14" s="471" t="str">
        <f ca="1">IF(N(I14)&gt;0,VLOOKUP(I14,Hraci!$A$1:$I$1500,5,0),IF(TYPE(INDIRECT(ADDRESS(ROW() + $A$9-9 + (ROW()-11)*4,3,1,1,"Internet")))&gt;1,INDIRECT(ADDRESS(ROW() + $A$9-9 + (ROW()-11)*4,3,1,1,"Internet"))," "))</f>
        <v>PC Kolová</v>
      </c>
      <c r="M14" s="472">
        <f ca="1">IF(N(I14)=0,9999,VLOOKUP(I14,Hraci!$A$1:$I$1500,8,0))</f>
        <v>1</v>
      </c>
      <c r="N14" s="473">
        <f ca="1">IF(N(I14)=0,0,VLOOKUP(I14,Hraci!$A$1:$I$1500,9,0))</f>
        <v>50.75</v>
      </c>
      <c r="O14" s="469" t="str">
        <f t="shared" ca="1" si="9"/>
        <v/>
      </c>
      <c r="P14" s="470" t="str">
        <f ca="1">IF(N(O14)&gt;0,VLOOKUP(O14,Hraci!$A$1:$I$1500,2,0),IF(TYPE(INDIRECT(ADDRESS(ROW() + $A$9-8 + (ROW()-11)*4,2,1,1,"Internet")))&gt;1,INDIRECT(ADDRESS(ROW() + $A$9-8 + (ROW()-11)*4,2,1,1,"Internet"))," "))</f>
        <v xml:space="preserve"> </v>
      </c>
      <c r="Q14" s="471" t="str">
        <f ca="1">IF(N(O14)&gt;0,VLOOKUP(O14,Hraci!$A$1:$I$1500,3,0)," ")</f>
        <v xml:space="preserve"> </v>
      </c>
      <c r="R14" s="471" t="str">
        <f ca="1">IF(N(O14)&gt;0,VLOOKUP(O14,Hraci!$A$1:$I$1500,5,0),IF(TYPE(INDIRECT(ADDRESS(ROW() + $A$9-8 + (ROW()-11)*4,3,1,1,"Internet")))&gt;1,INDIRECT(ADDRESS(ROW() + $A$9-8 + (ROW()-11)*4,3,1,1,"Internet"))," "))</f>
        <v xml:space="preserve"> </v>
      </c>
      <c r="S14" s="472">
        <f ca="1">IF(N(O14)=0,9999,VLOOKUP(O14,Hraci!$A$1:$I$1500,8,0))</f>
        <v>9999</v>
      </c>
      <c r="T14" s="473">
        <f ca="1">IF(N(O14)=0,0,VLOOKUP(O14,Hraci!$A$1:$I$1500,9,0))</f>
        <v>0</v>
      </c>
      <c r="U14" s="469" t="str">
        <f t="shared" ca="1" si="10"/>
        <v/>
      </c>
      <c r="V14" s="470" t="str">
        <f ca="1">IF(N(U14)&gt;0,VLOOKUP(U14,Hraci!$A$1:$I$1500,2,0),IF(TYPE(INDIRECT(ADDRESS(ROW() + $A$9-7 + (ROW()-11)*4,2,1,1,"Internet")))&gt;1,INDIRECT(ADDRESS(ROW() + $A$9-7 + (ROW()-11)*4,2,1,1,"Internet"))," "))</f>
        <v xml:space="preserve"> </v>
      </c>
      <c r="W14" s="471" t="str">
        <f ca="1">IF(N(U14)&gt;0,VLOOKUP(U14,Hraci!$A$1:$I$1500,3,0)," ")</f>
        <v xml:space="preserve"> </v>
      </c>
      <c r="X14" s="471" t="str">
        <f ca="1">IF(N(U14)&gt;0,VLOOKUP(U14,Hraci!$A$1:$I$1500,5,0),IF(TYPE(INDIRECT(ADDRESS(ROW() + $A$9-7 + (ROW()-11)*4,3,1,1,"Internet")))&gt;1,INDIRECT(ADDRESS(ROW() + $A$9-7 + (ROW()-11)*4,3,1,1,"Internet"))," "))</f>
        <v xml:space="preserve"> </v>
      </c>
      <c r="Y14" s="472">
        <f ca="1">IF(N(U14)=0,9999,VLOOKUP(U14,Hraci!$A$1:$I$1500,8,0))</f>
        <v>9999</v>
      </c>
      <c r="Z14" s="473">
        <f ca="1">IF(N(U14)=0,0,VLOOKUP(U14,Hraci!$A$1:$I$1500,9,0))</f>
        <v>0</v>
      </c>
      <c r="AA14" s="469" t="str">
        <f t="shared" ca="1" si="11"/>
        <v/>
      </c>
      <c r="AB14" s="470" t="str">
        <f ca="1">IF(N(AA14)&gt;0,VLOOKUP(AA14,Hraci!$A$1:$I$1500,2,0)," ")</f>
        <v xml:space="preserve"> </v>
      </c>
      <c r="AC14" s="471" t="str">
        <f ca="1">IF(N(AA14)&gt;0,VLOOKUP(AA14,Hraci!$A$1:$I$1500,3,0)," ")</f>
        <v xml:space="preserve"> </v>
      </c>
      <c r="AD14" s="471" t="str">
        <f ca="1">IF(N(AA14)&gt;0,VLOOKUP(AA14,Hraci!$A$1:$I$1500,5,0)," ")</f>
        <v xml:space="preserve"> </v>
      </c>
      <c r="AE14" s="472">
        <f ca="1">IF(N(AA14)=0,9999,VLOOKUP(AA14,Hraci!$A$1:$I$1500,8,0))</f>
        <v>9999</v>
      </c>
      <c r="AF14" s="473">
        <f ca="1">IF(N(AA14)=0,0,VLOOKUP(AA14,Hraci!$A$1:$I$1500,9,0))</f>
        <v>0</v>
      </c>
      <c r="AG14" s="474"/>
      <c r="AH14" s="480">
        <v>15</v>
      </c>
      <c r="AI14" s="475">
        <f ca="1">IF(N($AH14)&gt;0,VLOOKUP($AH14,Body!$A$4:$F$259,5,0),"")</f>
        <v>382.22522656249998</v>
      </c>
      <c r="AJ14" s="476">
        <f ca="1">IF(N($AH14)&gt;0,VLOOKUP($AH14,Body!$A$4:$F$259,6,0),"")</f>
        <v>200</v>
      </c>
      <c r="AK14" s="475">
        <f ca="1">IF(N($AH14)&gt;0,VLOOKUP($AH14,Body!$A$4:$F$259,2,0),"")</f>
        <v>4.125</v>
      </c>
      <c r="AL14" s="477" t="str">
        <f t="shared" ca="1" si="12"/>
        <v>4 PC Kolová - Kauca Jindřich</v>
      </c>
      <c r="AM14" s="478">
        <f t="shared" ca="1" si="13"/>
        <v>50.75</v>
      </c>
      <c r="AN14" s="408">
        <f ca="1">IF(OR(TYPE(I14)&gt;1,TYPE(MATCH(I14,I15:I$267,0))&gt;1),0,MATCH(I14,I15:I$267,0))+IF(OR(TYPE(I14)&gt;1,TYPE(MATCH(I14,O$11:O$267,0))&gt;1),0,MATCH(I14,O$11:O$267,0))+IF(OR(TYPE(I14)&gt;1,TYPE(MATCH(I14,U$11:U$267,0))&gt;1),0,MATCH(I14,U$11:U$267,0))+IF(OR(TYPE(I14)&gt;1,TYPE(MATCH(I14,AA$11:AA$267,0))&gt;1),0,MATCH(I14,AA$11:AA$267,0))</f>
        <v>0</v>
      </c>
      <c r="AO14" s="408">
        <f ca="1">IF(OR(TYPE(O14)&gt;1,TYPE(MATCH(O14,I$11:I$267,0))&gt;1),0,MATCH(O14,I$11:I$267,0))+IF(OR(TYPE(O14)&gt;1,TYPE(MATCH(O14,O15:O$267,0))&gt;1),0,MATCH(O14,O15:O$267,0))+IF(OR(TYPE(O14)&gt;1,TYPE(MATCH(O14,U$11:U$267,0))&gt;1),0,MATCH(O14,U$11:U$267,0))+IF(OR(TYPE(O14)&gt;1,TYPE(MATCH(O14,AA$11:AA$267,0))&gt;1),0,MATCH(O14,AA$11:AA$267,0))</f>
        <v>0</v>
      </c>
      <c r="AP14" s="408">
        <f ca="1">IF(OR(TYPE(U14)&gt;1,TYPE(MATCH(U14,I$11:I$267,0))&gt;1),0,MATCH(U14,I$11:I$267,0))+IF(OR(TYPE(U14)&gt;1,TYPE(MATCH(U14,O$11:O$267,0))&gt;1),0,MATCH(U14,O$11:O$267,0))+IF(OR(TYPE(U14)&gt;1,TYPE(MATCH(U14,U15:U$267,0))&gt;1),0,MATCH(U14,U15:U$267,0))+IF(OR(TYPE(U14)&gt;1,TYPE(MATCH(U14,AA$11:AA$267,0))&gt;1),0,MATCH(U14,AA$11:AA$267,0))</f>
        <v>0</v>
      </c>
      <c r="AQ14" s="408">
        <f ca="1">IF(OR(TYPE(AA14)&gt;1,TYPE(MATCH(AA14,I$11:I$267,0))&gt;1),0,MATCH(AA14,I$11:I$267,0))+IF(OR(TYPE(AA14)&gt;1,TYPE(MATCH(AA14,O$11:O$267,0))&gt;1),0,MATCH(AA14,O$11:O$267,0))+IF(OR(TYPE(AA14)&gt;1,TYPE(MATCH(AA14,U$11:U$267,0))&gt;1),0,MATCH(U14,U$11:U$267,0))+IF(OR(TYPE(AA14)&gt;1,TYPE(MATCH(AA14,AA15:AA$267,0))&gt;1),0,MATCH(AA14,AA15:AA$267,0))</f>
        <v>0</v>
      </c>
      <c r="AR14" s="408">
        <f t="shared" ca="1" si="14"/>
        <v>0</v>
      </c>
      <c r="BF14" s="408">
        <f t="shared" si="15"/>
        <v>4</v>
      </c>
    </row>
    <row r="15" spans="1:58" ht="14.25">
      <c r="A15" s="430">
        <f t="shared" ca="1" si="0"/>
        <v>1</v>
      </c>
      <c r="B15" s="430">
        <f t="shared" ca="1" si="1"/>
        <v>1</v>
      </c>
      <c r="C15" s="430">
        <f t="shared" ca="1" si="2"/>
        <v>48</v>
      </c>
      <c r="D15" s="430">
        <f t="shared" ca="1" si="3"/>
        <v>20003</v>
      </c>
      <c r="E15" s="430">
        <f t="shared" ca="1" si="4"/>
        <v>5</v>
      </c>
      <c r="F15" s="431" t="str">
        <f t="shared" ca="1" si="5"/>
        <v>91048000979996999994634596</v>
      </c>
      <c r="G15" s="467" t="b">
        <f t="shared" ca="1" si="6"/>
        <v>0</v>
      </c>
      <c r="H15" s="468">
        <f t="shared" si="7"/>
        <v>5</v>
      </c>
      <c r="I15" s="469">
        <f t="shared" ca="1" si="8"/>
        <v>12022</v>
      </c>
      <c r="J15" s="470" t="str">
        <f ca="1">IF(N(I15)&gt;0,VLOOKUP(I15,Hraci!$A$1:$I$1500,2,0),IF(TYPE(INDIRECT(ADDRESS(ROW() + $A$9-9 + (ROW()-11)*4,2,1,1,"Internet")))&gt;1,INDIRECT(ADDRESS(ROW() + $A$9-9 + (ROW()-11)*4,2,1,1,"Internet"))," "))</f>
        <v>Slobodová</v>
      </c>
      <c r="K15" s="471" t="str">
        <f ca="1">IF(N(I15)&gt;0,VLOOKUP(I15,Hraci!$A$1:$I$1500,3,0)," ")</f>
        <v>Veronika</v>
      </c>
      <c r="L15" s="471" t="str">
        <f ca="1">IF(N(I15)&gt;0,VLOOKUP(I15,Hraci!$A$1:$I$1500,5,0),IF(TYPE(INDIRECT(ADDRESS(ROW() + $A$9-9 + (ROW()-11)*4,3,1,1,"Internet")))&gt;1,INDIRECT(ADDRESS(ROW() + $A$9-9 + (ROW()-11)*4,3,1,1,"Internet"))," "))</f>
        <v>Carreau Brno</v>
      </c>
      <c r="M15" s="472">
        <f ca="1">IF(N(I15)=0,9999,VLOOKUP(I15,Hraci!$A$1:$I$1500,8,0))</f>
        <v>5</v>
      </c>
      <c r="N15" s="473">
        <f ca="1">IF(N(I15)=0,0,VLOOKUP(I15,Hraci!$A$1:$I$1500,9,0))</f>
        <v>48</v>
      </c>
      <c r="O15" s="469" t="str">
        <f t="shared" ca="1" si="9"/>
        <v/>
      </c>
      <c r="P15" s="470" t="str">
        <f ca="1">IF(N(O15)&gt;0,VLOOKUP(O15,Hraci!$A$1:$I$1500,2,0),IF(TYPE(INDIRECT(ADDRESS(ROW() + $A$9-8 + (ROW()-11)*4,2,1,1,"Internet")))&gt;1,INDIRECT(ADDRESS(ROW() + $A$9-8 + (ROW()-11)*4,2,1,1,"Internet"))," "))</f>
        <v xml:space="preserve"> </v>
      </c>
      <c r="Q15" s="471" t="str">
        <f ca="1">IF(N(O15)&gt;0,VLOOKUP(O15,Hraci!$A$1:$I$1500,3,0)," ")</f>
        <v xml:space="preserve"> </v>
      </c>
      <c r="R15" s="471" t="str">
        <f ca="1">IF(N(O15)&gt;0,VLOOKUP(O15,Hraci!$A$1:$I$1500,5,0),IF(TYPE(INDIRECT(ADDRESS(ROW() + $A$9-8 + (ROW()-11)*4,3,1,1,"Internet")))&gt;1,INDIRECT(ADDRESS(ROW() + $A$9-8 + (ROW()-11)*4,3,1,1,"Internet"))," "))</f>
        <v xml:space="preserve"> </v>
      </c>
      <c r="S15" s="472">
        <f ca="1">IF(N(O15)=0,9999,VLOOKUP(O15,Hraci!$A$1:$I$1500,8,0))</f>
        <v>9999</v>
      </c>
      <c r="T15" s="473">
        <f ca="1">IF(N(O15)=0,0,VLOOKUP(O15,Hraci!$A$1:$I$1500,9,0))</f>
        <v>0</v>
      </c>
      <c r="U15" s="469" t="str">
        <f t="shared" ca="1" si="10"/>
        <v/>
      </c>
      <c r="V15" s="470" t="str">
        <f ca="1">IF(N(U15)&gt;0,VLOOKUP(U15,Hraci!$A$1:$I$1500,2,0),IF(TYPE(INDIRECT(ADDRESS(ROW() + $A$9-7 + (ROW()-11)*4,2,1,1,"Internet")))&gt;1,INDIRECT(ADDRESS(ROW() + $A$9-7 + (ROW()-11)*4,2,1,1,"Internet"))," "))</f>
        <v xml:space="preserve"> </v>
      </c>
      <c r="W15" s="471" t="str">
        <f ca="1">IF(N(U15)&gt;0,VLOOKUP(U15,Hraci!$A$1:$I$1500,3,0)," ")</f>
        <v xml:space="preserve"> </v>
      </c>
      <c r="X15" s="471" t="str">
        <f ca="1">IF(N(U15)&gt;0,VLOOKUP(U15,Hraci!$A$1:$I$1500,5,0),IF(TYPE(INDIRECT(ADDRESS(ROW() + $A$9-7 + (ROW()-11)*4,3,1,1,"Internet")))&gt;1,INDIRECT(ADDRESS(ROW() + $A$9-7 + (ROW()-11)*4,3,1,1,"Internet"))," "))</f>
        <v xml:space="preserve"> </v>
      </c>
      <c r="Y15" s="472">
        <f ca="1">IF(N(U15)=0,9999,VLOOKUP(U15,Hraci!$A$1:$I$1500,8,0))</f>
        <v>9999</v>
      </c>
      <c r="Z15" s="473">
        <f ca="1">IF(N(U15)=0,0,VLOOKUP(U15,Hraci!$A$1:$I$1500,9,0))</f>
        <v>0</v>
      </c>
      <c r="AA15" s="469" t="str">
        <f t="shared" ca="1" si="11"/>
        <v/>
      </c>
      <c r="AB15" s="470" t="str">
        <f ca="1">IF(N(AA15)&gt;0,VLOOKUP(AA15,Hraci!$A$1:$I$1500,2,0)," ")</f>
        <v xml:space="preserve"> </v>
      </c>
      <c r="AC15" s="471" t="str">
        <f ca="1">IF(N(AA15)&gt;0,VLOOKUP(AA15,Hraci!$A$1:$I$1500,3,0)," ")</f>
        <v xml:space="preserve"> </v>
      </c>
      <c r="AD15" s="471" t="str">
        <f ca="1">IF(N(AA15)&gt;0,VLOOKUP(AA15,Hraci!$A$1:$I$1500,5,0)," ")</f>
        <v xml:space="preserve"> </v>
      </c>
      <c r="AE15" s="472">
        <f ca="1">IF(N(AA15)=0,9999,VLOOKUP(AA15,Hraci!$A$1:$I$1500,8,0))</f>
        <v>9999</v>
      </c>
      <c r="AF15" s="473">
        <f ca="1">IF(N(AA15)=0,0,VLOOKUP(AA15,Hraci!$A$1:$I$1500,9,0))</f>
        <v>0</v>
      </c>
      <c r="AG15" s="474"/>
      <c r="AH15" s="480">
        <v>10</v>
      </c>
      <c r="AI15" s="475">
        <f ca="1">IF(N($AH15)&gt;0,VLOOKUP($AH15,Body!$A$4:$F$259,5,0),"")</f>
        <v>409.835109375</v>
      </c>
      <c r="AJ15" s="476">
        <f ca="1">IF(N($AH15)&gt;0,VLOOKUP($AH15,Body!$A$4:$F$259,6,0),"")</f>
        <v>200</v>
      </c>
      <c r="AK15" s="475">
        <f ca="1">IF(N($AH15)&gt;0,VLOOKUP($AH15,Body!$A$4:$F$259,2,0),"")</f>
        <v>4.75</v>
      </c>
      <c r="AL15" s="477" t="str">
        <f t="shared" ca="1" si="12"/>
        <v>5 Carreau Brno - Slobodová Veronika</v>
      </c>
      <c r="AM15" s="478">
        <f t="shared" ca="1" si="13"/>
        <v>48</v>
      </c>
      <c r="AN15" s="408">
        <f ca="1">IF(OR(TYPE(I15)&gt;1,TYPE(MATCH(I15,I16:I$267,0))&gt;1),0,MATCH(I15,I16:I$267,0))+IF(OR(TYPE(I15)&gt;1,TYPE(MATCH(I15,O$11:O$267,0))&gt;1),0,MATCH(I15,O$11:O$267,0))+IF(OR(TYPE(I15)&gt;1,TYPE(MATCH(I15,U$11:U$267,0))&gt;1),0,MATCH(I15,U$11:U$267,0))+IF(OR(TYPE(I15)&gt;1,TYPE(MATCH(I15,AA$11:AA$267,0))&gt;1),0,MATCH(I15,AA$11:AA$267,0))</f>
        <v>0</v>
      </c>
      <c r="AO15" s="408">
        <f ca="1">IF(OR(TYPE(O15)&gt;1,TYPE(MATCH(O15,I$11:I$267,0))&gt;1),0,MATCH(O15,I$11:I$267,0))+IF(OR(TYPE(O15)&gt;1,TYPE(MATCH(O15,O16:O$267,0))&gt;1),0,MATCH(O15,O16:O$267,0))+IF(OR(TYPE(O15)&gt;1,TYPE(MATCH(O15,U$11:U$267,0))&gt;1),0,MATCH(O15,U$11:U$267,0))+IF(OR(TYPE(O15)&gt;1,TYPE(MATCH(O15,AA$11:AA$267,0))&gt;1),0,MATCH(O15,AA$11:AA$267,0))</f>
        <v>0</v>
      </c>
      <c r="AP15" s="408">
        <f ca="1">IF(OR(TYPE(U15)&gt;1,TYPE(MATCH(U15,I$11:I$267,0))&gt;1),0,MATCH(U15,I$11:I$267,0))+IF(OR(TYPE(U15)&gt;1,TYPE(MATCH(U15,O$11:O$267,0))&gt;1),0,MATCH(U15,O$11:O$267,0))+IF(OR(TYPE(U15)&gt;1,TYPE(MATCH(U15,U16:U$267,0))&gt;1),0,MATCH(U15,U16:U$267,0))+IF(OR(TYPE(U15)&gt;1,TYPE(MATCH(U15,AA$11:AA$267,0))&gt;1),0,MATCH(U15,AA$11:AA$267,0))</f>
        <v>0</v>
      </c>
      <c r="AQ15" s="408">
        <f ca="1">IF(OR(TYPE(AA15)&gt;1,TYPE(MATCH(AA15,I$11:I$267,0))&gt;1),0,MATCH(AA15,I$11:I$267,0))+IF(OR(TYPE(AA15)&gt;1,TYPE(MATCH(AA15,O$11:O$267,0))&gt;1),0,MATCH(AA15,O$11:O$267,0))+IF(OR(TYPE(AA15)&gt;1,TYPE(MATCH(AA15,U$11:U$267,0))&gt;1),0,MATCH(U15,U$11:U$267,0))+IF(OR(TYPE(AA15)&gt;1,TYPE(MATCH(AA15,AA16:AA$267,0))&gt;1),0,MATCH(AA15,AA16:AA$267,0))</f>
        <v>0</v>
      </c>
      <c r="AR15" s="408">
        <f t="shared" ca="1" si="14"/>
        <v>0</v>
      </c>
      <c r="BF15" s="408">
        <f t="shared" si="15"/>
        <v>5</v>
      </c>
    </row>
    <row r="16" spans="1:58" ht="14.25">
      <c r="A16" s="400">
        <f t="shared" ca="1" si="0"/>
        <v>1</v>
      </c>
      <c r="B16" s="400">
        <f t="shared" ca="1" si="1"/>
        <v>1</v>
      </c>
      <c r="C16" s="400">
        <f t="shared" ca="1" si="2"/>
        <v>46.75</v>
      </c>
      <c r="D16" s="400">
        <f t="shared" ca="1" si="3"/>
        <v>20011</v>
      </c>
      <c r="E16" s="430">
        <f t="shared" ca="1" si="4"/>
        <v>13</v>
      </c>
      <c r="F16" s="431" t="str">
        <f t="shared" ca="1" si="5"/>
        <v>91046750979988999986044675</v>
      </c>
      <c r="G16" s="467" t="b">
        <f t="shared" ca="1" si="6"/>
        <v>0</v>
      </c>
      <c r="H16" s="468">
        <f t="shared" si="7"/>
        <v>6</v>
      </c>
      <c r="I16" s="469">
        <f t="shared" ca="1" si="8"/>
        <v>14075</v>
      </c>
      <c r="J16" s="470" t="str">
        <f ca="1">IF(N(I16)&gt;0,VLOOKUP(I16,Hraci!$A$1:$I$1500,2,0),IF(TYPE(INDIRECT(ADDRESS(ROW() + $A$9-9 + (ROW()-11)*4,2,1,1,"Internet")))&gt;1,INDIRECT(ADDRESS(ROW() + $A$9-9 + (ROW()-11)*4,2,1,1,"Internet"))," "))</f>
        <v>Froňková</v>
      </c>
      <c r="K16" s="471" t="str">
        <f ca="1">IF(N(I16)&gt;0,VLOOKUP(I16,Hraci!$A$1:$I$1500,3,0)," ")</f>
        <v>Kateřina</v>
      </c>
      <c r="L16" s="471" t="str">
        <f ca="1">IF(N(I16)&gt;0,VLOOKUP(I16,Hraci!$A$1:$I$1500,5,0),IF(TYPE(INDIRECT(ADDRESS(ROW() + $A$9-9 + (ROW()-11)*4,3,1,1,"Internet")))&gt;1,INDIRECT(ADDRESS(ROW() + $A$9-9 + (ROW()-11)*4,3,1,1,"Internet"))," "))</f>
        <v>PC Sokol Lipník</v>
      </c>
      <c r="M16" s="472">
        <f ca="1">IF(N(I16)=0,9999,VLOOKUP(I16,Hraci!$A$1:$I$1500,8,0))</f>
        <v>13</v>
      </c>
      <c r="N16" s="473">
        <f ca="1">IF(N(I16)=0,0,VLOOKUP(I16,Hraci!$A$1:$I$1500,9,0))</f>
        <v>46.75</v>
      </c>
      <c r="O16" s="469" t="str">
        <f t="shared" ca="1" si="9"/>
        <v/>
      </c>
      <c r="P16" s="470" t="str">
        <f ca="1">IF(N(O16)&gt;0,VLOOKUP(O16,Hraci!$A$1:$I$1500,2,0),IF(TYPE(INDIRECT(ADDRESS(ROW() + $A$9-8 + (ROW()-11)*4,2,1,1,"Internet")))&gt;1,INDIRECT(ADDRESS(ROW() + $A$9-8 + (ROW()-11)*4,2,1,1,"Internet"))," "))</f>
        <v xml:space="preserve"> </v>
      </c>
      <c r="Q16" s="471" t="str">
        <f ca="1">IF(N(O16)&gt;0,VLOOKUP(O16,Hraci!$A$1:$I$1500,3,0)," ")</f>
        <v xml:space="preserve"> </v>
      </c>
      <c r="R16" s="471" t="str">
        <f ca="1">IF(N(O16)&gt;0,VLOOKUP(O16,Hraci!$A$1:$I$1500,5,0),IF(TYPE(INDIRECT(ADDRESS(ROW() + $A$9-8 + (ROW()-11)*4,3,1,1,"Internet")))&gt;1,INDIRECT(ADDRESS(ROW() + $A$9-8 + (ROW()-11)*4,3,1,1,"Internet"))," "))</f>
        <v xml:space="preserve"> </v>
      </c>
      <c r="S16" s="472">
        <f ca="1">IF(N(O16)=0,9999,VLOOKUP(O16,Hraci!$A$1:$I$1500,8,0))</f>
        <v>9999</v>
      </c>
      <c r="T16" s="473">
        <f ca="1">IF(N(O16)=0,0,VLOOKUP(O16,Hraci!$A$1:$I$1500,9,0))</f>
        <v>0</v>
      </c>
      <c r="U16" s="469" t="str">
        <f t="shared" ca="1" si="10"/>
        <v/>
      </c>
      <c r="V16" s="470" t="str">
        <f ca="1">IF(N(U16)&gt;0,VLOOKUP(U16,Hraci!$A$1:$I$1500,2,0),IF(TYPE(INDIRECT(ADDRESS(ROW() + $A$9-7 + (ROW()-11)*4,2,1,1,"Internet")))&gt;1,INDIRECT(ADDRESS(ROW() + $A$9-7 + (ROW()-11)*4,2,1,1,"Internet"))," "))</f>
        <v xml:space="preserve"> </v>
      </c>
      <c r="W16" s="471" t="str">
        <f ca="1">IF(N(U16)&gt;0,VLOOKUP(U16,Hraci!$A$1:$I$1500,3,0)," ")</f>
        <v xml:space="preserve"> </v>
      </c>
      <c r="X16" s="471" t="str">
        <f ca="1">IF(N(U16)&gt;0,VLOOKUP(U16,Hraci!$A$1:$I$1500,5,0),IF(TYPE(INDIRECT(ADDRESS(ROW() + $A$9-7 + (ROW()-11)*4,3,1,1,"Internet")))&gt;1,INDIRECT(ADDRESS(ROW() + $A$9-7 + (ROW()-11)*4,3,1,1,"Internet"))," "))</f>
        <v xml:space="preserve"> </v>
      </c>
      <c r="Y16" s="472">
        <f ca="1">IF(N(U16)=0,9999,VLOOKUP(U16,Hraci!$A$1:$I$1500,8,0))</f>
        <v>9999</v>
      </c>
      <c r="Z16" s="473">
        <f ca="1">IF(N(U16)=0,0,VLOOKUP(U16,Hraci!$A$1:$I$1500,9,0))</f>
        <v>0</v>
      </c>
      <c r="AA16" s="469" t="str">
        <f t="shared" ca="1" si="11"/>
        <v/>
      </c>
      <c r="AB16" s="470" t="str">
        <f ca="1">IF(N(AA16)&gt;0,VLOOKUP(AA16,Hraci!$A$1:$I$1500,2,0)," ")</f>
        <v xml:space="preserve"> </v>
      </c>
      <c r="AC16" s="471" t="str">
        <f ca="1">IF(N(AA16)&gt;0,VLOOKUP(AA16,Hraci!$A$1:$I$1500,3,0)," ")</f>
        <v xml:space="preserve"> </v>
      </c>
      <c r="AD16" s="471" t="str">
        <f ca="1">IF(N(AA16)&gt;0,VLOOKUP(AA16,Hraci!$A$1:$I$1500,5,0)," ")</f>
        <v xml:space="preserve"> </v>
      </c>
      <c r="AE16" s="472">
        <f ca="1">IF(N(AA16)=0,9999,VLOOKUP(AA16,Hraci!$A$1:$I$1500,8,0))</f>
        <v>9999</v>
      </c>
      <c r="AF16" s="473">
        <f ca="1">IF(N(AA16)=0,0,VLOOKUP(AA16,Hraci!$A$1:$I$1500,9,0))</f>
        <v>0</v>
      </c>
      <c r="AG16" s="474"/>
      <c r="AH16" s="480">
        <v>32</v>
      </c>
      <c r="AI16" s="475">
        <f ca="1">IF(N($AH16)&gt;0,VLOOKUP($AH16,Body!$A$4:$F$259,5,0),"")</f>
        <v>332.52743750000002</v>
      </c>
      <c r="AJ16" s="476">
        <f ca="1">IF(N($AH16)&gt;0,VLOOKUP($AH16,Body!$A$4:$F$259,6,0),"")</f>
        <v>200</v>
      </c>
      <c r="AK16" s="475">
        <f ca="1">IF(N($AH16)&gt;0,VLOOKUP($AH16,Body!$A$4:$F$259,2,0),"")</f>
        <v>3</v>
      </c>
      <c r="AL16" s="477" t="str">
        <f t="shared" ca="1" si="12"/>
        <v>6 PC Sokol Lipník - Froňková Kateřina</v>
      </c>
      <c r="AM16" s="478">
        <f t="shared" ca="1" si="13"/>
        <v>46.75</v>
      </c>
      <c r="AN16" s="408">
        <f ca="1">IF(OR(TYPE(I16)&gt;1,TYPE(MATCH(I16,I17:I$267,0))&gt;1),0,MATCH(I16,I17:I$267,0))+IF(OR(TYPE(I16)&gt;1,TYPE(MATCH(I16,O$11:O$267,0))&gt;1),0,MATCH(I16,O$11:O$267,0))+IF(OR(TYPE(I16)&gt;1,TYPE(MATCH(I16,U$11:U$267,0))&gt;1),0,MATCH(I16,U$11:U$267,0))+IF(OR(TYPE(I16)&gt;1,TYPE(MATCH(I16,AA$11:AA$267,0))&gt;1),0,MATCH(I16,AA$11:AA$267,0))</f>
        <v>0</v>
      </c>
      <c r="AO16" s="408">
        <f ca="1">IF(OR(TYPE(O16)&gt;1,TYPE(MATCH(O16,I$11:I$267,0))&gt;1),0,MATCH(O16,I$11:I$267,0))+IF(OR(TYPE(O16)&gt;1,TYPE(MATCH(O16,O17:O$267,0))&gt;1),0,MATCH(O16,O17:O$267,0))+IF(OR(TYPE(O16)&gt;1,TYPE(MATCH(O16,U$11:U$267,0))&gt;1),0,MATCH(O16,U$11:U$267,0))+IF(OR(TYPE(O16)&gt;1,TYPE(MATCH(O16,AA$11:AA$267,0))&gt;1),0,MATCH(O16,AA$11:AA$267,0))</f>
        <v>0</v>
      </c>
      <c r="AP16" s="408">
        <f ca="1">IF(OR(TYPE(U16)&gt;1,TYPE(MATCH(U16,I$11:I$267,0))&gt;1),0,MATCH(U16,I$11:I$267,0))+IF(OR(TYPE(U16)&gt;1,TYPE(MATCH(U16,O$11:O$267,0))&gt;1),0,MATCH(U16,O$11:O$267,0))+IF(OR(TYPE(U16)&gt;1,TYPE(MATCH(U16,U17:U$267,0))&gt;1),0,MATCH(U16,U17:U$267,0))+IF(OR(TYPE(U16)&gt;1,TYPE(MATCH(U16,AA$11:AA$267,0))&gt;1),0,MATCH(U16,AA$11:AA$267,0))</f>
        <v>0</v>
      </c>
      <c r="AQ16" s="408">
        <f ca="1">IF(OR(TYPE(AA16)&gt;1,TYPE(MATCH(AA16,I$11:I$267,0))&gt;1),0,MATCH(AA16,I$11:I$267,0))+IF(OR(TYPE(AA16)&gt;1,TYPE(MATCH(AA16,O$11:O$267,0))&gt;1),0,MATCH(AA16,O$11:O$267,0))+IF(OR(TYPE(AA16)&gt;1,TYPE(MATCH(AA16,U$11:U$267,0))&gt;1),0,MATCH(U16,U$11:U$267,0))+IF(OR(TYPE(AA16)&gt;1,TYPE(MATCH(AA16,AA17:AA$267,0))&gt;1),0,MATCH(AA16,AA17:AA$267,0))</f>
        <v>0</v>
      </c>
      <c r="AR16" s="408">
        <f t="shared" ca="1" si="14"/>
        <v>0</v>
      </c>
      <c r="BF16" s="408">
        <f t="shared" si="15"/>
        <v>6</v>
      </c>
    </row>
    <row r="17" spans="1:58" ht="14.25">
      <c r="A17" s="430">
        <f t="shared" ca="1" si="0"/>
        <v>1</v>
      </c>
      <c r="B17" s="430">
        <f t="shared" ca="1" si="1"/>
        <v>1</v>
      </c>
      <c r="C17" s="430">
        <f t="shared" ca="1" si="2"/>
        <v>46.5</v>
      </c>
      <c r="D17" s="430">
        <f t="shared" ca="1" si="3"/>
        <v>20006</v>
      </c>
      <c r="E17" s="430">
        <f t="shared" ca="1" si="4"/>
        <v>8</v>
      </c>
      <c r="F17" s="431" t="str">
        <f t="shared" ca="1" si="5"/>
        <v>91046500979993999991703332</v>
      </c>
      <c r="G17" s="467" t="b">
        <f t="shared" ca="1" si="6"/>
        <v>0</v>
      </c>
      <c r="H17" s="468">
        <f t="shared" si="7"/>
        <v>7</v>
      </c>
      <c r="I17" s="469">
        <f t="shared" ca="1" si="8"/>
        <v>11039</v>
      </c>
      <c r="J17" s="470" t="str">
        <f ca="1">IF(N(I17)&gt;0,VLOOKUP(I17,Hraci!$A$1:$I$1500,2,0),IF(TYPE(INDIRECT(ADDRESS(ROW() + $A$9-9 + (ROW()-11)*4,2,1,1,"Internet")))&gt;1,INDIRECT(ADDRESS(ROW() + $A$9-9 + (ROW()-11)*4,2,1,1,"Internet"))," "))</f>
        <v>Lukáš</v>
      </c>
      <c r="K17" s="471" t="str">
        <f ca="1">IF(N(I17)&gt;0,VLOOKUP(I17,Hraci!$A$1:$I$1500,3,0)," ")</f>
        <v>Vojtěch</v>
      </c>
      <c r="L17" s="471" t="str">
        <f ca="1">IF(N(I17)&gt;0,VLOOKUP(I17,Hraci!$A$1:$I$1500,5,0),IF(TYPE(INDIRECT(ADDRESS(ROW() + $A$9-9 + (ROW()-11)*4,3,1,1,"Internet")))&gt;1,INDIRECT(ADDRESS(ROW() + $A$9-9 + (ROW()-11)*4,3,1,1,"Internet"))," "))</f>
        <v>PLUK Jablonec</v>
      </c>
      <c r="M17" s="472">
        <f ca="1">IF(N(I17)=0,9999,VLOOKUP(I17,Hraci!$A$1:$I$1500,8,0))</f>
        <v>8</v>
      </c>
      <c r="N17" s="473">
        <f ca="1">IF(N(I17)=0,0,VLOOKUP(I17,Hraci!$A$1:$I$1500,9,0))</f>
        <v>46.5</v>
      </c>
      <c r="O17" s="469" t="str">
        <f t="shared" ca="1" si="9"/>
        <v/>
      </c>
      <c r="P17" s="470" t="str">
        <f ca="1">IF(N(O17)&gt;0,VLOOKUP(O17,Hraci!$A$1:$I$1500,2,0),IF(TYPE(INDIRECT(ADDRESS(ROW() + $A$9-8 + (ROW()-11)*4,2,1,1,"Internet")))&gt;1,INDIRECT(ADDRESS(ROW() + $A$9-8 + (ROW()-11)*4,2,1,1,"Internet"))," "))</f>
        <v xml:space="preserve"> </v>
      </c>
      <c r="Q17" s="471" t="str">
        <f ca="1">IF(N(O17)&gt;0,VLOOKUP(O17,Hraci!$A$1:$I$1500,3,0)," ")</f>
        <v xml:space="preserve"> </v>
      </c>
      <c r="R17" s="471" t="str">
        <f ca="1">IF(N(O17)&gt;0,VLOOKUP(O17,Hraci!$A$1:$I$1500,5,0),IF(TYPE(INDIRECT(ADDRESS(ROW() + $A$9-8 + (ROW()-11)*4,3,1,1,"Internet")))&gt;1,INDIRECT(ADDRESS(ROW() + $A$9-8 + (ROW()-11)*4,3,1,1,"Internet"))," "))</f>
        <v xml:space="preserve"> </v>
      </c>
      <c r="S17" s="472">
        <f ca="1">IF(N(O17)=0,9999,VLOOKUP(O17,Hraci!$A$1:$I$1500,8,0))</f>
        <v>9999</v>
      </c>
      <c r="T17" s="473">
        <f ca="1">IF(N(O17)=0,0,VLOOKUP(O17,Hraci!$A$1:$I$1500,9,0))</f>
        <v>0</v>
      </c>
      <c r="U17" s="469" t="str">
        <f t="shared" ca="1" si="10"/>
        <v/>
      </c>
      <c r="V17" s="470" t="str">
        <f ca="1">IF(N(U17)&gt;0,VLOOKUP(U17,Hraci!$A$1:$I$1500,2,0),IF(TYPE(INDIRECT(ADDRESS(ROW() + $A$9-7 + (ROW()-11)*4,2,1,1,"Internet")))&gt;1,INDIRECT(ADDRESS(ROW() + $A$9-7 + (ROW()-11)*4,2,1,1,"Internet"))," "))</f>
        <v xml:space="preserve"> </v>
      </c>
      <c r="W17" s="471" t="str">
        <f ca="1">IF(N(U17)&gt;0,VLOOKUP(U17,Hraci!$A$1:$I$1500,3,0)," ")</f>
        <v xml:space="preserve"> </v>
      </c>
      <c r="X17" s="471" t="str">
        <f ca="1">IF(N(U17)&gt;0,VLOOKUP(U17,Hraci!$A$1:$I$1500,5,0),IF(TYPE(INDIRECT(ADDRESS(ROW() + $A$9-7 + (ROW()-11)*4,3,1,1,"Internet")))&gt;1,INDIRECT(ADDRESS(ROW() + $A$9-7 + (ROW()-11)*4,3,1,1,"Internet"))," "))</f>
        <v xml:space="preserve"> </v>
      </c>
      <c r="Y17" s="472">
        <f ca="1">IF(N(U17)=0,9999,VLOOKUP(U17,Hraci!$A$1:$I$1500,8,0))</f>
        <v>9999</v>
      </c>
      <c r="Z17" s="473">
        <f ca="1">IF(N(U17)=0,0,VLOOKUP(U17,Hraci!$A$1:$I$1500,9,0))</f>
        <v>0</v>
      </c>
      <c r="AA17" s="469" t="str">
        <f t="shared" ca="1" si="11"/>
        <v/>
      </c>
      <c r="AB17" s="470" t="str">
        <f ca="1">IF(N(AA17)&gt;0,VLOOKUP(AA17,Hraci!$A$1:$I$1500,2,0)," ")</f>
        <v xml:space="preserve"> </v>
      </c>
      <c r="AC17" s="471" t="str">
        <f ca="1">IF(N(AA17)&gt;0,VLOOKUP(AA17,Hraci!$A$1:$I$1500,3,0)," ")</f>
        <v xml:space="preserve"> </v>
      </c>
      <c r="AD17" s="471" t="str">
        <f ca="1">IF(N(AA17)&gt;0,VLOOKUP(AA17,Hraci!$A$1:$I$1500,5,0)," ")</f>
        <v xml:space="preserve"> </v>
      </c>
      <c r="AE17" s="472">
        <f ca="1">IF(N(AA17)=0,9999,VLOOKUP(AA17,Hraci!$A$1:$I$1500,8,0))</f>
        <v>9999</v>
      </c>
      <c r="AF17" s="473">
        <f ca="1">IF(N(AA17)=0,0,VLOOKUP(AA17,Hraci!$A$1:$I$1500,9,0))</f>
        <v>0</v>
      </c>
      <c r="AG17" s="474"/>
      <c r="AH17" s="480">
        <v>5</v>
      </c>
      <c r="AI17" s="475">
        <f ca="1">IF(N($AH17)&gt;0,VLOOKUP($AH17,Body!$A$4:$F$259,5,0),"")</f>
        <v>454.01092187500001</v>
      </c>
      <c r="AJ17" s="476">
        <f ca="1">IF(N($AH17)&gt;0,VLOOKUP($AH17,Body!$A$4:$F$259,6,0),"")</f>
        <v>200</v>
      </c>
      <c r="AK17" s="475">
        <f ca="1">IF(N($AH17)&gt;0,VLOOKUP($AH17,Body!$A$4:$F$259,2,0),"")</f>
        <v>5.75</v>
      </c>
      <c r="AL17" s="477" t="str">
        <f t="shared" ca="1" si="12"/>
        <v>7 PLUK Jablonec - Lukáš Vojtěch</v>
      </c>
      <c r="AM17" s="478">
        <f t="shared" ca="1" si="13"/>
        <v>46.5</v>
      </c>
      <c r="AN17" s="408">
        <f ca="1">IF(OR(TYPE(I17)&gt;1,TYPE(MATCH(I17,I18:I$267,0))&gt;1),0,MATCH(I17,I18:I$267,0))+IF(OR(TYPE(I17)&gt;1,TYPE(MATCH(I17,O$11:O$267,0))&gt;1),0,MATCH(I17,O$11:O$267,0))+IF(OR(TYPE(I17)&gt;1,TYPE(MATCH(I17,U$11:U$267,0))&gt;1),0,MATCH(I17,U$11:U$267,0))+IF(OR(TYPE(I17)&gt;1,TYPE(MATCH(I17,AA$11:AA$267,0))&gt;1),0,MATCH(I17,AA$11:AA$267,0))</f>
        <v>0</v>
      </c>
      <c r="AO17" s="408">
        <f ca="1">IF(OR(TYPE(O17)&gt;1,TYPE(MATCH(O17,I$11:I$267,0))&gt;1),0,MATCH(O17,I$11:I$267,0))+IF(OR(TYPE(O17)&gt;1,TYPE(MATCH(O17,O18:O$267,0))&gt;1),0,MATCH(O17,O18:O$267,0))+IF(OR(TYPE(O17)&gt;1,TYPE(MATCH(O17,U$11:U$267,0))&gt;1),0,MATCH(O17,U$11:U$267,0))+IF(OR(TYPE(O17)&gt;1,TYPE(MATCH(O17,AA$11:AA$267,0))&gt;1),0,MATCH(O17,AA$11:AA$267,0))</f>
        <v>0</v>
      </c>
      <c r="AP17" s="408">
        <f ca="1">IF(OR(TYPE(U17)&gt;1,TYPE(MATCH(U17,I$11:I$267,0))&gt;1),0,MATCH(U17,I$11:I$267,0))+IF(OR(TYPE(U17)&gt;1,TYPE(MATCH(U17,O$11:O$267,0))&gt;1),0,MATCH(U17,O$11:O$267,0))+IF(OR(TYPE(U17)&gt;1,TYPE(MATCH(U17,U18:U$267,0))&gt;1),0,MATCH(U17,U18:U$267,0))+IF(OR(TYPE(U17)&gt;1,TYPE(MATCH(U17,AA$11:AA$267,0))&gt;1),0,MATCH(U17,AA$11:AA$267,0))</f>
        <v>0</v>
      </c>
      <c r="AQ17" s="408">
        <f ca="1">IF(OR(TYPE(AA17)&gt;1,TYPE(MATCH(AA17,I$11:I$267,0))&gt;1),0,MATCH(AA17,I$11:I$267,0))+IF(OR(TYPE(AA17)&gt;1,TYPE(MATCH(AA17,O$11:O$267,0))&gt;1),0,MATCH(AA17,O$11:O$267,0))+IF(OR(TYPE(AA17)&gt;1,TYPE(MATCH(AA17,U$11:U$267,0))&gt;1),0,MATCH(U17,U$11:U$267,0))+IF(OR(TYPE(AA17)&gt;1,TYPE(MATCH(AA17,AA18:AA$267,0))&gt;1),0,MATCH(AA17,AA18:AA$267,0))</f>
        <v>0</v>
      </c>
      <c r="AR17" s="408">
        <f t="shared" ca="1" si="14"/>
        <v>0</v>
      </c>
      <c r="BF17" s="408">
        <f t="shared" si="15"/>
        <v>7</v>
      </c>
    </row>
    <row r="18" spans="1:58" ht="14.25">
      <c r="A18" s="430">
        <f t="shared" ca="1" si="0"/>
        <v>1</v>
      </c>
      <c r="B18" s="430">
        <f t="shared" ca="1" si="1"/>
        <v>1</v>
      </c>
      <c r="C18" s="430">
        <f t="shared" ca="1" si="2"/>
        <v>40.875</v>
      </c>
      <c r="D18" s="430">
        <f t="shared" ca="1" si="3"/>
        <v>20009</v>
      </c>
      <c r="E18" s="430">
        <f t="shared" ca="1" si="4"/>
        <v>11</v>
      </c>
      <c r="F18" s="431" t="str">
        <f t="shared" ca="1" si="5"/>
        <v>91040875979990999988487916</v>
      </c>
      <c r="G18" s="467" t="b">
        <f t="shared" ca="1" si="6"/>
        <v>0</v>
      </c>
      <c r="H18" s="468">
        <f t="shared" si="7"/>
        <v>8</v>
      </c>
      <c r="I18" s="469">
        <f t="shared" ca="1" si="8"/>
        <v>13040</v>
      </c>
      <c r="J18" s="470" t="str">
        <f ca="1">IF(N(I18)&gt;0,VLOOKUP(I18,Hraci!$A$1:$I$1500,2,0),IF(TYPE(INDIRECT(ADDRESS(ROW() + $A$9-9 + (ROW()-11)*4,2,1,1,"Internet")))&gt;1,INDIRECT(ADDRESS(ROW() + $A$9-9 + (ROW()-11)*4,2,1,1,"Internet"))," "))</f>
        <v>Bílek</v>
      </c>
      <c r="K18" s="471" t="str">
        <f ca="1">IF(N(I18)&gt;0,VLOOKUP(I18,Hraci!$A$1:$I$1500,3,0)," ")</f>
        <v>Vojtěch</v>
      </c>
      <c r="L18" s="471" t="str">
        <f ca="1">IF(N(I18)&gt;0,VLOOKUP(I18,Hraci!$A$1:$I$1500,5,0),IF(TYPE(INDIRECT(ADDRESS(ROW() + $A$9-9 + (ROW()-11)*4,3,1,1,"Internet")))&gt;1,INDIRECT(ADDRESS(ROW() + $A$9-9 + (ROW()-11)*4,3,1,1,"Internet"))," "))</f>
        <v>1. KPK Vrchlabí</v>
      </c>
      <c r="M18" s="472">
        <f ca="1">IF(N(I18)=0,9999,VLOOKUP(I18,Hraci!$A$1:$I$1500,8,0))</f>
        <v>11</v>
      </c>
      <c r="N18" s="473">
        <f ca="1">IF(N(I18)=0,0,VLOOKUP(I18,Hraci!$A$1:$I$1500,9,0))</f>
        <v>40.875</v>
      </c>
      <c r="O18" s="469" t="str">
        <f t="shared" ca="1" si="9"/>
        <v/>
      </c>
      <c r="P18" s="470" t="str">
        <f ca="1">IF(N(O18)&gt;0,VLOOKUP(O18,Hraci!$A$1:$I$1500,2,0),IF(TYPE(INDIRECT(ADDRESS(ROW() + $A$9-8 + (ROW()-11)*4,2,1,1,"Internet")))&gt;1,INDIRECT(ADDRESS(ROW() + $A$9-8 + (ROW()-11)*4,2,1,1,"Internet"))," "))</f>
        <v xml:space="preserve"> </v>
      </c>
      <c r="Q18" s="471" t="str">
        <f ca="1">IF(N(O18)&gt;0,VLOOKUP(O18,Hraci!$A$1:$I$1500,3,0)," ")</f>
        <v xml:space="preserve"> </v>
      </c>
      <c r="R18" s="471" t="str">
        <f ca="1">IF(N(O18)&gt;0,VLOOKUP(O18,Hraci!$A$1:$I$1500,5,0),IF(TYPE(INDIRECT(ADDRESS(ROW() + $A$9-8 + (ROW()-11)*4,3,1,1,"Internet")))&gt;1,INDIRECT(ADDRESS(ROW() + $A$9-8 + (ROW()-11)*4,3,1,1,"Internet"))," "))</f>
        <v xml:space="preserve"> </v>
      </c>
      <c r="S18" s="472">
        <f ca="1">IF(N(O18)=0,9999,VLOOKUP(O18,Hraci!$A$1:$I$1500,8,0))</f>
        <v>9999</v>
      </c>
      <c r="T18" s="473">
        <f ca="1">IF(N(O18)=0,0,VLOOKUP(O18,Hraci!$A$1:$I$1500,9,0))</f>
        <v>0</v>
      </c>
      <c r="U18" s="469" t="str">
        <f t="shared" ca="1" si="10"/>
        <v/>
      </c>
      <c r="V18" s="470" t="str">
        <f ca="1">IF(N(U18)&gt;0,VLOOKUP(U18,Hraci!$A$1:$I$1500,2,0),IF(TYPE(INDIRECT(ADDRESS(ROW() + $A$9-7 + (ROW()-11)*4,2,1,1,"Internet")))&gt;1,INDIRECT(ADDRESS(ROW() + $A$9-7 + (ROW()-11)*4,2,1,1,"Internet"))," "))</f>
        <v xml:space="preserve"> </v>
      </c>
      <c r="W18" s="471" t="str">
        <f ca="1">IF(N(U18)&gt;0,VLOOKUP(U18,Hraci!$A$1:$I$1500,3,0)," ")</f>
        <v xml:space="preserve"> </v>
      </c>
      <c r="X18" s="471" t="str">
        <f ca="1">IF(N(U18)&gt;0,VLOOKUP(U18,Hraci!$A$1:$I$1500,5,0),IF(TYPE(INDIRECT(ADDRESS(ROW() + $A$9-7 + (ROW()-11)*4,3,1,1,"Internet")))&gt;1,INDIRECT(ADDRESS(ROW() + $A$9-7 + (ROW()-11)*4,3,1,1,"Internet"))," "))</f>
        <v xml:space="preserve"> </v>
      </c>
      <c r="Y18" s="472">
        <f ca="1">IF(N(U18)=0,9999,VLOOKUP(U18,Hraci!$A$1:$I$1500,8,0))</f>
        <v>9999</v>
      </c>
      <c r="Z18" s="473">
        <f ca="1">IF(N(U18)=0,0,VLOOKUP(U18,Hraci!$A$1:$I$1500,9,0))</f>
        <v>0</v>
      </c>
      <c r="AA18" s="469" t="str">
        <f t="shared" ca="1" si="11"/>
        <v/>
      </c>
      <c r="AB18" s="470" t="str">
        <f ca="1">IF(N(AA18)&gt;0,VLOOKUP(AA18,Hraci!$A$1:$I$1500,2,0)," ")</f>
        <v xml:space="preserve"> </v>
      </c>
      <c r="AC18" s="471" t="str">
        <f ca="1">IF(N(AA18)&gt;0,VLOOKUP(AA18,Hraci!$A$1:$I$1500,3,0)," ")</f>
        <v xml:space="preserve"> </v>
      </c>
      <c r="AD18" s="471" t="str">
        <f ca="1">IF(N(AA18)&gt;0,VLOOKUP(AA18,Hraci!$A$1:$I$1500,5,0)," ")</f>
        <v xml:space="preserve"> </v>
      </c>
      <c r="AE18" s="472">
        <f ca="1">IF(N(AA18)=0,9999,VLOOKUP(AA18,Hraci!$A$1:$I$1500,8,0))</f>
        <v>9999</v>
      </c>
      <c r="AF18" s="473">
        <f ca="1">IF(N(AA18)=0,0,VLOOKUP(AA18,Hraci!$A$1:$I$1500,9,0))</f>
        <v>0</v>
      </c>
      <c r="AG18" s="474"/>
      <c r="AH18" s="480">
        <v>32</v>
      </c>
      <c r="AI18" s="475">
        <f ca="1">IF(N($AH18)&gt;0,VLOOKUP($AH18,Body!$A$4:$F$259,5,0),"")</f>
        <v>332.52743750000002</v>
      </c>
      <c r="AJ18" s="476">
        <f ca="1">IF(N($AH18)&gt;0,VLOOKUP($AH18,Body!$A$4:$F$259,6,0),"")</f>
        <v>200</v>
      </c>
      <c r="AK18" s="475">
        <f ca="1">IF(N($AH18)&gt;0,VLOOKUP($AH18,Body!$A$4:$F$259,2,0),"")</f>
        <v>3</v>
      </c>
      <c r="AL18" s="477" t="str">
        <f t="shared" ca="1" si="12"/>
        <v>8 1. KPK Vrchlabí - Bílek Vojtěch</v>
      </c>
      <c r="AM18" s="478">
        <f t="shared" ca="1" si="13"/>
        <v>40.875</v>
      </c>
      <c r="AN18" s="408">
        <f ca="1">IF(OR(TYPE(I18)&gt;1,TYPE(MATCH(I18,I19:I$267,0))&gt;1),0,MATCH(I18,I19:I$267,0))+IF(OR(TYPE(I18)&gt;1,TYPE(MATCH(I18,O$11:O$267,0))&gt;1),0,MATCH(I18,O$11:O$267,0))+IF(OR(TYPE(I18)&gt;1,TYPE(MATCH(I18,U$11:U$267,0))&gt;1),0,MATCH(I18,U$11:U$267,0))+IF(OR(TYPE(I18)&gt;1,TYPE(MATCH(I18,AA$11:AA$267,0))&gt;1),0,MATCH(I18,AA$11:AA$267,0))</f>
        <v>0</v>
      </c>
      <c r="AO18" s="408">
        <f ca="1">IF(OR(TYPE(O18)&gt;1,TYPE(MATCH(O18,I$11:I$267,0))&gt;1),0,MATCH(O18,I$11:I$267,0))+IF(OR(TYPE(O18)&gt;1,TYPE(MATCH(O18,O19:O$267,0))&gt;1),0,MATCH(O18,O19:O$267,0))+IF(OR(TYPE(O18)&gt;1,TYPE(MATCH(O18,U$11:U$267,0))&gt;1),0,MATCH(O18,U$11:U$267,0))+IF(OR(TYPE(O18)&gt;1,TYPE(MATCH(O18,AA$11:AA$267,0))&gt;1),0,MATCH(O18,AA$11:AA$267,0))</f>
        <v>0</v>
      </c>
      <c r="AP18" s="408">
        <f ca="1">IF(OR(TYPE(U18)&gt;1,TYPE(MATCH(U18,I$11:I$267,0))&gt;1),0,MATCH(U18,I$11:I$267,0))+IF(OR(TYPE(U18)&gt;1,TYPE(MATCH(U18,O$11:O$267,0))&gt;1),0,MATCH(U18,O$11:O$267,0))+IF(OR(TYPE(U18)&gt;1,TYPE(MATCH(U18,U19:U$267,0))&gt;1),0,MATCH(U18,U19:U$267,0))+IF(OR(TYPE(U18)&gt;1,TYPE(MATCH(U18,AA$11:AA$267,0))&gt;1),0,MATCH(U18,AA$11:AA$267,0))</f>
        <v>0</v>
      </c>
      <c r="AQ18" s="408">
        <f ca="1">IF(OR(TYPE(AA18)&gt;1,TYPE(MATCH(AA18,I$11:I$267,0))&gt;1),0,MATCH(AA18,I$11:I$267,0))+IF(OR(TYPE(AA18)&gt;1,TYPE(MATCH(AA18,O$11:O$267,0))&gt;1),0,MATCH(AA18,O$11:O$267,0))+IF(OR(TYPE(AA18)&gt;1,TYPE(MATCH(AA18,U$11:U$267,0))&gt;1),0,MATCH(U18,U$11:U$267,0))+IF(OR(TYPE(AA18)&gt;1,TYPE(MATCH(AA18,AA19:AA$267,0))&gt;1),0,MATCH(AA18,AA19:AA$267,0))</f>
        <v>0</v>
      </c>
      <c r="AR18" s="408">
        <f t="shared" ca="1" si="14"/>
        <v>0</v>
      </c>
      <c r="BF18" s="408">
        <f t="shared" si="15"/>
        <v>8</v>
      </c>
    </row>
    <row r="19" spans="1:58" ht="14.25">
      <c r="A19" s="430">
        <f t="shared" ca="1" si="0"/>
        <v>1</v>
      </c>
      <c r="B19" s="430">
        <f t="shared" ca="1" si="1"/>
        <v>1</v>
      </c>
      <c r="C19" s="430">
        <f t="shared" ca="1" si="2"/>
        <v>40.5</v>
      </c>
      <c r="D19" s="430">
        <f t="shared" ca="1" si="3"/>
        <v>20005</v>
      </c>
      <c r="E19" s="430">
        <f t="shared" ca="1" si="4"/>
        <v>7</v>
      </c>
      <c r="F19" s="431" t="str">
        <f t="shared" ca="1" si="5"/>
        <v>91040500979994999992930279</v>
      </c>
      <c r="G19" s="467" t="b">
        <f t="shared" ca="1" si="6"/>
        <v>0</v>
      </c>
      <c r="H19" s="468">
        <f t="shared" si="7"/>
        <v>9</v>
      </c>
      <c r="I19" s="469">
        <f t="shared" ca="1" si="8"/>
        <v>21755</v>
      </c>
      <c r="J19" s="470" t="str">
        <f ca="1">IF(N(I19)&gt;0,VLOOKUP(I19,Hraci!$A$1:$I$1500,2,0),IF(TYPE(INDIRECT(ADDRESS(ROW() + $A$9-9 + (ROW()-11)*4,2,1,1,"Internet")))&gt;1,INDIRECT(ADDRESS(ROW() + $A$9-9 + (ROW()-11)*4,2,1,1,"Internet"))," "))</f>
        <v>Valenz</v>
      </c>
      <c r="K19" s="471" t="str">
        <f ca="1">IF(N(I19)&gt;0,VLOOKUP(I19,Hraci!$A$1:$I$1500,3,0)," ")</f>
        <v>Lukáš</v>
      </c>
      <c r="L19" s="471" t="str">
        <f ca="1">IF(N(I19)&gt;0,VLOOKUP(I19,Hraci!$A$1:$I$1500,5,0),IF(TYPE(INDIRECT(ADDRESS(ROW() + $A$9-9 + (ROW()-11)*4,3,1,1,"Internet")))&gt;1,INDIRECT(ADDRESS(ROW() + $A$9-9 + (ROW()-11)*4,3,1,1,"Internet"))," "))</f>
        <v>VARAN</v>
      </c>
      <c r="M19" s="472">
        <f ca="1">IF(N(I19)=0,9999,VLOOKUP(I19,Hraci!$A$1:$I$1500,8,0))</f>
        <v>7</v>
      </c>
      <c r="N19" s="473">
        <f ca="1">IF(N(I19)=0,0,VLOOKUP(I19,Hraci!$A$1:$I$1500,9,0))</f>
        <v>40.5</v>
      </c>
      <c r="O19" s="469" t="str">
        <f t="shared" ca="1" si="9"/>
        <v/>
      </c>
      <c r="P19" s="470" t="str">
        <f ca="1">IF(N(O19)&gt;0,VLOOKUP(O19,Hraci!$A$1:$I$1500,2,0),IF(TYPE(INDIRECT(ADDRESS(ROW() + $A$9-8 + (ROW()-11)*4,2,1,1,"Internet")))&gt;1,INDIRECT(ADDRESS(ROW() + $A$9-8 + (ROW()-11)*4,2,1,1,"Internet"))," "))</f>
        <v xml:space="preserve"> </v>
      </c>
      <c r="Q19" s="471" t="str">
        <f ca="1">IF(N(O19)&gt;0,VLOOKUP(O19,Hraci!$A$1:$I$1500,3,0)," ")</f>
        <v xml:space="preserve"> </v>
      </c>
      <c r="R19" s="471" t="str">
        <f ca="1">IF(N(O19)&gt;0,VLOOKUP(O19,Hraci!$A$1:$I$1500,5,0),IF(TYPE(INDIRECT(ADDRESS(ROW() + $A$9-8 + (ROW()-11)*4,3,1,1,"Internet")))&gt;1,INDIRECT(ADDRESS(ROW() + $A$9-8 + (ROW()-11)*4,3,1,1,"Internet"))," "))</f>
        <v xml:space="preserve"> </v>
      </c>
      <c r="S19" s="472">
        <f ca="1">IF(N(O19)=0,9999,VLOOKUP(O19,Hraci!$A$1:$I$1500,8,0))</f>
        <v>9999</v>
      </c>
      <c r="T19" s="473">
        <f ca="1">IF(N(O19)=0,0,VLOOKUP(O19,Hraci!$A$1:$I$1500,9,0))</f>
        <v>0</v>
      </c>
      <c r="U19" s="469" t="str">
        <f t="shared" ca="1" si="10"/>
        <v/>
      </c>
      <c r="V19" s="470" t="str">
        <f ca="1">IF(N(U19)&gt;0,VLOOKUP(U19,Hraci!$A$1:$I$1500,2,0),IF(TYPE(INDIRECT(ADDRESS(ROW() + $A$9-7 + (ROW()-11)*4,2,1,1,"Internet")))&gt;1,INDIRECT(ADDRESS(ROW() + $A$9-7 + (ROW()-11)*4,2,1,1,"Internet"))," "))</f>
        <v xml:space="preserve"> </v>
      </c>
      <c r="W19" s="471" t="str">
        <f ca="1">IF(N(U19)&gt;0,VLOOKUP(U19,Hraci!$A$1:$I$1500,3,0)," ")</f>
        <v xml:space="preserve"> </v>
      </c>
      <c r="X19" s="471" t="str">
        <f ca="1">IF(N(U19)&gt;0,VLOOKUP(U19,Hraci!$A$1:$I$1500,5,0),IF(TYPE(INDIRECT(ADDRESS(ROW() + $A$9-7 + (ROW()-11)*4,3,1,1,"Internet")))&gt;1,INDIRECT(ADDRESS(ROW() + $A$9-7 + (ROW()-11)*4,3,1,1,"Internet"))," "))</f>
        <v xml:space="preserve"> </v>
      </c>
      <c r="Y19" s="472">
        <f ca="1">IF(N(U19)=0,9999,VLOOKUP(U19,Hraci!$A$1:$I$1500,8,0))</f>
        <v>9999</v>
      </c>
      <c r="Z19" s="473">
        <f ca="1">IF(N(U19)=0,0,VLOOKUP(U19,Hraci!$A$1:$I$1500,9,0))</f>
        <v>0</v>
      </c>
      <c r="AA19" s="469" t="str">
        <f t="shared" ca="1" si="11"/>
        <v/>
      </c>
      <c r="AB19" s="470" t="str">
        <f ca="1">IF(N(AA19)&gt;0,VLOOKUP(AA19,Hraci!$A$1:$I$1500,2,0)," ")</f>
        <v xml:space="preserve"> </v>
      </c>
      <c r="AC19" s="471" t="str">
        <f ca="1">IF(N(AA19)&gt;0,VLOOKUP(AA19,Hraci!$A$1:$I$1500,3,0)," ")</f>
        <v xml:space="preserve"> </v>
      </c>
      <c r="AD19" s="471" t="str">
        <f ca="1">IF(N(AA19)&gt;0,VLOOKUP(AA19,Hraci!$A$1:$I$1500,5,0)," ")</f>
        <v xml:space="preserve"> </v>
      </c>
      <c r="AE19" s="472">
        <f ca="1">IF(N(AA19)=0,9999,VLOOKUP(AA19,Hraci!$A$1:$I$1500,8,0))</f>
        <v>9999</v>
      </c>
      <c r="AF19" s="473">
        <f ca="1">IF(N(AA19)=0,0,VLOOKUP(AA19,Hraci!$A$1:$I$1500,9,0))</f>
        <v>0</v>
      </c>
      <c r="AG19" s="474"/>
      <c r="AH19" s="480">
        <v>6</v>
      </c>
      <c r="AI19" s="475">
        <f ca="1">IF(N($AH19)&gt;0,VLOOKUP($AH19,Body!$A$4:$F$259,5,0),"")</f>
        <v>442.96696874999998</v>
      </c>
      <c r="AJ19" s="476">
        <f ca="1">IF(N($AH19)&gt;0,VLOOKUP($AH19,Body!$A$4:$F$259,6,0),"")</f>
        <v>200</v>
      </c>
      <c r="AK19" s="475">
        <f ca="1">IF(N($AH19)&gt;0,VLOOKUP($AH19,Body!$A$4:$F$259,2,0),"")</f>
        <v>5.5</v>
      </c>
      <c r="AL19" s="477" t="str">
        <f t="shared" ca="1" si="12"/>
        <v>9 VARAN - Valenz Lukáš</v>
      </c>
      <c r="AM19" s="478">
        <f t="shared" ca="1" si="13"/>
        <v>40.5</v>
      </c>
      <c r="AN19" s="408">
        <f ca="1">IF(OR(TYPE(I19)&gt;1,TYPE(MATCH(I19,I20:I$267,0))&gt;1),0,MATCH(I19,I20:I$267,0))+IF(OR(TYPE(I19)&gt;1,TYPE(MATCH(I19,O$11:O$267,0))&gt;1),0,MATCH(I19,O$11:O$267,0))+IF(OR(TYPE(I19)&gt;1,TYPE(MATCH(I19,U$11:U$267,0))&gt;1),0,MATCH(I19,U$11:U$267,0))+IF(OR(TYPE(I19)&gt;1,TYPE(MATCH(I19,AA$11:AA$267,0))&gt;1),0,MATCH(I19,AA$11:AA$267,0))</f>
        <v>0</v>
      </c>
      <c r="AO19" s="408">
        <f ca="1">IF(OR(TYPE(O19)&gt;1,TYPE(MATCH(O19,I$11:I$267,0))&gt;1),0,MATCH(O19,I$11:I$267,0))+IF(OR(TYPE(O19)&gt;1,TYPE(MATCH(O19,O20:O$267,0))&gt;1),0,MATCH(O19,O20:O$267,0))+IF(OR(TYPE(O19)&gt;1,TYPE(MATCH(O19,U$11:U$267,0))&gt;1),0,MATCH(O19,U$11:U$267,0))+IF(OR(TYPE(O19)&gt;1,TYPE(MATCH(O19,AA$11:AA$267,0))&gt;1),0,MATCH(O19,AA$11:AA$267,0))</f>
        <v>0</v>
      </c>
      <c r="AP19" s="408">
        <f ca="1">IF(OR(TYPE(U19)&gt;1,TYPE(MATCH(U19,I$11:I$267,0))&gt;1),0,MATCH(U19,I$11:I$267,0))+IF(OR(TYPE(U19)&gt;1,TYPE(MATCH(U19,O$11:O$267,0))&gt;1),0,MATCH(U19,O$11:O$267,0))+IF(OR(TYPE(U19)&gt;1,TYPE(MATCH(U19,U20:U$267,0))&gt;1),0,MATCH(U19,U20:U$267,0))+IF(OR(TYPE(U19)&gt;1,TYPE(MATCH(U19,AA$11:AA$267,0))&gt;1),0,MATCH(U19,AA$11:AA$267,0))</f>
        <v>0</v>
      </c>
      <c r="AQ19" s="408">
        <f ca="1">IF(OR(TYPE(AA19)&gt;1,TYPE(MATCH(AA19,I$11:I$267,0))&gt;1),0,MATCH(AA19,I$11:I$267,0))+IF(OR(TYPE(AA19)&gt;1,TYPE(MATCH(AA19,O$11:O$267,0))&gt;1),0,MATCH(AA19,O$11:O$267,0))+IF(OR(TYPE(AA19)&gt;1,TYPE(MATCH(AA19,U$11:U$267,0))&gt;1),0,MATCH(U19,U$11:U$267,0))+IF(OR(TYPE(AA19)&gt;1,TYPE(MATCH(AA19,AA20:AA$267,0))&gt;1),0,MATCH(AA19,AA20:AA$267,0))</f>
        <v>0</v>
      </c>
      <c r="AR19" s="408">
        <f t="shared" ca="1" si="14"/>
        <v>0</v>
      </c>
      <c r="BF19" s="408">
        <f t="shared" si="15"/>
        <v>9</v>
      </c>
    </row>
    <row r="20" spans="1:58" ht="14.25">
      <c r="A20" s="430">
        <f t="shared" ca="1" si="0"/>
        <v>1</v>
      </c>
      <c r="B20" s="430">
        <f t="shared" ca="1" si="1"/>
        <v>1</v>
      </c>
      <c r="C20" s="430">
        <f t="shared" ca="1" si="2"/>
        <v>40.375</v>
      </c>
      <c r="D20" s="430">
        <f t="shared" ca="1" si="3"/>
        <v>20026</v>
      </c>
      <c r="E20" s="430">
        <f t="shared" ca="1" si="4"/>
        <v>28</v>
      </c>
      <c r="F20" s="431" t="str">
        <f t="shared" ca="1" si="5"/>
        <v>91040375979973999971000956</v>
      </c>
      <c r="G20" s="467" t="b">
        <f t="shared" ca="1" si="6"/>
        <v>0</v>
      </c>
      <c r="H20" s="468">
        <f t="shared" si="7"/>
        <v>10</v>
      </c>
      <c r="I20" s="469">
        <f t="shared" ca="1" si="8"/>
        <v>14008</v>
      </c>
      <c r="J20" s="470" t="str">
        <f ca="1">IF(N(I20)&gt;0,VLOOKUP(I20,Hraci!$A$1:$I$1500,2,0),IF(TYPE(INDIRECT(ADDRESS(ROW() + $A$9-9 + (ROW()-11)*4,2,1,1,"Internet")))&gt;1,INDIRECT(ADDRESS(ROW() + $A$9-9 + (ROW()-11)*4,2,1,1,"Internet"))," "))</f>
        <v>Bačo</v>
      </c>
      <c r="K20" s="471" t="str">
        <f ca="1">IF(N(I20)&gt;0,VLOOKUP(I20,Hraci!$A$1:$I$1500,3,0)," ")</f>
        <v>David</v>
      </c>
      <c r="L20" s="471" t="str">
        <f ca="1">IF(N(I20)&gt;0,VLOOKUP(I20,Hraci!$A$1:$I$1500,5,0),IF(TYPE(INDIRECT(ADDRESS(ROW() + $A$9-9 + (ROW()-11)*4,3,1,1,"Internet")))&gt;1,INDIRECT(ADDRESS(ROW() + $A$9-9 + (ROW()-11)*4,3,1,1,"Internet"))," "))</f>
        <v>TOP - ORLOVÁ</v>
      </c>
      <c r="M20" s="472">
        <f ca="1">IF(N(I20)=0,9999,VLOOKUP(I20,Hraci!$A$1:$I$1500,8,0))</f>
        <v>28</v>
      </c>
      <c r="N20" s="473">
        <f ca="1">IF(N(I20)=0,0,VLOOKUP(I20,Hraci!$A$1:$I$1500,9,0))</f>
        <v>40.375</v>
      </c>
      <c r="O20" s="469" t="str">
        <f t="shared" ca="1" si="9"/>
        <v/>
      </c>
      <c r="P20" s="470" t="str">
        <f ca="1">IF(N(O20)&gt;0,VLOOKUP(O20,Hraci!$A$1:$I$1500,2,0),IF(TYPE(INDIRECT(ADDRESS(ROW() + $A$9-8 + (ROW()-11)*4,2,1,1,"Internet")))&gt;1,INDIRECT(ADDRESS(ROW() + $A$9-8 + (ROW()-11)*4,2,1,1,"Internet"))," "))</f>
        <v xml:space="preserve"> </v>
      </c>
      <c r="Q20" s="471" t="str">
        <f ca="1">IF(N(O20)&gt;0,VLOOKUP(O20,Hraci!$A$1:$I$1500,3,0)," ")</f>
        <v xml:space="preserve"> </v>
      </c>
      <c r="R20" s="471" t="str">
        <f ca="1">IF(N(O20)&gt;0,VLOOKUP(O20,Hraci!$A$1:$I$1500,5,0),IF(TYPE(INDIRECT(ADDRESS(ROW() + $A$9-8 + (ROW()-11)*4,3,1,1,"Internet")))&gt;1,INDIRECT(ADDRESS(ROW() + $A$9-8 + (ROW()-11)*4,3,1,1,"Internet"))," "))</f>
        <v xml:space="preserve"> </v>
      </c>
      <c r="S20" s="472">
        <f ca="1">IF(N(O20)=0,9999,VLOOKUP(O20,Hraci!$A$1:$I$1500,8,0))</f>
        <v>9999</v>
      </c>
      <c r="T20" s="473">
        <f ca="1">IF(N(O20)=0,0,VLOOKUP(O20,Hraci!$A$1:$I$1500,9,0))</f>
        <v>0</v>
      </c>
      <c r="U20" s="469" t="str">
        <f t="shared" ca="1" si="10"/>
        <v/>
      </c>
      <c r="V20" s="470" t="str">
        <f ca="1">IF(N(U20)&gt;0,VLOOKUP(U20,Hraci!$A$1:$I$1500,2,0),IF(TYPE(INDIRECT(ADDRESS(ROW() + $A$9-7 + (ROW()-11)*4,2,1,1,"Internet")))&gt;1,INDIRECT(ADDRESS(ROW() + $A$9-7 + (ROW()-11)*4,2,1,1,"Internet"))," "))</f>
        <v xml:space="preserve"> </v>
      </c>
      <c r="W20" s="471" t="str">
        <f ca="1">IF(N(U20)&gt;0,VLOOKUP(U20,Hraci!$A$1:$I$1500,3,0)," ")</f>
        <v xml:space="preserve"> </v>
      </c>
      <c r="X20" s="471" t="str">
        <f ca="1">IF(N(U20)&gt;0,VLOOKUP(U20,Hraci!$A$1:$I$1500,5,0),IF(TYPE(INDIRECT(ADDRESS(ROW() + $A$9-7 + (ROW()-11)*4,3,1,1,"Internet")))&gt;1,INDIRECT(ADDRESS(ROW() + $A$9-7 + (ROW()-11)*4,3,1,1,"Internet"))," "))</f>
        <v xml:space="preserve"> </v>
      </c>
      <c r="Y20" s="472">
        <f ca="1">IF(N(U20)=0,9999,VLOOKUP(U20,Hraci!$A$1:$I$1500,8,0))</f>
        <v>9999</v>
      </c>
      <c r="Z20" s="473">
        <f ca="1">IF(N(U20)=0,0,VLOOKUP(U20,Hraci!$A$1:$I$1500,9,0))</f>
        <v>0</v>
      </c>
      <c r="AA20" s="469" t="str">
        <f t="shared" ca="1" si="11"/>
        <v/>
      </c>
      <c r="AB20" s="470" t="str">
        <f ca="1">IF(N(AA20)&gt;0,VLOOKUP(AA20,Hraci!$A$1:$I$1500,2,0)," ")</f>
        <v xml:space="preserve"> </v>
      </c>
      <c r="AC20" s="471" t="str">
        <f ca="1">IF(N(AA20)&gt;0,VLOOKUP(AA20,Hraci!$A$1:$I$1500,3,0)," ")</f>
        <v xml:space="preserve"> </v>
      </c>
      <c r="AD20" s="471" t="str">
        <f ca="1">IF(N(AA20)&gt;0,VLOOKUP(AA20,Hraci!$A$1:$I$1500,5,0)," ")</f>
        <v xml:space="preserve"> </v>
      </c>
      <c r="AE20" s="472">
        <f ca="1">IF(N(AA20)=0,9999,VLOOKUP(AA20,Hraci!$A$1:$I$1500,8,0))</f>
        <v>9999</v>
      </c>
      <c r="AF20" s="473">
        <f ca="1">IF(N(AA20)=0,0,VLOOKUP(AA20,Hraci!$A$1:$I$1500,9,0))</f>
        <v>0</v>
      </c>
      <c r="AG20" s="474"/>
      <c r="AH20" s="480">
        <v>16</v>
      </c>
      <c r="AI20" s="475">
        <f ca="1">IF(N($AH20)&gt;0,VLOOKUP($AH20,Body!$A$4:$F$259,5,0),"")</f>
        <v>376.70325000000003</v>
      </c>
      <c r="AJ20" s="476">
        <f ca="1">IF(N($AH20)&gt;0,VLOOKUP($AH20,Body!$A$4:$F$259,6,0),"")</f>
        <v>200</v>
      </c>
      <c r="AK20" s="475">
        <f ca="1">IF(N($AH20)&gt;0,VLOOKUP($AH20,Body!$A$4:$F$259,2,0),"")</f>
        <v>4</v>
      </c>
      <c r="AL20" s="477" t="str">
        <f t="shared" ca="1" si="12"/>
        <v>10 TOP - ORLOVÁ - Bačo David</v>
      </c>
      <c r="AM20" s="478">
        <f t="shared" ca="1" si="13"/>
        <v>40.375</v>
      </c>
      <c r="AN20" s="408">
        <f ca="1">IF(OR(TYPE(I20)&gt;1,TYPE(MATCH(I20,I21:I$267,0))&gt;1),0,MATCH(I20,I21:I$267,0))+IF(OR(TYPE(I20)&gt;1,TYPE(MATCH(I20,O$11:O$267,0))&gt;1),0,MATCH(I20,O$11:O$267,0))+IF(OR(TYPE(I20)&gt;1,TYPE(MATCH(I20,U$11:U$267,0))&gt;1),0,MATCH(I20,U$11:U$267,0))+IF(OR(TYPE(I20)&gt;1,TYPE(MATCH(I20,AA$11:AA$267,0))&gt;1),0,MATCH(I20,AA$11:AA$267,0))</f>
        <v>0</v>
      </c>
      <c r="AO20" s="408">
        <f ca="1">IF(OR(TYPE(O20)&gt;1,TYPE(MATCH(O20,I$11:I$267,0))&gt;1),0,MATCH(O20,I$11:I$267,0))+IF(OR(TYPE(O20)&gt;1,TYPE(MATCH(O20,O21:O$267,0))&gt;1),0,MATCH(O20,O21:O$267,0))+IF(OR(TYPE(O20)&gt;1,TYPE(MATCH(O20,U$11:U$267,0))&gt;1),0,MATCH(O20,U$11:U$267,0))+IF(OR(TYPE(O20)&gt;1,TYPE(MATCH(O20,AA$11:AA$267,0))&gt;1),0,MATCH(O20,AA$11:AA$267,0))</f>
        <v>0</v>
      </c>
      <c r="AP20" s="408">
        <f ca="1">IF(OR(TYPE(U20)&gt;1,TYPE(MATCH(U20,I$11:I$267,0))&gt;1),0,MATCH(U20,I$11:I$267,0))+IF(OR(TYPE(U20)&gt;1,TYPE(MATCH(U20,O$11:O$267,0))&gt;1),0,MATCH(U20,O$11:O$267,0))+IF(OR(TYPE(U20)&gt;1,TYPE(MATCH(U20,U21:U$267,0))&gt;1),0,MATCH(U20,U21:U$267,0))+IF(OR(TYPE(U20)&gt;1,TYPE(MATCH(U20,AA$11:AA$267,0))&gt;1),0,MATCH(U20,AA$11:AA$267,0))</f>
        <v>0</v>
      </c>
      <c r="AQ20" s="408">
        <f ca="1">IF(OR(TYPE(AA20)&gt;1,TYPE(MATCH(AA20,I$11:I$267,0))&gt;1),0,MATCH(AA20,I$11:I$267,0))+IF(OR(TYPE(AA20)&gt;1,TYPE(MATCH(AA20,O$11:O$267,0))&gt;1),0,MATCH(AA20,O$11:O$267,0))+IF(OR(TYPE(AA20)&gt;1,TYPE(MATCH(AA20,U$11:U$267,0))&gt;1),0,MATCH(U20,U$11:U$267,0))+IF(OR(TYPE(AA20)&gt;1,TYPE(MATCH(AA20,AA21:AA$267,0))&gt;1),0,MATCH(AA20,AA21:AA$267,0))</f>
        <v>0</v>
      </c>
      <c r="AR20" s="408">
        <f t="shared" ca="1" si="14"/>
        <v>0</v>
      </c>
      <c r="BF20" s="408">
        <f t="shared" si="15"/>
        <v>10</v>
      </c>
    </row>
    <row r="21" spans="1:58" ht="14.25">
      <c r="A21" s="430">
        <f t="shared" ca="1" si="0"/>
        <v>1</v>
      </c>
      <c r="B21" s="430">
        <f t="shared" ca="1" si="1"/>
        <v>1</v>
      </c>
      <c r="C21" s="430">
        <f t="shared" ca="1" si="2"/>
        <v>39.375</v>
      </c>
      <c r="D21" s="430">
        <f t="shared" ca="1" si="3"/>
        <v>20015</v>
      </c>
      <c r="E21" s="430">
        <f t="shared" ca="1" si="4"/>
        <v>17</v>
      </c>
      <c r="F21" s="431" t="str">
        <f t="shared" ca="1" si="5"/>
        <v>91039375979984999982340160</v>
      </c>
      <c r="G21" s="467" t="b">
        <f t="shared" ca="1" si="6"/>
        <v>0</v>
      </c>
      <c r="H21" s="468">
        <f t="shared" si="7"/>
        <v>11</v>
      </c>
      <c r="I21" s="469">
        <f t="shared" ca="1" si="8"/>
        <v>98446</v>
      </c>
      <c r="J21" s="470" t="str">
        <f ca="1">IF(N(I21)&gt;0,VLOOKUP(I21,Hraci!$A$1:$I$1500,2,0),IF(TYPE(INDIRECT(ADDRESS(ROW() + $A$9-9 + (ROW()-11)*4,2,1,1,"Internet")))&gt;1,INDIRECT(ADDRESS(ROW() + $A$9-9 + (ROW()-11)*4,2,1,1,"Internet"))," "))</f>
        <v>Morávek</v>
      </c>
      <c r="K21" s="471" t="str">
        <f ca="1">IF(N(I21)&gt;0,VLOOKUP(I21,Hraci!$A$1:$I$1500,3,0)," ")</f>
        <v>Petr</v>
      </c>
      <c r="L21" s="471" t="str">
        <f ca="1">IF(N(I21)&gt;0,VLOOKUP(I21,Hraci!$A$1:$I$1500,5,0),IF(TYPE(INDIRECT(ADDRESS(ROW() + $A$9-9 + (ROW()-11)*4,3,1,1,"Internet")))&gt;1,INDIRECT(ADDRESS(ROW() + $A$9-9 + (ROW()-11)*4,3,1,1,"Internet"))," "))</f>
        <v>PC Sokol Lipník</v>
      </c>
      <c r="M21" s="472">
        <f ca="1">IF(N(I21)=0,9999,VLOOKUP(I21,Hraci!$A$1:$I$1500,8,0))</f>
        <v>17</v>
      </c>
      <c r="N21" s="473">
        <f ca="1">IF(N(I21)=0,0,VLOOKUP(I21,Hraci!$A$1:$I$1500,9,0))</f>
        <v>39.375</v>
      </c>
      <c r="O21" s="469" t="str">
        <f t="shared" ca="1" si="9"/>
        <v/>
      </c>
      <c r="P21" s="470" t="str">
        <f ca="1">IF(N(O21)&gt;0,VLOOKUP(O21,Hraci!$A$1:$I$1500,2,0),IF(TYPE(INDIRECT(ADDRESS(ROW() + $A$9-8 + (ROW()-11)*4,2,1,1,"Internet")))&gt;1,INDIRECT(ADDRESS(ROW() + $A$9-8 + (ROW()-11)*4,2,1,1,"Internet"))," "))</f>
        <v xml:space="preserve"> </v>
      </c>
      <c r="Q21" s="471" t="str">
        <f ca="1">IF(N(O21)&gt;0,VLOOKUP(O21,Hraci!$A$1:$I$1500,3,0)," ")</f>
        <v xml:space="preserve"> </v>
      </c>
      <c r="R21" s="471" t="str">
        <f ca="1">IF(N(O21)&gt;0,VLOOKUP(O21,Hraci!$A$1:$I$1500,5,0),IF(TYPE(INDIRECT(ADDRESS(ROW() + $A$9-8 + (ROW()-11)*4,3,1,1,"Internet")))&gt;1,INDIRECT(ADDRESS(ROW() + $A$9-8 + (ROW()-11)*4,3,1,1,"Internet"))," "))</f>
        <v xml:space="preserve"> </v>
      </c>
      <c r="S21" s="472">
        <f ca="1">IF(N(O21)=0,9999,VLOOKUP(O21,Hraci!$A$1:$I$1500,8,0))</f>
        <v>9999</v>
      </c>
      <c r="T21" s="473">
        <f ca="1">IF(N(O21)=0,0,VLOOKUP(O21,Hraci!$A$1:$I$1500,9,0))</f>
        <v>0</v>
      </c>
      <c r="U21" s="469" t="str">
        <f t="shared" ca="1" si="10"/>
        <v/>
      </c>
      <c r="V21" s="470" t="str">
        <f ca="1">IF(N(U21)&gt;0,VLOOKUP(U21,Hraci!$A$1:$I$1500,2,0),IF(TYPE(INDIRECT(ADDRESS(ROW() + $A$9-7 + (ROW()-11)*4,2,1,1,"Internet")))&gt;1,INDIRECT(ADDRESS(ROW() + $A$9-7 + (ROW()-11)*4,2,1,1,"Internet"))," "))</f>
        <v xml:space="preserve"> </v>
      </c>
      <c r="W21" s="471" t="str">
        <f ca="1">IF(N(U21)&gt;0,VLOOKUP(U21,Hraci!$A$1:$I$1500,3,0)," ")</f>
        <v xml:space="preserve"> </v>
      </c>
      <c r="X21" s="471" t="str">
        <f ca="1">IF(N(U21)&gt;0,VLOOKUP(U21,Hraci!$A$1:$I$1500,5,0),IF(TYPE(INDIRECT(ADDRESS(ROW() + $A$9-7 + (ROW()-11)*4,3,1,1,"Internet")))&gt;1,INDIRECT(ADDRESS(ROW() + $A$9-7 + (ROW()-11)*4,3,1,1,"Internet"))," "))</f>
        <v xml:space="preserve"> </v>
      </c>
      <c r="Y21" s="472">
        <f ca="1">IF(N(U21)=0,9999,VLOOKUP(U21,Hraci!$A$1:$I$1500,8,0))</f>
        <v>9999</v>
      </c>
      <c r="Z21" s="473">
        <f ca="1">IF(N(U21)=0,0,VLOOKUP(U21,Hraci!$A$1:$I$1500,9,0))</f>
        <v>0</v>
      </c>
      <c r="AA21" s="469" t="str">
        <f t="shared" ca="1" si="11"/>
        <v/>
      </c>
      <c r="AB21" s="470" t="str">
        <f ca="1">IF(N(AA21)&gt;0,VLOOKUP(AA21,Hraci!$A$1:$I$1500,2,0)," ")</f>
        <v xml:space="preserve"> </v>
      </c>
      <c r="AC21" s="471" t="str">
        <f ca="1">IF(N(AA21)&gt;0,VLOOKUP(AA21,Hraci!$A$1:$I$1500,3,0)," ")</f>
        <v xml:space="preserve"> </v>
      </c>
      <c r="AD21" s="471" t="str">
        <f ca="1">IF(N(AA21)&gt;0,VLOOKUP(AA21,Hraci!$A$1:$I$1500,5,0)," ")</f>
        <v xml:space="preserve"> </v>
      </c>
      <c r="AE21" s="472">
        <f ca="1">IF(N(AA21)=0,9999,VLOOKUP(AA21,Hraci!$A$1:$I$1500,8,0))</f>
        <v>9999</v>
      </c>
      <c r="AF21" s="473">
        <f ca="1">IF(N(AA21)=0,0,VLOOKUP(AA21,Hraci!$A$1:$I$1500,9,0))</f>
        <v>0</v>
      </c>
      <c r="AG21" s="474"/>
      <c r="AH21" s="480">
        <v>129</v>
      </c>
      <c r="AI21" s="475">
        <f ca="1">IF(N($AH21)&gt;0,VLOOKUP($AH21,Body!$A$4:$F$259,5,0),"")</f>
        <v>553.40650000000005</v>
      </c>
      <c r="AJ21" s="476">
        <f ca="1">IF(N($AH21)&gt;0,VLOOKUP($AH21,Body!$A$4:$F$259,6,0),"")</f>
        <v>200</v>
      </c>
      <c r="AK21" s="475">
        <f ca="1">IF(N($AH21)&gt;0,VLOOKUP($AH21,Body!$A$4:$F$259,2,0),"")</f>
        <v>8</v>
      </c>
      <c r="AL21" s="477" t="str">
        <f t="shared" ca="1" si="12"/>
        <v>11 PC Sokol Lipník - Morávek Petr</v>
      </c>
      <c r="AM21" s="478">
        <f t="shared" ca="1" si="13"/>
        <v>39.375</v>
      </c>
      <c r="AN21" s="408">
        <f ca="1">IF(OR(TYPE(I21)&gt;1,TYPE(MATCH(I21,I22:I$267,0))&gt;1),0,MATCH(I21,I22:I$267,0))+IF(OR(TYPE(I21)&gt;1,TYPE(MATCH(I21,O$11:O$267,0))&gt;1),0,MATCH(I21,O$11:O$267,0))+IF(OR(TYPE(I21)&gt;1,TYPE(MATCH(I21,U$11:U$267,0))&gt;1),0,MATCH(I21,U$11:U$267,0))+IF(OR(TYPE(I21)&gt;1,TYPE(MATCH(I21,AA$11:AA$267,0))&gt;1),0,MATCH(I21,AA$11:AA$267,0))</f>
        <v>0</v>
      </c>
      <c r="AO21" s="408">
        <f ca="1">IF(OR(TYPE(O21)&gt;1,TYPE(MATCH(O21,I$11:I$267,0))&gt;1),0,MATCH(O21,I$11:I$267,0))+IF(OR(TYPE(O21)&gt;1,TYPE(MATCH(O21,O22:O$267,0))&gt;1),0,MATCH(O21,O22:O$267,0))+IF(OR(TYPE(O21)&gt;1,TYPE(MATCH(O21,U$11:U$267,0))&gt;1),0,MATCH(O21,U$11:U$267,0))+IF(OR(TYPE(O21)&gt;1,TYPE(MATCH(O21,AA$11:AA$267,0))&gt;1),0,MATCH(O21,AA$11:AA$267,0))</f>
        <v>0</v>
      </c>
      <c r="AP21" s="408">
        <f ca="1">IF(OR(TYPE(U21)&gt;1,TYPE(MATCH(U21,I$11:I$267,0))&gt;1),0,MATCH(U21,I$11:I$267,0))+IF(OR(TYPE(U21)&gt;1,TYPE(MATCH(U21,O$11:O$267,0))&gt;1),0,MATCH(U21,O$11:O$267,0))+IF(OR(TYPE(U21)&gt;1,TYPE(MATCH(U21,U22:U$267,0))&gt;1),0,MATCH(U21,U22:U$267,0))+IF(OR(TYPE(U21)&gt;1,TYPE(MATCH(U21,AA$11:AA$267,0))&gt;1),0,MATCH(U21,AA$11:AA$267,0))</f>
        <v>0</v>
      </c>
      <c r="AQ21" s="408">
        <f ca="1">IF(OR(TYPE(AA21)&gt;1,TYPE(MATCH(AA21,I$11:I$267,0))&gt;1),0,MATCH(AA21,I$11:I$267,0))+IF(OR(TYPE(AA21)&gt;1,TYPE(MATCH(AA21,O$11:O$267,0))&gt;1),0,MATCH(AA21,O$11:O$267,0))+IF(OR(TYPE(AA21)&gt;1,TYPE(MATCH(AA21,U$11:U$267,0))&gt;1),0,MATCH(U21,U$11:U$267,0))+IF(OR(TYPE(AA21)&gt;1,TYPE(MATCH(AA21,AA22:AA$267,0))&gt;1),0,MATCH(AA21,AA22:AA$267,0))</f>
        <v>0</v>
      </c>
      <c r="AR21" s="408">
        <f t="shared" ca="1" si="14"/>
        <v>0</v>
      </c>
      <c r="BF21" s="408">
        <f t="shared" si="15"/>
        <v>11</v>
      </c>
    </row>
    <row r="22" spans="1:58" ht="14.25">
      <c r="A22" s="430">
        <f t="shared" ca="1" si="0"/>
        <v>1</v>
      </c>
      <c r="B22" s="430">
        <f t="shared" ca="1" si="1"/>
        <v>1</v>
      </c>
      <c r="C22" s="430">
        <f t="shared" ca="1" si="2"/>
        <v>38.938000000000002</v>
      </c>
      <c r="D22" s="430">
        <f t="shared" ca="1" si="3"/>
        <v>20019</v>
      </c>
      <c r="E22" s="430">
        <f t="shared" ca="1" si="4"/>
        <v>21</v>
      </c>
      <c r="F22" s="431" t="str">
        <f t="shared" ca="1" si="5"/>
        <v>91038938979980999978962064</v>
      </c>
      <c r="G22" s="467" t="b">
        <f t="shared" ca="1" si="6"/>
        <v>0</v>
      </c>
      <c r="H22" s="468">
        <f t="shared" si="7"/>
        <v>12</v>
      </c>
      <c r="I22" s="469">
        <f t="shared" ca="1" si="8"/>
        <v>23086</v>
      </c>
      <c r="J22" s="470" t="str">
        <f ca="1">IF(N(I22)&gt;0,VLOOKUP(I22,Hraci!$A$1:$I$1500,2,0),IF(TYPE(INDIRECT(ADDRESS(ROW() + $A$9-9 + (ROW()-11)*4,2,1,1,"Internet")))&gt;1,INDIRECT(ADDRESS(ROW() + $A$9-9 + (ROW()-11)*4,2,1,1,"Internet"))," "))</f>
        <v>Řehoř</v>
      </c>
      <c r="K22" s="471" t="str">
        <f ca="1">IF(N(I22)&gt;0,VLOOKUP(I22,Hraci!$A$1:$I$1500,3,0)," ")</f>
        <v>Miroslav</v>
      </c>
      <c r="L22" s="471" t="str">
        <f ca="1">IF(N(I22)&gt;0,VLOOKUP(I22,Hraci!$A$1:$I$1500,5,0),IF(TYPE(INDIRECT(ADDRESS(ROW() + $A$9-9 + (ROW()-11)*4,3,1,1,"Internet")))&gt;1,INDIRECT(ADDRESS(ROW() + $A$9-9 + (ROW()-11)*4,3,1,1,"Internet"))," "))</f>
        <v>FRAPECO</v>
      </c>
      <c r="M22" s="472">
        <f ca="1">IF(N(I22)=0,9999,VLOOKUP(I22,Hraci!$A$1:$I$1500,8,0))</f>
        <v>21</v>
      </c>
      <c r="N22" s="473">
        <f ca="1">IF(N(I22)=0,0,VLOOKUP(I22,Hraci!$A$1:$I$1500,9,0))</f>
        <v>38.938000000000002</v>
      </c>
      <c r="O22" s="469" t="str">
        <f t="shared" ca="1" si="9"/>
        <v/>
      </c>
      <c r="P22" s="470" t="str">
        <f ca="1">IF(N(O22)&gt;0,VLOOKUP(O22,Hraci!$A$1:$I$1500,2,0),IF(TYPE(INDIRECT(ADDRESS(ROW() + $A$9-8 + (ROW()-11)*4,2,1,1,"Internet")))&gt;1,INDIRECT(ADDRESS(ROW() + $A$9-8 + (ROW()-11)*4,2,1,1,"Internet"))," "))</f>
        <v xml:space="preserve"> </v>
      </c>
      <c r="Q22" s="471" t="str">
        <f ca="1">IF(N(O22)&gt;0,VLOOKUP(O22,Hraci!$A$1:$I$1500,3,0)," ")</f>
        <v xml:space="preserve"> </v>
      </c>
      <c r="R22" s="471" t="str">
        <f ca="1">IF(N(O22)&gt;0,VLOOKUP(O22,Hraci!$A$1:$I$1500,5,0),IF(TYPE(INDIRECT(ADDRESS(ROW() + $A$9-8 + (ROW()-11)*4,3,1,1,"Internet")))&gt;1,INDIRECT(ADDRESS(ROW() + $A$9-8 + (ROW()-11)*4,3,1,1,"Internet"))," "))</f>
        <v xml:space="preserve"> </v>
      </c>
      <c r="S22" s="472">
        <f ca="1">IF(N(O22)=0,9999,VLOOKUP(O22,Hraci!$A$1:$I$1500,8,0))</f>
        <v>9999</v>
      </c>
      <c r="T22" s="473">
        <f ca="1">IF(N(O22)=0,0,VLOOKUP(O22,Hraci!$A$1:$I$1500,9,0))</f>
        <v>0</v>
      </c>
      <c r="U22" s="469" t="str">
        <f t="shared" ca="1" si="10"/>
        <v/>
      </c>
      <c r="V22" s="470" t="str">
        <f ca="1">IF(N(U22)&gt;0,VLOOKUP(U22,Hraci!$A$1:$I$1500,2,0),IF(TYPE(INDIRECT(ADDRESS(ROW() + $A$9-7 + (ROW()-11)*4,2,1,1,"Internet")))&gt;1,INDIRECT(ADDRESS(ROW() + $A$9-7 + (ROW()-11)*4,2,1,1,"Internet"))," "))</f>
        <v xml:space="preserve"> </v>
      </c>
      <c r="W22" s="471" t="str">
        <f ca="1">IF(N(U22)&gt;0,VLOOKUP(U22,Hraci!$A$1:$I$1500,3,0)," ")</f>
        <v xml:space="preserve"> </v>
      </c>
      <c r="X22" s="471" t="str">
        <f ca="1">IF(N(U22)&gt;0,VLOOKUP(U22,Hraci!$A$1:$I$1500,5,0),IF(TYPE(INDIRECT(ADDRESS(ROW() + $A$9-7 + (ROW()-11)*4,3,1,1,"Internet")))&gt;1,INDIRECT(ADDRESS(ROW() + $A$9-7 + (ROW()-11)*4,3,1,1,"Internet"))," "))</f>
        <v xml:space="preserve"> </v>
      </c>
      <c r="Y22" s="472">
        <f ca="1">IF(N(U22)=0,9999,VLOOKUP(U22,Hraci!$A$1:$I$1500,8,0))</f>
        <v>9999</v>
      </c>
      <c r="Z22" s="473">
        <f ca="1">IF(N(U22)=0,0,VLOOKUP(U22,Hraci!$A$1:$I$1500,9,0))</f>
        <v>0</v>
      </c>
      <c r="AA22" s="469" t="str">
        <f t="shared" ca="1" si="11"/>
        <v/>
      </c>
      <c r="AB22" s="470" t="str">
        <f ca="1">IF(N(AA22)&gt;0,VLOOKUP(AA22,Hraci!$A$1:$I$1500,2,0)," ")</f>
        <v xml:space="preserve"> </v>
      </c>
      <c r="AC22" s="471" t="str">
        <f ca="1">IF(N(AA22)&gt;0,VLOOKUP(AA22,Hraci!$A$1:$I$1500,3,0)," ")</f>
        <v xml:space="preserve"> </v>
      </c>
      <c r="AD22" s="471" t="str">
        <f ca="1">IF(N(AA22)&gt;0,VLOOKUP(AA22,Hraci!$A$1:$I$1500,5,0)," ")</f>
        <v xml:space="preserve"> </v>
      </c>
      <c r="AE22" s="472">
        <f ca="1">IF(N(AA22)=0,9999,VLOOKUP(AA22,Hraci!$A$1:$I$1500,8,0))</f>
        <v>9999</v>
      </c>
      <c r="AF22" s="473">
        <f ca="1">IF(N(AA22)=0,0,VLOOKUP(AA22,Hraci!$A$1:$I$1500,9,0))</f>
        <v>0</v>
      </c>
      <c r="AG22" s="474"/>
      <c r="AH22" s="480">
        <f ca="1">IF(TYPE(VLOOKUP(H22,Nasazení!$A$3:$E$258,5,0))&lt;4,VLOOKUP(H22,Nasazení!$A$3:$E$258,5,0),0)</f>
        <v>64</v>
      </c>
      <c r="AI22" s="475">
        <f ca="1">IF(N($AH22)&gt;0,VLOOKUP($AH22,Body!$A$4:$F$259,5,0),"")</f>
        <v>288.35162500000001</v>
      </c>
      <c r="AJ22" s="476">
        <f ca="1">IF(N($AH22)&gt;0,VLOOKUP($AH22,Body!$A$4:$F$259,6,0),"")</f>
        <v>200</v>
      </c>
      <c r="AK22" s="475">
        <f ca="1">IF(N($AH22)&gt;0,VLOOKUP($AH22,Body!$A$4:$F$259,2,0),"")</f>
        <v>2</v>
      </c>
      <c r="AL22" s="477" t="str">
        <f t="shared" ca="1" si="12"/>
        <v>12 FRAPECO - Řehoř Miroslav</v>
      </c>
      <c r="AM22" s="478">
        <f t="shared" ca="1" si="13"/>
        <v>38.938000000000002</v>
      </c>
      <c r="AN22" s="408">
        <f ca="1">IF(OR(TYPE(I22)&gt;1,TYPE(MATCH(I22,I23:I$267,0))&gt;1),0,MATCH(I22,I23:I$267,0))+IF(OR(TYPE(I22)&gt;1,TYPE(MATCH(I22,O$11:O$267,0))&gt;1),0,MATCH(I22,O$11:O$267,0))+IF(OR(TYPE(I22)&gt;1,TYPE(MATCH(I22,U$11:U$267,0))&gt;1),0,MATCH(I22,U$11:U$267,0))+IF(OR(TYPE(I22)&gt;1,TYPE(MATCH(I22,AA$11:AA$267,0))&gt;1),0,MATCH(I22,AA$11:AA$267,0))</f>
        <v>0</v>
      </c>
      <c r="AO22" s="408">
        <f ca="1">IF(OR(TYPE(O22)&gt;1,TYPE(MATCH(O22,I$11:I$267,0))&gt;1),0,MATCH(O22,I$11:I$267,0))+IF(OR(TYPE(O22)&gt;1,TYPE(MATCH(O22,O23:O$267,0))&gt;1),0,MATCH(O22,O23:O$267,0))+IF(OR(TYPE(O22)&gt;1,TYPE(MATCH(O22,U$11:U$267,0))&gt;1),0,MATCH(O22,U$11:U$267,0))+IF(OR(TYPE(O22)&gt;1,TYPE(MATCH(O22,AA$11:AA$267,0))&gt;1),0,MATCH(O22,AA$11:AA$267,0))</f>
        <v>0</v>
      </c>
      <c r="AP22" s="408">
        <f ca="1">IF(OR(TYPE(U22)&gt;1,TYPE(MATCH(U22,I$11:I$267,0))&gt;1),0,MATCH(U22,I$11:I$267,0))+IF(OR(TYPE(U22)&gt;1,TYPE(MATCH(U22,O$11:O$267,0))&gt;1),0,MATCH(U22,O$11:O$267,0))+IF(OR(TYPE(U22)&gt;1,TYPE(MATCH(U22,U23:U$267,0))&gt;1),0,MATCH(U22,U23:U$267,0))+IF(OR(TYPE(U22)&gt;1,TYPE(MATCH(U22,AA$11:AA$267,0))&gt;1),0,MATCH(U22,AA$11:AA$267,0))</f>
        <v>0</v>
      </c>
      <c r="AQ22" s="408">
        <f ca="1">IF(OR(TYPE(AA22)&gt;1,TYPE(MATCH(AA22,I$11:I$267,0))&gt;1),0,MATCH(AA22,I$11:I$267,0))+IF(OR(TYPE(AA22)&gt;1,TYPE(MATCH(AA22,O$11:O$267,0))&gt;1),0,MATCH(AA22,O$11:O$267,0))+IF(OR(TYPE(AA22)&gt;1,TYPE(MATCH(AA22,U$11:U$267,0))&gt;1),0,MATCH(U22,U$11:U$267,0))+IF(OR(TYPE(AA22)&gt;1,TYPE(MATCH(AA22,AA23:AA$267,0))&gt;1),0,MATCH(AA22,AA23:AA$267,0))</f>
        <v>0</v>
      </c>
      <c r="AR22" s="408">
        <f t="shared" ca="1" si="14"/>
        <v>0</v>
      </c>
      <c r="BF22" s="408">
        <f t="shared" si="15"/>
        <v>12</v>
      </c>
    </row>
    <row r="23" spans="1:58" ht="14.25">
      <c r="A23" s="430">
        <f t="shared" ca="1" si="0"/>
        <v>1</v>
      </c>
      <c r="B23" s="430">
        <f t="shared" ca="1" si="1"/>
        <v>1</v>
      </c>
      <c r="C23" s="430">
        <f t="shared" ca="1" si="2"/>
        <v>38.625</v>
      </c>
      <c r="D23" s="430">
        <f t="shared" ca="1" si="3"/>
        <v>20008</v>
      </c>
      <c r="E23" s="430">
        <f t="shared" ca="1" si="4"/>
        <v>10</v>
      </c>
      <c r="F23" s="431" t="str">
        <f t="shared" ca="1" si="5"/>
        <v>91038625979991999989103938</v>
      </c>
      <c r="G23" s="467" t="b">
        <f t="shared" ca="1" si="6"/>
        <v>0</v>
      </c>
      <c r="H23" s="468">
        <f t="shared" si="7"/>
        <v>13</v>
      </c>
      <c r="I23" s="469">
        <f t="shared" ca="1" si="8"/>
        <v>15058</v>
      </c>
      <c r="J23" s="470" t="str">
        <f ca="1">IF(N(I23)&gt;0,VLOOKUP(I23,Hraci!$A$1:$I$1500,2,0),IF(TYPE(INDIRECT(ADDRESS(ROW() + $A$9-9 + (ROW()-11)*4,2,1,1,"Internet")))&gt;1,INDIRECT(ADDRESS(ROW() + $A$9-9 + (ROW()-11)*4,2,1,1,"Internet"))," "))</f>
        <v>Zdobinský</v>
      </c>
      <c r="K23" s="471" t="str">
        <f ca="1">IF(N(I23)&gt;0,VLOOKUP(I23,Hraci!$A$1:$I$1500,3,0)," ")</f>
        <v>Michal ml.</v>
      </c>
      <c r="L23" s="471" t="str">
        <f ca="1">IF(N(I23)&gt;0,VLOOKUP(I23,Hraci!$A$1:$I$1500,5,0),IF(TYPE(INDIRECT(ADDRESS(ROW() + $A$9-9 + (ROW()-11)*4,3,1,1,"Internet")))&gt;1,INDIRECT(ADDRESS(ROW() + $A$9-9 + (ROW()-11)*4,3,1,1,"Internet"))," "))</f>
        <v>PC Sokol Lipník</v>
      </c>
      <c r="M23" s="472">
        <f ca="1">IF(N(I23)=0,9999,VLOOKUP(I23,Hraci!$A$1:$I$1500,8,0))</f>
        <v>10</v>
      </c>
      <c r="N23" s="473">
        <f ca="1">IF(N(I23)=0,0,VLOOKUP(I23,Hraci!$A$1:$I$1500,9,0))</f>
        <v>38.625</v>
      </c>
      <c r="O23" s="469" t="str">
        <f t="shared" ca="1" si="9"/>
        <v/>
      </c>
      <c r="P23" s="470" t="str">
        <f ca="1">IF(N(O23)&gt;0,VLOOKUP(O23,Hraci!$A$1:$I$1500,2,0),IF(TYPE(INDIRECT(ADDRESS(ROW() + $A$9-8 + (ROW()-11)*4,2,1,1,"Internet")))&gt;1,INDIRECT(ADDRESS(ROW() + $A$9-8 + (ROW()-11)*4,2,1,1,"Internet"))," "))</f>
        <v xml:space="preserve"> </v>
      </c>
      <c r="Q23" s="471" t="str">
        <f ca="1">IF(N(O23)&gt;0,VLOOKUP(O23,Hraci!$A$1:$I$1500,3,0)," ")</f>
        <v xml:space="preserve"> </v>
      </c>
      <c r="R23" s="471" t="str">
        <f ca="1">IF(N(O23)&gt;0,VLOOKUP(O23,Hraci!$A$1:$I$1500,5,0),IF(TYPE(INDIRECT(ADDRESS(ROW() + $A$9-8 + (ROW()-11)*4,3,1,1,"Internet")))&gt;1,INDIRECT(ADDRESS(ROW() + $A$9-8 + (ROW()-11)*4,3,1,1,"Internet"))," "))</f>
        <v xml:space="preserve"> </v>
      </c>
      <c r="S23" s="472">
        <f ca="1">IF(N(O23)=0,9999,VLOOKUP(O23,Hraci!$A$1:$I$1500,8,0))</f>
        <v>9999</v>
      </c>
      <c r="T23" s="473">
        <f ca="1">IF(N(O23)=0,0,VLOOKUP(O23,Hraci!$A$1:$I$1500,9,0))</f>
        <v>0</v>
      </c>
      <c r="U23" s="469" t="str">
        <f t="shared" ca="1" si="10"/>
        <v/>
      </c>
      <c r="V23" s="470" t="str">
        <f ca="1">IF(N(U23)&gt;0,VLOOKUP(U23,Hraci!$A$1:$I$1500,2,0),IF(TYPE(INDIRECT(ADDRESS(ROW() + $A$9-7 + (ROW()-11)*4,2,1,1,"Internet")))&gt;1,INDIRECT(ADDRESS(ROW() + $A$9-7 + (ROW()-11)*4,2,1,1,"Internet"))," "))</f>
        <v xml:space="preserve"> </v>
      </c>
      <c r="W23" s="471" t="str">
        <f ca="1">IF(N(U23)&gt;0,VLOOKUP(U23,Hraci!$A$1:$I$1500,3,0)," ")</f>
        <v xml:space="preserve"> </v>
      </c>
      <c r="X23" s="471" t="str">
        <f ca="1">IF(N(U23)&gt;0,VLOOKUP(U23,Hraci!$A$1:$I$1500,5,0),IF(TYPE(INDIRECT(ADDRESS(ROW() + $A$9-7 + (ROW()-11)*4,3,1,1,"Internet")))&gt;1,INDIRECT(ADDRESS(ROW() + $A$9-7 + (ROW()-11)*4,3,1,1,"Internet"))," "))</f>
        <v xml:space="preserve"> </v>
      </c>
      <c r="Y23" s="472">
        <f ca="1">IF(N(U23)=0,9999,VLOOKUP(U23,Hraci!$A$1:$I$1500,8,0))</f>
        <v>9999</v>
      </c>
      <c r="Z23" s="473">
        <f ca="1">IF(N(U23)=0,0,VLOOKUP(U23,Hraci!$A$1:$I$1500,9,0))</f>
        <v>0</v>
      </c>
      <c r="AA23" s="469" t="str">
        <f t="shared" ca="1" si="11"/>
        <v/>
      </c>
      <c r="AB23" s="470" t="str">
        <f ca="1">IF(N(AA23)&gt;0,VLOOKUP(AA23,Hraci!$A$1:$I$1500,2,0)," ")</f>
        <v xml:space="preserve"> </v>
      </c>
      <c r="AC23" s="471" t="str">
        <f ca="1">IF(N(AA23)&gt;0,VLOOKUP(AA23,Hraci!$A$1:$I$1500,3,0)," ")</f>
        <v xml:space="preserve"> </v>
      </c>
      <c r="AD23" s="471" t="str">
        <f ca="1">IF(N(AA23)&gt;0,VLOOKUP(AA23,Hraci!$A$1:$I$1500,5,0)," ")</f>
        <v xml:space="preserve"> </v>
      </c>
      <c r="AE23" s="472">
        <f ca="1">IF(N(AA23)=0,9999,VLOOKUP(AA23,Hraci!$A$1:$I$1500,8,0))</f>
        <v>9999</v>
      </c>
      <c r="AF23" s="473">
        <f ca="1">IF(N(AA23)=0,0,VLOOKUP(AA23,Hraci!$A$1:$I$1500,9,0))</f>
        <v>0</v>
      </c>
      <c r="AG23" s="474"/>
      <c r="AH23" s="480">
        <v>64</v>
      </c>
      <c r="AI23" s="475">
        <f ca="1">IF(N($AH23)&gt;0,VLOOKUP($AH23,Body!$A$4:$F$259,5,0),"")</f>
        <v>288.35162500000001</v>
      </c>
      <c r="AJ23" s="476">
        <f ca="1">IF(N($AH23)&gt;0,VLOOKUP($AH23,Body!$A$4:$F$259,6,0),"")</f>
        <v>200</v>
      </c>
      <c r="AK23" s="475">
        <f ca="1">IF(N($AH23)&gt;0,VLOOKUP($AH23,Body!$A$4:$F$259,2,0),"")</f>
        <v>2</v>
      </c>
      <c r="AL23" s="477" t="str">
        <f t="shared" ca="1" si="12"/>
        <v>13 PC Sokol Lipník - Zdobinský Michal ml.</v>
      </c>
      <c r="AM23" s="478">
        <f t="shared" ca="1" si="13"/>
        <v>38.625</v>
      </c>
      <c r="AN23" s="408">
        <f ca="1">IF(OR(TYPE(I23)&gt;1,TYPE(MATCH(I23,I24:I$267,0))&gt;1),0,MATCH(I23,I24:I$267,0))+IF(OR(TYPE(I23)&gt;1,TYPE(MATCH(I23,O$11:O$267,0))&gt;1),0,MATCH(I23,O$11:O$267,0))+IF(OR(TYPE(I23)&gt;1,TYPE(MATCH(I23,U$11:U$267,0))&gt;1),0,MATCH(I23,U$11:U$267,0))+IF(OR(TYPE(I23)&gt;1,TYPE(MATCH(I23,AA$11:AA$267,0))&gt;1),0,MATCH(I23,AA$11:AA$267,0))</f>
        <v>0</v>
      </c>
      <c r="AO23" s="408">
        <f ca="1">IF(OR(TYPE(O23)&gt;1,TYPE(MATCH(O23,I$11:I$267,0))&gt;1),0,MATCH(O23,I$11:I$267,0))+IF(OR(TYPE(O23)&gt;1,TYPE(MATCH(O23,O24:O$267,0))&gt;1),0,MATCH(O23,O24:O$267,0))+IF(OR(TYPE(O23)&gt;1,TYPE(MATCH(O23,U$11:U$267,0))&gt;1),0,MATCH(O23,U$11:U$267,0))+IF(OR(TYPE(O23)&gt;1,TYPE(MATCH(O23,AA$11:AA$267,0))&gt;1),0,MATCH(O23,AA$11:AA$267,0))</f>
        <v>0</v>
      </c>
      <c r="AP23" s="408">
        <f ca="1">IF(OR(TYPE(U23)&gt;1,TYPE(MATCH(U23,I$11:I$267,0))&gt;1),0,MATCH(U23,I$11:I$267,0))+IF(OR(TYPE(U23)&gt;1,TYPE(MATCH(U23,O$11:O$267,0))&gt;1),0,MATCH(U23,O$11:O$267,0))+IF(OR(TYPE(U23)&gt;1,TYPE(MATCH(U23,U24:U$267,0))&gt;1),0,MATCH(U23,U24:U$267,0))+IF(OR(TYPE(U23)&gt;1,TYPE(MATCH(U23,AA$11:AA$267,0))&gt;1),0,MATCH(U23,AA$11:AA$267,0))</f>
        <v>0</v>
      </c>
      <c r="AQ23" s="408">
        <f ca="1">IF(OR(TYPE(AA23)&gt;1,TYPE(MATCH(AA23,I$11:I$267,0))&gt;1),0,MATCH(AA23,I$11:I$267,0))+IF(OR(TYPE(AA23)&gt;1,TYPE(MATCH(AA23,O$11:O$267,0))&gt;1),0,MATCH(AA23,O$11:O$267,0))+IF(OR(TYPE(AA23)&gt;1,TYPE(MATCH(AA23,U$11:U$267,0))&gt;1),0,MATCH(U23,U$11:U$267,0))+IF(OR(TYPE(AA23)&gt;1,TYPE(MATCH(AA23,AA24:AA$267,0))&gt;1),0,MATCH(AA23,AA24:AA$267,0))</f>
        <v>0</v>
      </c>
      <c r="AR23" s="408">
        <f t="shared" ca="1" si="14"/>
        <v>0</v>
      </c>
      <c r="BF23" s="408">
        <f t="shared" si="15"/>
        <v>13</v>
      </c>
    </row>
    <row r="24" spans="1:58" ht="14.25">
      <c r="A24" s="430">
        <f t="shared" ca="1" si="0"/>
        <v>1</v>
      </c>
      <c r="B24" s="430">
        <f t="shared" ca="1" si="1"/>
        <v>1</v>
      </c>
      <c r="C24" s="430">
        <f t="shared" ca="1" si="2"/>
        <v>38.125</v>
      </c>
      <c r="D24" s="430">
        <f t="shared" ca="1" si="3"/>
        <v>20007</v>
      </c>
      <c r="E24" s="430">
        <f t="shared" ca="1" si="4"/>
        <v>9</v>
      </c>
      <c r="F24" s="431" t="str">
        <f t="shared" ca="1" si="5"/>
        <v>91038125979992999990350486</v>
      </c>
      <c r="G24" s="467" t="b">
        <f t="shared" ca="1" si="6"/>
        <v>0</v>
      </c>
      <c r="H24" s="468">
        <f t="shared" si="7"/>
        <v>14</v>
      </c>
      <c r="I24" s="469">
        <f t="shared" ca="1" si="8"/>
        <v>23021</v>
      </c>
      <c r="J24" s="470" t="str">
        <f ca="1">IF(N(I24)&gt;0,VLOOKUP(I24,Hraci!$A$1:$I$1500,2,0),IF(TYPE(INDIRECT(ADDRESS(ROW() + $A$9-9 + (ROW()-11)*4,2,1,1,"Internet")))&gt;1,INDIRECT(ADDRESS(ROW() + $A$9-9 + (ROW()-11)*4,2,1,1,"Internet"))," "))</f>
        <v>Ondryáš</v>
      </c>
      <c r="K24" s="471" t="str">
        <f ca="1">IF(N(I24)&gt;0,VLOOKUP(I24,Hraci!$A$1:$I$1500,3,0)," ")</f>
        <v>Jiří</v>
      </c>
      <c r="L24" s="471" t="str">
        <f ca="1">IF(N(I24)&gt;0,VLOOKUP(I24,Hraci!$A$1:$I$1500,5,0),IF(TYPE(INDIRECT(ADDRESS(ROW() + $A$9-9 + (ROW()-11)*4,3,1,1,"Internet")))&gt;1,INDIRECT(ADDRESS(ROW() + $A$9-9 + (ROW()-11)*4,3,1,1,"Internet"))," "))</f>
        <v>FRAPECO</v>
      </c>
      <c r="M24" s="472">
        <f ca="1">IF(N(I24)=0,9999,VLOOKUP(I24,Hraci!$A$1:$I$1500,8,0))</f>
        <v>9</v>
      </c>
      <c r="N24" s="473">
        <f ca="1">IF(N(I24)=0,0,VLOOKUP(I24,Hraci!$A$1:$I$1500,9,0))</f>
        <v>38.125</v>
      </c>
      <c r="O24" s="469" t="str">
        <f t="shared" ca="1" si="9"/>
        <v/>
      </c>
      <c r="P24" s="470" t="str">
        <f ca="1">IF(N(O24)&gt;0,VLOOKUP(O24,Hraci!$A$1:$I$1500,2,0),IF(TYPE(INDIRECT(ADDRESS(ROW() + $A$9-8 + (ROW()-11)*4,2,1,1,"Internet")))&gt;1,INDIRECT(ADDRESS(ROW() + $A$9-8 + (ROW()-11)*4,2,1,1,"Internet"))," "))</f>
        <v xml:space="preserve"> </v>
      </c>
      <c r="Q24" s="471" t="str">
        <f ca="1">IF(N(O24)&gt;0,VLOOKUP(O24,Hraci!$A$1:$I$1500,3,0)," ")</f>
        <v xml:space="preserve"> </v>
      </c>
      <c r="R24" s="471" t="str">
        <f ca="1">IF(N(O24)&gt;0,VLOOKUP(O24,Hraci!$A$1:$I$1500,5,0),IF(TYPE(INDIRECT(ADDRESS(ROW() + $A$9-8 + (ROW()-11)*4,3,1,1,"Internet")))&gt;1,INDIRECT(ADDRESS(ROW() + $A$9-8 + (ROW()-11)*4,3,1,1,"Internet"))," "))</f>
        <v xml:space="preserve"> </v>
      </c>
      <c r="S24" s="472">
        <f ca="1">IF(N(O24)=0,9999,VLOOKUP(O24,Hraci!$A$1:$I$1500,8,0))</f>
        <v>9999</v>
      </c>
      <c r="T24" s="473">
        <f ca="1">IF(N(O24)=0,0,VLOOKUP(O24,Hraci!$A$1:$I$1500,9,0))</f>
        <v>0</v>
      </c>
      <c r="U24" s="469" t="str">
        <f t="shared" ca="1" si="10"/>
        <v/>
      </c>
      <c r="V24" s="470" t="str">
        <f ca="1">IF(N(U24)&gt;0,VLOOKUP(U24,Hraci!$A$1:$I$1500,2,0),IF(TYPE(INDIRECT(ADDRESS(ROW() + $A$9-7 + (ROW()-11)*4,2,1,1,"Internet")))&gt;1,INDIRECT(ADDRESS(ROW() + $A$9-7 + (ROW()-11)*4,2,1,1,"Internet"))," "))</f>
        <v xml:space="preserve"> </v>
      </c>
      <c r="W24" s="471" t="str">
        <f ca="1">IF(N(U24)&gt;0,VLOOKUP(U24,Hraci!$A$1:$I$1500,3,0)," ")</f>
        <v xml:space="preserve"> </v>
      </c>
      <c r="X24" s="471" t="str">
        <f ca="1">IF(N(U24)&gt;0,VLOOKUP(U24,Hraci!$A$1:$I$1500,5,0),IF(TYPE(INDIRECT(ADDRESS(ROW() + $A$9-7 + (ROW()-11)*4,3,1,1,"Internet")))&gt;1,INDIRECT(ADDRESS(ROW() + $A$9-7 + (ROW()-11)*4,3,1,1,"Internet"))," "))</f>
        <v xml:space="preserve"> </v>
      </c>
      <c r="Y24" s="472">
        <f ca="1">IF(N(U24)=0,9999,VLOOKUP(U24,Hraci!$A$1:$I$1500,8,0))</f>
        <v>9999</v>
      </c>
      <c r="Z24" s="473">
        <f ca="1">IF(N(U24)=0,0,VLOOKUP(U24,Hraci!$A$1:$I$1500,9,0))</f>
        <v>0</v>
      </c>
      <c r="AA24" s="469" t="str">
        <f t="shared" ca="1" si="11"/>
        <v/>
      </c>
      <c r="AB24" s="470" t="str">
        <f ca="1">IF(N(AA24)&gt;0,VLOOKUP(AA24,Hraci!$A$1:$I$1500,2,0)," ")</f>
        <v xml:space="preserve"> </v>
      </c>
      <c r="AC24" s="471" t="str">
        <f ca="1">IF(N(AA24)&gt;0,VLOOKUP(AA24,Hraci!$A$1:$I$1500,3,0)," ")</f>
        <v xml:space="preserve"> </v>
      </c>
      <c r="AD24" s="471" t="str">
        <f ca="1">IF(N(AA24)&gt;0,VLOOKUP(AA24,Hraci!$A$1:$I$1500,5,0)," ")</f>
        <v xml:space="preserve"> </v>
      </c>
      <c r="AE24" s="472">
        <f ca="1">IF(N(AA24)=0,9999,VLOOKUP(AA24,Hraci!$A$1:$I$1500,8,0))</f>
        <v>9999</v>
      </c>
      <c r="AF24" s="473">
        <f ca="1">IF(N(AA24)=0,0,VLOOKUP(AA24,Hraci!$A$1:$I$1500,9,0))</f>
        <v>0</v>
      </c>
      <c r="AG24" s="474"/>
      <c r="AH24" s="480">
        <v>32</v>
      </c>
      <c r="AI24" s="475">
        <f ca="1">IF(N($AH24)&gt;0,VLOOKUP($AH24,Body!$A$4:$F$259,5,0),"")</f>
        <v>332.52743750000002</v>
      </c>
      <c r="AJ24" s="476">
        <f ca="1">IF(N($AH24)&gt;0,VLOOKUP($AH24,Body!$A$4:$F$259,6,0),"")</f>
        <v>200</v>
      </c>
      <c r="AK24" s="475">
        <f ca="1">IF(N($AH24)&gt;0,VLOOKUP($AH24,Body!$A$4:$F$259,2,0),"")</f>
        <v>3</v>
      </c>
      <c r="AL24" s="477" t="str">
        <f t="shared" ca="1" si="12"/>
        <v>14 FRAPECO - Ondryáš Jiří</v>
      </c>
      <c r="AM24" s="478">
        <f t="shared" ca="1" si="13"/>
        <v>38.125</v>
      </c>
      <c r="AN24" s="408">
        <f ca="1">IF(OR(TYPE(I24)&gt;1,TYPE(MATCH(I24,I25:I$267,0))&gt;1),0,MATCH(I24,I25:I$267,0))+IF(OR(TYPE(I24)&gt;1,TYPE(MATCH(I24,O$11:O$267,0))&gt;1),0,MATCH(I24,O$11:O$267,0))+IF(OR(TYPE(I24)&gt;1,TYPE(MATCH(I24,U$11:U$267,0))&gt;1),0,MATCH(I24,U$11:U$267,0))+IF(OR(TYPE(I24)&gt;1,TYPE(MATCH(I24,AA$11:AA$267,0))&gt;1),0,MATCH(I24,AA$11:AA$267,0))</f>
        <v>0</v>
      </c>
      <c r="AO24" s="408">
        <f ca="1">IF(OR(TYPE(O24)&gt;1,TYPE(MATCH(O24,I$11:I$267,0))&gt;1),0,MATCH(O24,I$11:I$267,0))+IF(OR(TYPE(O24)&gt;1,TYPE(MATCH(O24,O25:O$267,0))&gt;1),0,MATCH(O24,O25:O$267,0))+IF(OR(TYPE(O24)&gt;1,TYPE(MATCH(O24,U$11:U$267,0))&gt;1),0,MATCH(O24,U$11:U$267,0))+IF(OR(TYPE(O24)&gt;1,TYPE(MATCH(O24,AA$11:AA$267,0))&gt;1),0,MATCH(O24,AA$11:AA$267,0))</f>
        <v>0</v>
      </c>
      <c r="AP24" s="408">
        <f ca="1">IF(OR(TYPE(U24)&gt;1,TYPE(MATCH(U24,I$11:I$267,0))&gt;1),0,MATCH(U24,I$11:I$267,0))+IF(OR(TYPE(U24)&gt;1,TYPE(MATCH(U24,O$11:O$267,0))&gt;1),0,MATCH(U24,O$11:O$267,0))+IF(OR(TYPE(U24)&gt;1,TYPE(MATCH(U24,U25:U$267,0))&gt;1),0,MATCH(U24,U25:U$267,0))+IF(OR(TYPE(U24)&gt;1,TYPE(MATCH(U24,AA$11:AA$267,0))&gt;1),0,MATCH(U24,AA$11:AA$267,0))</f>
        <v>0</v>
      </c>
      <c r="AQ24" s="408">
        <f ca="1">IF(OR(TYPE(AA24)&gt;1,TYPE(MATCH(AA24,I$11:I$267,0))&gt;1),0,MATCH(AA24,I$11:I$267,0))+IF(OR(TYPE(AA24)&gt;1,TYPE(MATCH(AA24,O$11:O$267,0))&gt;1),0,MATCH(AA24,O$11:O$267,0))+IF(OR(TYPE(AA24)&gt;1,TYPE(MATCH(AA24,U$11:U$267,0))&gt;1),0,MATCH(U24,U$11:U$267,0))+IF(OR(TYPE(AA24)&gt;1,TYPE(MATCH(AA24,AA25:AA$267,0))&gt;1),0,MATCH(AA24,AA25:AA$267,0))</f>
        <v>0</v>
      </c>
      <c r="AR24" s="408">
        <f t="shared" ca="1" si="14"/>
        <v>0</v>
      </c>
      <c r="BF24" s="408">
        <f t="shared" si="15"/>
        <v>14</v>
      </c>
    </row>
    <row r="25" spans="1:58" ht="14.25">
      <c r="A25" s="430">
        <f t="shared" ca="1" si="0"/>
        <v>1</v>
      </c>
      <c r="B25" s="430">
        <f t="shared" ca="1" si="1"/>
        <v>1</v>
      </c>
      <c r="C25" s="430">
        <f t="shared" ca="1" si="2"/>
        <v>37.75</v>
      </c>
      <c r="D25" s="430">
        <f t="shared" ca="1" si="3"/>
        <v>20010</v>
      </c>
      <c r="E25" s="430">
        <f t="shared" ca="1" si="4"/>
        <v>12</v>
      </c>
      <c r="F25" s="431" t="str">
        <f t="shared" ca="1" si="5"/>
        <v>91037750979989999987011749</v>
      </c>
      <c r="G25" s="467" t="b">
        <f t="shared" ca="1" si="6"/>
        <v>0</v>
      </c>
      <c r="H25" s="468">
        <f t="shared" si="7"/>
        <v>15</v>
      </c>
      <c r="I25" s="469">
        <f t="shared" ca="1" si="8"/>
        <v>14024</v>
      </c>
      <c r="J25" s="470" t="str">
        <f ca="1">IF(N(I25)&gt;0,VLOOKUP(I25,Hraci!$A$1:$I$1500,2,0),IF(TYPE(INDIRECT(ADDRESS(ROW() + $A$9-9 + (ROW()-11)*4,2,1,1,"Internet")))&gt;1,INDIRECT(ADDRESS(ROW() + $A$9-9 + (ROW()-11)*4,2,1,1,"Internet"))," "))</f>
        <v>Palicová</v>
      </c>
      <c r="K25" s="471" t="str">
        <f ca="1">IF(N(I25)&gt;0,VLOOKUP(I25,Hraci!$A$1:$I$1500,3,0)," ")</f>
        <v>Markéta</v>
      </c>
      <c r="L25" s="471" t="str">
        <f ca="1">IF(N(I25)&gt;0,VLOOKUP(I25,Hraci!$A$1:$I$1500,5,0),IF(TYPE(INDIRECT(ADDRESS(ROW() + $A$9-9 + (ROW()-11)*4,3,1,1,"Internet")))&gt;1,INDIRECT(ADDRESS(ROW() + $A$9-9 + (ROW()-11)*4,3,1,1,"Internet"))," "))</f>
        <v>PLUK Jablonec</v>
      </c>
      <c r="M25" s="472">
        <f ca="1">IF(N(I25)=0,9999,VLOOKUP(I25,Hraci!$A$1:$I$1500,8,0))</f>
        <v>12</v>
      </c>
      <c r="N25" s="473">
        <f ca="1">IF(N(I25)=0,0,VLOOKUP(I25,Hraci!$A$1:$I$1500,9,0))</f>
        <v>37.75</v>
      </c>
      <c r="O25" s="469" t="str">
        <f t="shared" ca="1" si="9"/>
        <v/>
      </c>
      <c r="P25" s="470" t="str">
        <f ca="1">IF(N(O25)&gt;0,VLOOKUP(O25,Hraci!$A$1:$I$1500,2,0),IF(TYPE(INDIRECT(ADDRESS(ROW() + $A$9-8 + (ROW()-11)*4,2,1,1,"Internet")))&gt;1,INDIRECT(ADDRESS(ROW() + $A$9-8 + (ROW()-11)*4,2,1,1,"Internet"))," "))</f>
        <v xml:space="preserve"> </v>
      </c>
      <c r="Q25" s="471" t="str">
        <f ca="1">IF(N(O25)&gt;0,VLOOKUP(O25,Hraci!$A$1:$I$1500,3,0)," ")</f>
        <v xml:space="preserve"> </v>
      </c>
      <c r="R25" s="471" t="str">
        <f ca="1">IF(N(O25)&gt;0,VLOOKUP(O25,Hraci!$A$1:$I$1500,5,0),IF(TYPE(INDIRECT(ADDRESS(ROW() + $A$9-8 + (ROW()-11)*4,3,1,1,"Internet")))&gt;1,INDIRECT(ADDRESS(ROW() + $A$9-8 + (ROW()-11)*4,3,1,1,"Internet"))," "))</f>
        <v xml:space="preserve"> </v>
      </c>
      <c r="S25" s="472">
        <f ca="1">IF(N(O25)=0,9999,VLOOKUP(O25,Hraci!$A$1:$I$1500,8,0))</f>
        <v>9999</v>
      </c>
      <c r="T25" s="473">
        <f ca="1">IF(N(O25)=0,0,VLOOKUP(O25,Hraci!$A$1:$I$1500,9,0))</f>
        <v>0</v>
      </c>
      <c r="U25" s="469" t="str">
        <f t="shared" ca="1" si="10"/>
        <v/>
      </c>
      <c r="V25" s="470" t="str">
        <f ca="1">IF(N(U25)&gt;0,VLOOKUP(U25,Hraci!$A$1:$I$1500,2,0),IF(TYPE(INDIRECT(ADDRESS(ROW() + $A$9-7 + (ROW()-11)*4,2,1,1,"Internet")))&gt;1,INDIRECT(ADDRESS(ROW() + $A$9-7 + (ROW()-11)*4,2,1,1,"Internet"))," "))</f>
        <v xml:space="preserve"> </v>
      </c>
      <c r="W25" s="471" t="str">
        <f ca="1">IF(N(U25)&gt;0,VLOOKUP(U25,Hraci!$A$1:$I$1500,3,0)," ")</f>
        <v xml:space="preserve"> </v>
      </c>
      <c r="X25" s="471" t="str">
        <f ca="1">IF(N(U25)&gt;0,VLOOKUP(U25,Hraci!$A$1:$I$1500,5,0),IF(TYPE(INDIRECT(ADDRESS(ROW() + $A$9-7 + (ROW()-11)*4,3,1,1,"Internet")))&gt;1,INDIRECT(ADDRESS(ROW() + $A$9-7 + (ROW()-11)*4,3,1,1,"Internet"))," "))</f>
        <v xml:space="preserve"> </v>
      </c>
      <c r="Y25" s="472">
        <f ca="1">IF(N(U25)=0,9999,VLOOKUP(U25,Hraci!$A$1:$I$1500,8,0))</f>
        <v>9999</v>
      </c>
      <c r="Z25" s="473">
        <f ca="1">IF(N(U25)=0,0,VLOOKUP(U25,Hraci!$A$1:$I$1500,9,0))</f>
        <v>0</v>
      </c>
      <c r="AA25" s="469" t="str">
        <f t="shared" ca="1" si="11"/>
        <v/>
      </c>
      <c r="AB25" s="470" t="str">
        <f ca="1">IF(N(AA25)&gt;0,VLOOKUP(AA25,Hraci!$A$1:$I$1500,2,0)," ")</f>
        <v xml:space="preserve"> </v>
      </c>
      <c r="AC25" s="471" t="str">
        <f ca="1">IF(N(AA25)&gt;0,VLOOKUP(AA25,Hraci!$A$1:$I$1500,3,0)," ")</f>
        <v xml:space="preserve"> </v>
      </c>
      <c r="AD25" s="471" t="str">
        <f ca="1">IF(N(AA25)&gt;0,VLOOKUP(AA25,Hraci!$A$1:$I$1500,5,0)," ")</f>
        <v xml:space="preserve"> </v>
      </c>
      <c r="AE25" s="472">
        <f ca="1">IF(N(AA25)=0,9999,VLOOKUP(AA25,Hraci!$A$1:$I$1500,8,0))</f>
        <v>9999</v>
      </c>
      <c r="AF25" s="473">
        <f ca="1">IF(N(AA25)=0,0,VLOOKUP(AA25,Hraci!$A$1:$I$1500,9,0))</f>
        <v>0</v>
      </c>
      <c r="AG25" s="474"/>
      <c r="AH25" s="480">
        <f ca="1">IF(TYPE(VLOOKUP(H25,Nasazení!$A$3:$E$258,5,0))&lt;4,VLOOKUP(H25,Nasazení!$A$3:$E$258,5,0),0)</f>
        <v>64</v>
      </c>
      <c r="AI25" s="475">
        <f ca="1">IF(N($AH25)&gt;0,VLOOKUP($AH25,Body!$A$4:$F$259,5,0),"")</f>
        <v>288.35162500000001</v>
      </c>
      <c r="AJ25" s="476">
        <f ca="1">IF(N($AH25)&gt;0,VLOOKUP($AH25,Body!$A$4:$F$259,6,0),"")</f>
        <v>200</v>
      </c>
      <c r="AK25" s="475">
        <f ca="1">IF(N($AH25)&gt;0,VLOOKUP($AH25,Body!$A$4:$F$259,2,0),"")</f>
        <v>2</v>
      </c>
      <c r="AL25" s="477" t="str">
        <f t="shared" ca="1" si="12"/>
        <v>15 PLUK Jablonec - Palicová Markéta</v>
      </c>
      <c r="AM25" s="478">
        <f t="shared" ca="1" si="13"/>
        <v>37.75</v>
      </c>
      <c r="AN25" s="408">
        <f ca="1">IF(OR(TYPE(I25)&gt;1,TYPE(MATCH(I25,I26:I$267,0))&gt;1),0,MATCH(I25,I26:I$267,0))+IF(OR(TYPE(I25)&gt;1,TYPE(MATCH(I25,O$11:O$267,0))&gt;1),0,MATCH(I25,O$11:O$267,0))+IF(OR(TYPE(I25)&gt;1,TYPE(MATCH(I25,U$11:U$267,0))&gt;1),0,MATCH(I25,U$11:U$267,0))+IF(OR(TYPE(I25)&gt;1,TYPE(MATCH(I25,AA$11:AA$267,0))&gt;1),0,MATCH(I25,AA$11:AA$267,0))</f>
        <v>0</v>
      </c>
      <c r="AO25" s="408">
        <f ca="1">IF(OR(TYPE(O25)&gt;1,TYPE(MATCH(O25,I$11:I$267,0))&gt;1),0,MATCH(O25,I$11:I$267,0))+IF(OR(TYPE(O25)&gt;1,TYPE(MATCH(O25,O26:O$267,0))&gt;1),0,MATCH(O25,O26:O$267,0))+IF(OR(TYPE(O25)&gt;1,TYPE(MATCH(O25,U$11:U$267,0))&gt;1),0,MATCH(O25,U$11:U$267,0))+IF(OR(TYPE(O25)&gt;1,TYPE(MATCH(O25,AA$11:AA$267,0))&gt;1),0,MATCH(O25,AA$11:AA$267,0))</f>
        <v>0</v>
      </c>
      <c r="AP25" s="408">
        <f ca="1">IF(OR(TYPE(U25)&gt;1,TYPE(MATCH(U25,I$11:I$267,0))&gt;1),0,MATCH(U25,I$11:I$267,0))+IF(OR(TYPE(U25)&gt;1,TYPE(MATCH(U25,O$11:O$267,0))&gt;1),0,MATCH(U25,O$11:O$267,0))+IF(OR(TYPE(U25)&gt;1,TYPE(MATCH(U25,U26:U$267,0))&gt;1),0,MATCH(U25,U26:U$267,0))+IF(OR(TYPE(U25)&gt;1,TYPE(MATCH(U25,AA$11:AA$267,0))&gt;1),0,MATCH(U25,AA$11:AA$267,0))</f>
        <v>0</v>
      </c>
      <c r="AQ25" s="408">
        <f ca="1">IF(OR(TYPE(AA25)&gt;1,TYPE(MATCH(AA25,I$11:I$267,0))&gt;1),0,MATCH(AA25,I$11:I$267,0))+IF(OR(TYPE(AA25)&gt;1,TYPE(MATCH(AA25,O$11:O$267,0))&gt;1),0,MATCH(AA25,O$11:O$267,0))+IF(OR(TYPE(AA25)&gt;1,TYPE(MATCH(AA25,U$11:U$267,0))&gt;1),0,MATCH(U25,U$11:U$267,0))+IF(OR(TYPE(AA25)&gt;1,TYPE(MATCH(AA25,AA26:AA$267,0))&gt;1),0,MATCH(AA25,AA26:AA$267,0))</f>
        <v>0</v>
      </c>
      <c r="AR25" s="408">
        <f t="shared" ca="1" si="14"/>
        <v>0</v>
      </c>
      <c r="BF25" s="408">
        <f t="shared" si="15"/>
        <v>15</v>
      </c>
    </row>
    <row r="26" spans="1:58" ht="14.25">
      <c r="A26" s="430">
        <f t="shared" ca="1" si="0"/>
        <v>1</v>
      </c>
      <c r="B26" s="430">
        <f t="shared" ca="1" si="1"/>
        <v>1</v>
      </c>
      <c r="C26" s="430">
        <f t="shared" ca="1" si="2"/>
        <v>37</v>
      </c>
      <c r="D26" s="430">
        <f t="shared" ca="1" si="3"/>
        <v>20012</v>
      </c>
      <c r="E26" s="430">
        <f t="shared" ca="1" si="4"/>
        <v>14</v>
      </c>
      <c r="F26" s="431" t="str">
        <f t="shared" ca="1" si="5"/>
        <v>91037000979987999985026649</v>
      </c>
      <c r="G26" s="467" t="b">
        <f t="shared" ca="1" si="6"/>
        <v>0</v>
      </c>
      <c r="H26" s="468">
        <f t="shared" si="7"/>
        <v>16</v>
      </c>
      <c r="I26" s="469">
        <f t="shared" ca="1" si="8"/>
        <v>26075</v>
      </c>
      <c r="J26" s="470" t="str">
        <f ca="1">IF(N(I26)&gt;0,VLOOKUP(I26,Hraci!$A$1:$I$1500,2,0),IF(TYPE(INDIRECT(ADDRESS(ROW() + $A$9-9 + (ROW()-11)*4,2,1,1,"Internet")))&gt;1,INDIRECT(ADDRESS(ROW() + $A$9-9 + (ROW()-11)*4,2,1,1,"Internet"))," "))</f>
        <v>Konšel</v>
      </c>
      <c r="K26" s="471" t="str">
        <f ca="1">IF(N(I26)&gt;0,VLOOKUP(I26,Hraci!$A$1:$I$1500,3,0)," ")</f>
        <v>Jakub</v>
      </c>
      <c r="L26" s="471" t="str">
        <f ca="1">IF(N(I26)&gt;0,VLOOKUP(I26,Hraci!$A$1:$I$1500,5,0),IF(TYPE(INDIRECT(ADDRESS(ROW() + $A$9-9 + (ROW()-11)*4,3,1,1,"Internet")))&gt;1,INDIRECT(ADDRESS(ROW() + $A$9-9 + (ROW()-11)*4,3,1,1,"Internet"))," "))</f>
        <v>POP Praha</v>
      </c>
      <c r="M26" s="472">
        <f ca="1">IF(N(I26)=0,9999,VLOOKUP(I26,Hraci!$A$1:$I$1500,8,0))</f>
        <v>14</v>
      </c>
      <c r="N26" s="473">
        <f ca="1">IF(N(I26)=0,0,VLOOKUP(I26,Hraci!$A$1:$I$1500,9,0))</f>
        <v>37</v>
      </c>
      <c r="O26" s="469" t="str">
        <f t="shared" ca="1" si="9"/>
        <v/>
      </c>
      <c r="P26" s="470" t="str">
        <f ca="1">IF(N(O26)&gt;0,VLOOKUP(O26,Hraci!$A$1:$I$1500,2,0),IF(TYPE(INDIRECT(ADDRESS(ROW() + $A$9-8 + (ROW()-11)*4,2,1,1,"Internet")))&gt;1,INDIRECT(ADDRESS(ROW() + $A$9-8 + (ROW()-11)*4,2,1,1,"Internet"))," "))</f>
        <v xml:space="preserve"> </v>
      </c>
      <c r="Q26" s="471" t="str">
        <f ca="1">IF(N(O26)&gt;0,VLOOKUP(O26,Hraci!$A$1:$I$1500,3,0)," ")</f>
        <v xml:space="preserve"> </v>
      </c>
      <c r="R26" s="471" t="str">
        <f ca="1">IF(N(O26)&gt;0,VLOOKUP(O26,Hraci!$A$1:$I$1500,5,0),IF(TYPE(INDIRECT(ADDRESS(ROW() + $A$9-8 + (ROW()-11)*4,3,1,1,"Internet")))&gt;1,INDIRECT(ADDRESS(ROW() + $A$9-8 + (ROW()-11)*4,3,1,1,"Internet"))," "))</f>
        <v xml:space="preserve"> </v>
      </c>
      <c r="S26" s="472">
        <f ca="1">IF(N(O26)=0,9999,VLOOKUP(O26,Hraci!$A$1:$I$1500,8,0))</f>
        <v>9999</v>
      </c>
      <c r="T26" s="473">
        <f ca="1">IF(N(O26)=0,0,VLOOKUP(O26,Hraci!$A$1:$I$1500,9,0))</f>
        <v>0</v>
      </c>
      <c r="U26" s="469" t="str">
        <f t="shared" ca="1" si="10"/>
        <v/>
      </c>
      <c r="V26" s="470" t="str">
        <f ca="1">IF(N(U26)&gt;0,VLOOKUP(U26,Hraci!$A$1:$I$1500,2,0),IF(TYPE(INDIRECT(ADDRESS(ROW() + $A$9-7 + (ROW()-11)*4,2,1,1,"Internet")))&gt;1,INDIRECT(ADDRESS(ROW() + $A$9-7 + (ROW()-11)*4,2,1,1,"Internet"))," "))</f>
        <v xml:space="preserve"> </v>
      </c>
      <c r="W26" s="471" t="str">
        <f ca="1">IF(N(U26)&gt;0,VLOOKUP(U26,Hraci!$A$1:$I$1500,3,0)," ")</f>
        <v xml:space="preserve"> </v>
      </c>
      <c r="X26" s="471" t="str">
        <f ca="1">IF(N(U26)&gt;0,VLOOKUP(U26,Hraci!$A$1:$I$1500,5,0),IF(TYPE(INDIRECT(ADDRESS(ROW() + $A$9-7 + (ROW()-11)*4,3,1,1,"Internet")))&gt;1,INDIRECT(ADDRESS(ROW() + $A$9-7 + (ROW()-11)*4,3,1,1,"Internet"))," "))</f>
        <v xml:space="preserve"> </v>
      </c>
      <c r="Y26" s="472">
        <f ca="1">IF(N(U26)=0,9999,VLOOKUP(U26,Hraci!$A$1:$I$1500,8,0))</f>
        <v>9999</v>
      </c>
      <c r="Z26" s="473">
        <f ca="1">IF(N(U26)=0,0,VLOOKUP(U26,Hraci!$A$1:$I$1500,9,0))</f>
        <v>0</v>
      </c>
      <c r="AA26" s="469" t="str">
        <f t="shared" ca="1" si="11"/>
        <v/>
      </c>
      <c r="AB26" s="470" t="str">
        <f ca="1">IF(N(AA26)&gt;0,VLOOKUP(AA26,Hraci!$A$1:$I$1500,2,0)," ")</f>
        <v xml:space="preserve"> </v>
      </c>
      <c r="AC26" s="471" t="str">
        <f ca="1">IF(N(AA26)&gt;0,VLOOKUP(AA26,Hraci!$A$1:$I$1500,3,0)," ")</f>
        <v xml:space="preserve"> </v>
      </c>
      <c r="AD26" s="471" t="str">
        <f ca="1">IF(N(AA26)&gt;0,VLOOKUP(AA26,Hraci!$A$1:$I$1500,5,0)," ")</f>
        <v xml:space="preserve"> </v>
      </c>
      <c r="AE26" s="472">
        <f ca="1">IF(N(AA26)=0,9999,VLOOKUP(AA26,Hraci!$A$1:$I$1500,8,0))</f>
        <v>9999</v>
      </c>
      <c r="AF26" s="473">
        <f ca="1">IF(N(AA26)=0,0,VLOOKUP(AA26,Hraci!$A$1:$I$1500,9,0))</f>
        <v>0</v>
      </c>
      <c r="AG26" s="474"/>
      <c r="AH26" s="480">
        <v>129</v>
      </c>
      <c r="AI26" s="475">
        <f ca="1">IF(N($AH26)&gt;0,VLOOKUP($AH26,Body!$A$4:$F$259,5,0),"")</f>
        <v>553.40650000000005</v>
      </c>
      <c r="AJ26" s="476">
        <f ca="1">IF(N($AH26)&gt;0,VLOOKUP($AH26,Body!$A$4:$F$259,6,0),"")</f>
        <v>200</v>
      </c>
      <c r="AK26" s="475">
        <f ca="1">IF(N($AH26)&gt;0,VLOOKUP($AH26,Body!$A$4:$F$259,2,0),"")</f>
        <v>8</v>
      </c>
      <c r="AL26" s="477" t="str">
        <f t="shared" ca="1" si="12"/>
        <v>16 POP Praha - Konšel Jakub</v>
      </c>
      <c r="AM26" s="478">
        <f t="shared" ca="1" si="13"/>
        <v>37</v>
      </c>
      <c r="AN26" s="408">
        <f ca="1">IF(OR(TYPE(I26)&gt;1,TYPE(MATCH(I26,I27:I$267,0))&gt;1),0,MATCH(I26,I27:I$267,0))+IF(OR(TYPE(I26)&gt;1,TYPE(MATCH(I26,O$11:O$267,0))&gt;1),0,MATCH(I26,O$11:O$267,0))+IF(OR(TYPE(I26)&gt;1,TYPE(MATCH(I26,U$11:U$267,0))&gt;1),0,MATCH(I26,U$11:U$267,0))+IF(OR(TYPE(I26)&gt;1,TYPE(MATCH(I26,AA$11:AA$267,0))&gt;1),0,MATCH(I26,AA$11:AA$267,0))</f>
        <v>0</v>
      </c>
      <c r="AO26" s="408">
        <f ca="1">IF(OR(TYPE(O26)&gt;1,TYPE(MATCH(O26,I$11:I$267,0))&gt;1),0,MATCH(O26,I$11:I$267,0))+IF(OR(TYPE(O26)&gt;1,TYPE(MATCH(O26,O27:O$267,0))&gt;1),0,MATCH(O26,O27:O$267,0))+IF(OR(TYPE(O26)&gt;1,TYPE(MATCH(O26,U$11:U$267,0))&gt;1),0,MATCH(O26,U$11:U$267,0))+IF(OR(TYPE(O26)&gt;1,TYPE(MATCH(O26,AA$11:AA$267,0))&gt;1),0,MATCH(O26,AA$11:AA$267,0))</f>
        <v>0</v>
      </c>
      <c r="AP26" s="408">
        <f ca="1">IF(OR(TYPE(U26)&gt;1,TYPE(MATCH(U26,I$11:I$267,0))&gt;1),0,MATCH(U26,I$11:I$267,0))+IF(OR(TYPE(U26)&gt;1,TYPE(MATCH(U26,O$11:O$267,0))&gt;1),0,MATCH(U26,O$11:O$267,0))+IF(OR(TYPE(U26)&gt;1,TYPE(MATCH(U26,U27:U$267,0))&gt;1),0,MATCH(U26,U27:U$267,0))+IF(OR(TYPE(U26)&gt;1,TYPE(MATCH(U26,AA$11:AA$267,0))&gt;1),0,MATCH(U26,AA$11:AA$267,0))</f>
        <v>0</v>
      </c>
      <c r="AQ26" s="408">
        <f ca="1">IF(OR(TYPE(AA26)&gt;1,TYPE(MATCH(AA26,I$11:I$267,0))&gt;1),0,MATCH(AA26,I$11:I$267,0))+IF(OR(TYPE(AA26)&gt;1,TYPE(MATCH(AA26,O$11:O$267,0))&gt;1),0,MATCH(AA26,O$11:O$267,0))+IF(OR(TYPE(AA26)&gt;1,TYPE(MATCH(AA26,U$11:U$267,0))&gt;1),0,MATCH(U26,U$11:U$267,0))+IF(OR(TYPE(AA26)&gt;1,TYPE(MATCH(AA26,AA27:AA$267,0))&gt;1),0,MATCH(AA26,AA27:AA$267,0))</f>
        <v>0</v>
      </c>
      <c r="AR26" s="408">
        <f t="shared" ca="1" si="14"/>
        <v>0</v>
      </c>
      <c r="BF26" s="408">
        <f t="shared" si="15"/>
        <v>16</v>
      </c>
    </row>
    <row r="27" spans="1:58" ht="14.25">
      <c r="A27" s="430">
        <f t="shared" ca="1" si="0"/>
        <v>1</v>
      </c>
      <c r="B27" s="430">
        <f t="shared" ca="1" si="1"/>
        <v>1</v>
      </c>
      <c r="C27" s="430">
        <f t="shared" ca="1" si="2"/>
        <v>36.25</v>
      </c>
      <c r="D27" s="430">
        <f t="shared" ca="1" si="3"/>
        <v>20022</v>
      </c>
      <c r="E27" s="430">
        <f t="shared" ca="1" si="4"/>
        <v>24</v>
      </c>
      <c r="F27" s="431" t="str">
        <f t="shared" ca="1" si="5"/>
        <v>91036250979977999975841093</v>
      </c>
      <c r="G27" s="467" t="b">
        <f t="shared" ca="1" si="6"/>
        <v>0</v>
      </c>
      <c r="H27" s="468">
        <f t="shared" si="7"/>
        <v>17</v>
      </c>
      <c r="I27" s="469">
        <f t="shared" ca="1" si="8"/>
        <v>99574</v>
      </c>
      <c r="J27" s="470" t="str">
        <f ca="1">IF(N(I27)&gt;0,VLOOKUP(I27,Hraci!$A$1:$I$1500,2,0),IF(TYPE(INDIRECT(ADDRESS(ROW() + $A$9-9 + (ROW()-11)*4,2,1,1,"Internet")))&gt;1,INDIRECT(ADDRESS(ROW() + $A$9-9 + (ROW()-11)*4,2,1,1,"Internet"))," "))</f>
        <v>Demčíková</v>
      </c>
      <c r="K27" s="471" t="str">
        <f ca="1">IF(N(I27)&gt;0,VLOOKUP(I27,Hraci!$A$1:$I$1500,3,0)," ")</f>
        <v>Jiřina</v>
      </c>
      <c r="L27" s="471" t="str">
        <f ca="1">IF(N(I27)&gt;0,VLOOKUP(I27,Hraci!$A$1:$I$1500,5,0),IF(TYPE(INDIRECT(ADDRESS(ROW() + $A$9-9 + (ROW()-11)*4,3,1,1,"Internet")))&gt;1,INDIRECT(ADDRESS(ROW() + $A$9-9 + (ROW()-11)*4,3,1,1,"Internet"))," "))</f>
        <v>SK Sahara Vědomice</v>
      </c>
      <c r="M27" s="472">
        <f ca="1">IF(N(I27)=0,9999,VLOOKUP(I27,Hraci!$A$1:$I$1500,8,0))</f>
        <v>24</v>
      </c>
      <c r="N27" s="473">
        <f ca="1">IF(N(I27)=0,0,VLOOKUP(I27,Hraci!$A$1:$I$1500,9,0))</f>
        <v>36.25</v>
      </c>
      <c r="O27" s="469" t="str">
        <f t="shared" ca="1" si="9"/>
        <v/>
      </c>
      <c r="P27" s="470" t="str">
        <f ca="1">IF(N(O27)&gt;0,VLOOKUP(O27,Hraci!$A$1:$I$1500,2,0),IF(TYPE(INDIRECT(ADDRESS(ROW() + $A$9-8 + (ROW()-11)*4,2,1,1,"Internet")))&gt;1,INDIRECT(ADDRESS(ROW() + $A$9-8 + (ROW()-11)*4,2,1,1,"Internet"))," "))</f>
        <v xml:space="preserve"> </v>
      </c>
      <c r="Q27" s="471" t="str">
        <f ca="1">IF(N(O27)&gt;0,VLOOKUP(O27,Hraci!$A$1:$I$1500,3,0)," ")</f>
        <v xml:space="preserve"> </v>
      </c>
      <c r="R27" s="471" t="str">
        <f ca="1">IF(N(O27)&gt;0,VLOOKUP(O27,Hraci!$A$1:$I$1500,5,0),IF(TYPE(INDIRECT(ADDRESS(ROW() + $A$9-8 + (ROW()-11)*4,3,1,1,"Internet")))&gt;1,INDIRECT(ADDRESS(ROW() + $A$9-8 + (ROW()-11)*4,3,1,1,"Internet"))," "))</f>
        <v xml:space="preserve"> </v>
      </c>
      <c r="S27" s="472">
        <f ca="1">IF(N(O27)=0,9999,VLOOKUP(O27,Hraci!$A$1:$I$1500,8,0))</f>
        <v>9999</v>
      </c>
      <c r="T27" s="473">
        <f ca="1">IF(N(O27)=0,0,VLOOKUP(O27,Hraci!$A$1:$I$1500,9,0))</f>
        <v>0</v>
      </c>
      <c r="U27" s="469" t="str">
        <f t="shared" ca="1" si="10"/>
        <v/>
      </c>
      <c r="V27" s="470" t="str">
        <f ca="1">IF(N(U27)&gt;0,VLOOKUP(U27,Hraci!$A$1:$I$1500,2,0),IF(TYPE(INDIRECT(ADDRESS(ROW() + $A$9-7 + (ROW()-11)*4,2,1,1,"Internet")))&gt;1,INDIRECT(ADDRESS(ROW() + $A$9-7 + (ROW()-11)*4,2,1,1,"Internet"))," "))</f>
        <v xml:space="preserve"> </v>
      </c>
      <c r="W27" s="471" t="str">
        <f ca="1">IF(N(U27)&gt;0,VLOOKUP(U27,Hraci!$A$1:$I$1500,3,0)," ")</f>
        <v xml:space="preserve"> </v>
      </c>
      <c r="X27" s="471" t="str">
        <f ca="1">IF(N(U27)&gt;0,VLOOKUP(U27,Hraci!$A$1:$I$1500,5,0),IF(TYPE(INDIRECT(ADDRESS(ROW() + $A$9-7 + (ROW()-11)*4,3,1,1,"Internet")))&gt;1,INDIRECT(ADDRESS(ROW() + $A$9-7 + (ROW()-11)*4,3,1,1,"Internet"))," "))</f>
        <v xml:space="preserve"> </v>
      </c>
      <c r="Y27" s="472">
        <f ca="1">IF(N(U27)=0,9999,VLOOKUP(U27,Hraci!$A$1:$I$1500,8,0))</f>
        <v>9999</v>
      </c>
      <c r="Z27" s="473">
        <f ca="1">IF(N(U27)=0,0,VLOOKUP(U27,Hraci!$A$1:$I$1500,9,0))</f>
        <v>0</v>
      </c>
      <c r="AA27" s="469" t="str">
        <f t="shared" ca="1" si="11"/>
        <v/>
      </c>
      <c r="AB27" s="470" t="str">
        <f ca="1">IF(N(AA27)&gt;0,VLOOKUP(AA27,Hraci!$A$1:$I$1500,2,0)," ")</f>
        <v xml:space="preserve"> </v>
      </c>
      <c r="AC27" s="471" t="str">
        <f ca="1">IF(N(AA27)&gt;0,VLOOKUP(AA27,Hraci!$A$1:$I$1500,3,0)," ")</f>
        <v xml:space="preserve"> </v>
      </c>
      <c r="AD27" s="471" t="str">
        <f ca="1">IF(N(AA27)&gt;0,VLOOKUP(AA27,Hraci!$A$1:$I$1500,5,0)," ")</f>
        <v xml:space="preserve"> </v>
      </c>
      <c r="AE27" s="472">
        <f ca="1">IF(N(AA27)=0,9999,VLOOKUP(AA27,Hraci!$A$1:$I$1500,8,0))</f>
        <v>9999</v>
      </c>
      <c r="AF27" s="473">
        <f ca="1">IF(N(AA27)=0,0,VLOOKUP(AA27,Hraci!$A$1:$I$1500,9,0))</f>
        <v>0</v>
      </c>
      <c r="AG27" s="474"/>
      <c r="AH27" s="480">
        <v>64</v>
      </c>
      <c r="AI27" s="475">
        <f ca="1">IF(N($AH27)&gt;0,VLOOKUP($AH27,Body!$A$4:$F$259,5,0),"")</f>
        <v>288.35162500000001</v>
      </c>
      <c r="AJ27" s="476">
        <f ca="1">IF(N($AH27)&gt;0,VLOOKUP($AH27,Body!$A$4:$F$259,6,0),"")</f>
        <v>200</v>
      </c>
      <c r="AK27" s="475">
        <f ca="1">IF(N($AH27)&gt;0,VLOOKUP($AH27,Body!$A$4:$F$259,2,0),"")</f>
        <v>2</v>
      </c>
      <c r="AL27" s="477" t="str">
        <f t="shared" ca="1" si="12"/>
        <v>17 SK Sahara Vědomice - Demčíková Jiřina</v>
      </c>
      <c r="AM27" s="478">
        <f t="shared" ca="1" si="13"/>
        <v>36.25</v>
      </c>
      <c r="AN27" s="408">
        <f ca="1">IF(OR(TYPE(I27)&gt;1,TYPE(MATCH(I27,I28:I$267,0))&gt;1),0,MATCH(I27,I28:I$267,0))+IF(OR(TYPE(I27)&gt;1,TYPE(MATCH(I27,O$11:O$267,0))&gt;1),0,MATCH(I27,O$11:O$267,0))+IF(OR(TYPE(I27)&gt;1,TYPE(MATCH(I27,U$11:U$267,0))&gt;1),0,MATCH(I27,U$11:U$267,0))+IF(OR(TYPE(I27)&gt;1,TYPE(MATCH(I27,AA$11:AA$267,0))&gt;1),0,MATCH(I27,AA$11:AA$267,0))</f>
        <v>0</v>
      </c>
      <c r="AO27" s="408">
        <f ca="1">IF(OR(TYPE(O27)&gt;1,TYPE(MATCH(O27,I$11:I$267,0))&gt;1),0,MATCH(O27,I$11:I$267,0))+IF(OR(TYPE(O27)&gt;1,TYPE(MATCH(O27,O28:O$267,0))&gt;1),0,MATCH(O27,O28:O$267,0))+IF(OR(TYPE(O27)&gt;1,TYPE(MATCH(O27,U$11:U$267,0))&gt;1),0,MATCH(O27,U$11:U$267,0))+IF(OR(TYPE(O27)&gt;1,TYPE(MATCH(O27,AA$11:AA$267,0))&gt;1),0,MATCH(O27,AA$11:AA$267,0))</f>
        <v>0</v>
      </c>
      <c r="AP27" s="408">
        <f ca="1">IF(OR(TYPE(U27)&gt;1,TYPE(MATCH(U27,I$11:I$267,0))&gt;1),0,MATCH(U27,I$11:I$267,0))+IF(OR(TYPE(U27)&gt;1,TYPE(MATCH(U27,O$11:O$267,0))&gt;1),0,MATCH(U27,O$11:O$267,0))+IF(OR(TYPE(U27)&gt;1,TYPE(MATCH(U27,U28:U$267,0))&gt;1),0,MATCH(U27,U28:U$267,0))+IF(OR(TYPE(U27)&gt;1,TYPE(MATCH(U27,AA$11:AA$267,0))&gt;1),0,MATCH(U27,AA$11:AA$267,0))</f>
        <v>0</v>
      </c>
      <c r="AQ27" s="408">
        <f ca="1">IF(OR(TYPE(AA27)&gt;1,TYPE(MATCH(AA27,I$11:I$267,0))&gt;1),0,MATCH(AA27,I$11:I$267,0))+IF(OR(TYPE(AA27)&gt;1,TYPE(MATCH(AA27,O$11:O$267,0))&gt;1),0,MATCH(AA27,O$11:O$267,0))+IF(OR(TYPE(AA27)&gt;1,TYPE(MATCH(AA27,U$11:U$267,0))&gt;1),0,MATCH(U27,U$11:U$267,0))+IF(OR(TYPE(AA27)&gt;1,TYPE(MATCH(AA27,AA28:AA$267,0))&gt;1),0,MATCH(AA27,AA28:AA$267,0))</f>
        <v>0</v>
      </c>
      <c r="AR27" s="408">
        <f t="shared" ca="1" si="14"/>
        <v>0</v>
      </c>
      <c r="BF27" s="408">
        <f t="shared" si="15"/>
        <v>17</v>
      </c>
    </row>
    <row r="28" spans="1:58" ht="14.25">
      <c r="A28" s="430">
        <f t="shared" ca="1" si="0"/>
        <v>1</v>
      </c>
      <c r="B28" s="430">
        <f t="shared" ca="1" si="1"/>
        <v>1</v>
      </c>
      <c r="C28" s="430">
        <f t="shared" ca="1" si="2"/>
        <v>35</v>
      </c>
      <c r="D28" s="430">
        <f t="shared" ca="1" si="3"/>
        <v>20017</v>
      </c>
      <c r="E28" s="430">
        <f t="shared" ca="1" si="4"/>
        <v>19</v>
      </c>
      <c r="F28" s="431" t="str">
        <f t="shared" ca="1" si="5"/>
        <v>91035000979982999980066271</v>
      </c>
      <c r="G28" s="467" t="b">
        <f t="shared" ca="1" si="6"/>
        <v>0</v>
      </c>
      <c r="H28" s="468">
        <f t="shared" si="7"/>
        <v>18</v>
      </c>
      <c r="I28" s="469">
        <f t="shared" ca="1" si="8"/>
        <v>13064</v>
      </c>
      <c r="J28" s="470" t="str">
        <f ca="1">IF(N(I28)&gt;0,VLOOKUP(I28,Hraci!$A$1:$I$1500,2,0),IF(TYPE(INDIRECT(ADDRESS(ROW() + $A$9-9 + (ROW()-11)*4,2,1,1,"Internet")))&gt;1,INDIRECT(ADDRESS(ROW() + $A$9-9 + (ROW()-11)*4,2,1,1,"Internet"))," "))</f>
        <v>Michalička</v>
      </c>
      <c r="K28" s="471" t="str">
        <f ca="1">IF(N(I28)&gt;0,VLOOKUP(I28,Hraci!$A$1:$I$1500,3,0)," ")</f>
        <v>Lukáš</v>
      </c>
      <c r="L28" s="471" t="str">
        <f ca="1">IF(N(I28)&gt;0,VLOOKUP(I28,Hraci!$A$1:$I$1500,5,0),IF(TYPE(INDIRECT(ADDRESS(ROW() + $A$9-9 + (ROW()-11)*4,3,1,1,"Internet")))&gt;1,INDIRECT(ADDRESS(ROW() + $A$9-9 + (ROW()-11)*4,3,1,1,"Internet"))," "))</f>
        <v>1. KPK Vrchlabí</v>
      </c>
      <c r="M28" s="472">
        <f ca="1">IF(N(I28)=0,9999,VLOOKUP(I28,Hraci!$A$1:$I$1500,8,0))</f>
        <v>19</v>
      </c>
      <c r="N28" s="473">
        <f ca="1">IF(N(I28)=0,0,VLOOKUP(I28,Hraci!$A$1:$I$1500,9,0))</f>
        <v>35</v>
      </c>
      <c r="O28" s="469" t="str">
        <f t="shared" ca="1" si="9"/>
        <v/>
      </c>
      <c r="P28" s="470" t="str">
        <f ca="1">IF(N(O28)&gt;0,VLOOKUP(O28,Hraci!$A$1:$I$1500,2,0),IF(TYPE(INDIRECT(ADDRESS(ROW() + $A$9-8 + (ROW()-11)*4,2,1,1,"Internet")))&gt;1,INDIRECT(ADDRESS(ROW() + $A$9-8 + (ROW()-11)*4,2,1,1,"Internet"))," "))</f>
        <v xml:space="preserve"> </v>
      </c>
      <c r="Q28" s="471" t="str">
        <f ca="1">IF(N(O28)&gt;0,VLOOKUP(O28,Hraci!$A$1:$I$1500,3,0)," ")</f>
        <v xml:space="preserve"> </v>
      </c>
      <c r="R28" s="471" t="str">
        <f ca="1">IF(N(O28)&gt;0,VLOOKUP(O28,Hraci!$A$1:$I$1500,5,0),IF(TYPE(INDIRECT(ADDRESS(ROW() + $A$9-8 + (ROW()-11)*4,3,1,1,"Internet")))&gt;1,INDIRECT(ADDRESS(ROW() + $A$9-8 + (ROW()-11)*4,3,1,1,"Internet"))," "))</f>
        <v xml:space="preserve"> </v>
      </c>
      <c r="S28" s="472">
        <f ca="1">IF(N(O28)=0,9999,VLOOKUP(O28,Hraci!$A$1:$I$1500,8,0))</f>
        <v>9999</v>
      </c>
      <c r="T28" s="473">
        <f ca="1">IF(N(O28)=0,0,VLOOKUP(O28,Hraci!$A$1:$I$1500,9,0))</f>
        <v>0</v>
      </c>
      <c r="U28" s="469" t="str">
        <f t="shared" ca="1" si="10"/>
        <v/>
      </c>
      <c r="V28" s="470" t="str">
        <f ca="1">IF(N(U28)&gt;0,VLOOKUP(U28,Hraci!$A$1:$I$1500,2,0),IF(TYPE(INDIRECT(ADDRESS(ROW() + $A$9-7 + (ROW()-11)*4,2,1,1,"Internet")))&gt;1,INDIRECT(ADDRESS(ROW() + $A$9-7 + (ROW()-11)*4,2,1,1,"Internet"))," "))</f>
        <v xml:space="preserve"> </v>
      </c>
      <c r="W28" s="471" t="str">
        <f ca="1">IF(N(U28)&gt;0,VLOOKUP(U28,Hraci!$A$1:$I$1500,3,0)," ")</f>
        <v xml:space="preserve"> </v>
      </c>
      <c r="X28" s="471" t="str">
        <f ca="1">IF(N(U28)&gt;0,VLOOKUP(U28,Hraci!$A$1:$I$1500,5,0),IF(TYPE(INDIRECT(ADDRESS(ROW() + $A$9-7 + (ROW()-11)*4,3,1,1,"Internet")))&gt;1,INDIRECT(ADDRESS(ROW() + $A$9-7 + (ROW()-11)*4,3,1,1,"Internet"))," "))</f>
        <v xml:space="preserve"> </v>
      </c>
      <c r="Y28" s="472">
        <f ca="1">IF(N(U28)=0,9999,VLOOKUP(U28,Hraci!$A$1:$I$1500,8,0))</f>
        <v>9999</v>
      </c>
      <c r="Z28" s="473">
        <f ca="1">IF(N(U28)=0,0,VLOOKUP(U28,Hraci!$A$1:$I$1500,9,0))</f>
        <v>0</v>
      </c>
      <c r="AA28" s="469" t="str">
        <f t="shared" ca="1" si="11"/>
        <v/>
      </c>
      <c r="AB28" s="470" t="str">
        <f ca="1">IF(N(AA28)&gt;0,VLOOKUP(AA28,Hraci!$A$1:$I$1500,2,0)," ")</f>
        <v xml:space="preserve"> </v>
      </c>
      <c r="AC28" s="471" t="str">
        <f ca="1">IF(N(AA28)&gt;0,VLOOKUP(AA28,Hraci!$A$1:$I$1500,3,0)," ")</f>
        <v xml:space="preserve"> </v>
      </c>
      <c r="AD28" s="471" t="str">
        <f ca="1">IF(N(AA28)&gt;0,VLOOKUP(AA28,Hraci!$A$1:$I$1500,5,0)," ")</f>
        <v xml:space="preserve"> </v>
      </c>
      <c r="AE28" s="472">
        <f ca="1">IF(N(AA28)=0,9999,VLOOKUP(AA28,Hraci!$A$1:$I$1500,8,0))</f>
        <v>9999</v>
      </c>
      <c r="AF28" s="473">
        <f ca="1">IF(N(AA28)=0,0,VLOOKUP(AA28,Hraci!$A$1:$I$1500,9,0))</f>
        <v>0</v>
      </c>
      <c r="AG28" s="474"/>
      <c r="AH28" s="480">
        <v>86</v>
      </c>
      <c r="AI28" s="475">
        <f ca="1">IF(N($AH28)&gt;0,VLOOKUP($AH28,Body!$A$4:$F$259,5,0),"")</f>
        <v>553.40650000000005</v>
      </c>
      <c r="AJ28" s="476">
        <f ca="1">IF(N($AH28)&gt;0,VLOOKUP($AH28,Body!$A$4:$F$259,6,0),"")</f>
        <v>200</v>
      </c>
      <c r="AK28" s="475">
        <f ca="1">IF(N($AH28)&gt;0,VLOOKUP($AH28,Body!$A$4:$F$259,2,0),"")</f>
        <v>8</v>
      </c>
      <c r="AL28" s="477" t="str">
        <f t="shared" ca="1" si="12"/>
        <v>18 1. KPK Vrchlabí - Michalička Lukáš</v>
      </c>
      <c r="AM28" s="478">
        <f t="shared" ca="1" si="13"/>
        <v>35</v>
      </c>
      <c r="AN28" s="408">
        <f ca="1">IF(OR(TYPE(I28)&gt;1,TYPE(MATCH(I28,I29:I$267,0))&gt;1),0,MATCH(I28,I29:I$267,0))+IF(OR(TYPE(I28)&gt;1,TYPE(MATCH(I28,O$11:O$267,0))&gt;1),0,MATCH(I28,O$11:O$267,0))+IF(OR(TYPE(I28)&gt;1,TYPE(MATCH(I28,U$11:U$267,0))&gt;1),0,MATCH(I28,U$11:U$267,0))+IF(OR(TYPE(I28)&gt;1,TYPE(MATCH(I28,AA$11:AA$267,0))&gt;1),0,MATCH(I28,AA$11:AA$267,0))</f>
        <v>0</v>
      </c>
      <c r="AO28" s="408">
        <f ca="1">IF(OR(TYPE(O28)&gt;1,TYPE(MATCH(O28,I$11:I$267,0))&gt;1),0,MATCH(O28,I$11:I$267,0))+IF(OR(TYPE(O28)&gt;1,TYPE(MATCH(O28,O29:O$267,0))&gt;1),0,MATCH(O28,O29:O$267,0))+IF(OR(TYPE(O28)&gt;1,TYPE(MATCH(O28,U$11:U$267,0))&gt;1),0,MATCH(O28,U$11:U$267,0))+IF(OR(TYPE(O28)&gt;1,TYPE(MATCH(O28,AA$11:AA$267,0))&gt;1),0,MATCH(O28,AA$11:AA$267,0))</f>
        <v>0</v>
      </c>
      <c r="AP28" s="408">
        <f ca="1">IF(OR(TYPE(U28)&gt;1,TYPE(MATCH(U28,I$11:I$267,0))&gt;1),0,MATCH(U28,I$11:I$267,0))+IF(OR(TYPE(U28)&gt;1,TYPE(MATCH(U28,O$11:O$267,0))&gt;1),0,MATCH(U28,O$11:O$267,0))+IF(OR(TYPE(U28)&gt;1,TYPE(MATCH(U28,U29:U$267,0))&gt;1),0,MATCH(U28,U29:U$267,0))+IF(OR(TYPE(U28)&gt;1,TYPE(MATCH(U28,AA$11:AA$267,0))&gt;1),0,MATCH(U28,AA$11:AA$267,0))</f>
        <v>0</v>
      </c>
      <c r="AQ28" s="408">
        <f ca="1">IF(OR(TYPE(AA28)&gt;1,TYPE(MATCH(AA28,I$11:I$267,0))&gt;1),0,MATCH(AA28,I$11:I$267,0))+IF(OR(TYPE(AA28)&gt;1,TYPE(MATCH(AA28,O$11:O$267,0))&gt;1),0,MATCH(AA28,O$11:O$267,0))+IF(OR(TYPE(AA28)&gt;1,TYPE(MATCH(AA28,U$11:U$267,0))&gt;1),0,MATCH(U28,U$11:U$267,0))+IF(OR(TYPE(AA28)&gt;1,TYPE(MATCH(AA28,AA29:AA$267,0))&gt;1),0,MATCH(AA28,AA29:AA$267,0))</f>
        <v>0</v>
      </c>
      <c r="AR28" s="408">
        <f t="shared" ca="1" si="14"/>
        <v>0</v>
      </c>
      <c r="BF28" s="408">
        <f t="shared" si="15"/>
        <v>18</v>
      </c>
    </row>
    <row r="29" spans="1:58" ht="14.25">
      <c r="A29" s="430">
        <f t="shared" ca="1" si="0"/>
        <v>1</v>
      </c>
      <c r="B29" s="430">
        <f t="shared" ca="1" si="1"/>
        <v>1</v>
      </c>
      <c r="C29" s="430">
        <f t="shared" ca="1" si="2"/>
        <v>32.563000000000002</v>
      </c>
      <c r="D29" s="430">
        <f t="shared" ca="1" si="3"/>
        <v>20055</v>
      </c>
      <c r="E29" s="430">
        <f t="shared" ca="1" si="4"/>
        <v>57</v>
      </c>
      <c r="F29" s="431" t="str">
        <f t="shared" ca="1" si="5"/>
        <v>91032563979944999942967252</v>
      </c>
      <c r="G29" s="467" t="b">
        <f t="shared" ca="1" si="6"/>
        <v>0</v>
      </c>
      <c r="H29" s="468">
        <f t="shared" si="7"/>
        <v>19</v>
      </c>
      <c r="I29" s="469">
        <f t="shared" ca="1" si="8"/>
        <v>27015</v>
      </c>
      <c r="J29" s="470" t="str">
        <f ca="1">IF(N(I29)&gt;0,VLOOKUP(I29,Hraci!$A$1:$I$1500,2,0),IF(TYPE(INDIRECT(ADDRESS(ROW() + $A$9-9 + (ROW()-11)*4,2,1,1,"Internet")))&gt;1,INDIRECT(ADDRESS(ROW() + $A$9-9 + (ROW()-11)*4,2,1,1,"Internet"))," "))</f>
        <v>Srnský</v>
      </c>
      <c r="K29" s="471" t="str">
        <f ca="1">IF(N(I29)&gt;0,VLOOKUP(I29,Hraci!$A$1:$I$1500,3,0)," ")</f>
        <v>Lubomír</v>
      </c>
      <c r="L29" s="471" t="str">
        <f ca="1">IF(N(I29)&gt;0,VLOOKUP(I29,Hraci!$A$1:$I$1500,5,0),IF(TYPE(INDIRECT(ADDRESS(ROW() + $A$9-9 + (ROW()-11)*4,3,1,1,"Internet")))&gt;1,INDIRECT(ADDRESS(ROW() + $A$9-9 + (ROW()-11)*4,3,1,1,"Internet"))," "))</f>
        <v>1. KPK Vrchlabí</v>
      </c>
      <c r="M29" s="472">
        <f ca="1">IF(N(I29)=0,9999,VLOOKUP(I29,Hraci!$A$1:$I$1500,8,0))</f>
        <v>57</v>
      </c>
      <c r="N29" s="473">
        <f ca="1">IF(N(I29)=0,0,VLOOKUP(I29,Hraci!$A$1:$I$1500,9,0))</f>
        <v>32.563000000000002</v>
      </c>
      <c r="O29" s="469" t="str">
        <f t="shared" ca="1" si="9"/>
        <v/>
      </c>
      <c r="P29" s="470" t="str">
        <f ca="1">IF(N(O29)&gt;0,VLOOKUP(O29,Hraci!$A$1:$I$1500,2,0),IF(TYPE(INDIRECT(ADDRESS(ROW() + $A$9-8 + (ROW()-11)*4,2,1,1,"Internet")))&gt;1,INDIRECT(ADDRESS(ROW() + $A$9-8 + (ROW()-11)*4,2,1,1,"Internet"))," "))</f>
        <v xml:space="preserve"> </v>
      </c>
      <c r="Q29" s="471" t="str">
        <f ca="1">IF(N(O29)&gt;0,VLOOKUP(O29,Hraci!$A$1:$I$1500,3,0)," ")</f>
        <v xml:space="preserve"> </v>
      </c>
      <c r="R29" s="471" t="str">
        <f ca="1">IF(N(O29)&gt;0,VLOOKUP(O29,Hraci!$A$1:$I$1500,5,0),IF(TYPE(INDIRECT(ADDRESS(ROW() + $A$9-8 + (ROW()-11)*4,3,1,1,"Internet")))&gt;1,INDIRECT(ADDRESS(ROW() + $A$9-8 + (ROW()-11)*4,3,1,1,"Internet"))," "))</f>
        <v xml:space="preserve"> </v>
      </c>
      <c r="S29" s="472">
        <f ca="1">IF(N(O29)=0,9999,VLOOKUP(O29,Hraci!$A$1:$I$1500,8,0))</f>
        <v>9999</v>
      </c>
      <c r="T29" s="473">
        <f ca="1">IF(N(O29)=0,0,VLOOKUP(O29,Hraci!$A$1:$I$1500,9,0))</f>
        <v>0</v>
      </c>
      <c r="U29" s="469" t="str">
        <f t="shared" ca="1" si="10"/>
        <v/>
      </c>
      <c r="V29" s="470" t="str">
        <f ca="1">IF(N(U29)&gt;0,VLOOKUP(U29,Hraci!$A$1:$I$1500,2,0),IF(TYPE(INDIRECT(ADDRESS(ROW() + $A$9-7 + (ROW()-11)*4,2,1,1,"Internet")))&gt;1,INDIRECT(ADDRESS(ROW() + $A$9-7 + (ROW()-11)*4,2,1,1,"Internet"))," "))</f>
        <v xml:space="preserve"> </v>
      </c>
      <c r="W29" s="471" t="str">
        <f ca="1">IF(N(U29)&gt;0,VLOOKUP(U29,Hraci!$A$1:$I$1500,3,0)," ")</f>
        <v xml:space="preserve"> </v>
      </c>
      <c r="X29" s="471" t="str">
        <f ca="1">IF(N(U29)&gt;0,VLOOKUP(U29,Hraci!$A$1:$I$1500,5,0),IF(TYPE(INDIRECT(ADDRESS(ROW() + $A$9-7 + (ROW()-11)*4,3,1,1,"Internet")))&gt;1,INDIRECT(ADDRESS(ROW() + $A$9-7 + (ROW()-11)*4,3,1,1,"Internet"))," "))</f>
        <v xml:space="preserve"> </v>
      </c>
      <c r="Y29" s="472">
        <f ca="1">IF(N(U29)=0,9999,VLOOKUP(U29,Hraci!$A$1:$I$1500,8,0))</f>
        <v>9999</v>
      </c>
      <c r="Z29" s="473">
        <f ca="1">IF(N(U29)=0,0,VLOOKUP(U29,Hraci!$A$1:$I$1500,9,0))</f>
        <v>0</v>
      </c>
      <c r="AA29" s="469" t="str">
        <f t="shared" ca="1" si="11"/>
        <v/>
      </c>
      <c r="AB29" s="470" t="str">
        <f ca="1">IF(N(AA29)&gt;0,VLOOKUP(AA29,Hraci!$A$1:$I$1500,2,0)," ")</f>
        <v xml:space="preserve"> </v>
      </c>
      <c r="AC29" s="471" t="str">
        <f ca="1">IF(N(AA29)&gt;0,VLOOKUP(AA29,Hraci!$A$1:$I$1500,3,0)," ")</f>
        <v xml:space="preserve"> </v>
      </c>
      <c r="AD29" s="471" t="str">
        <f ca="1">IF(N(AA29)&gt;0,VLOOKUP(AA29,Hraci!$A$1:$I$1500,5,0)," ")</f>
        <v xml:space="preserve"> </v>
      </c>
      <c r="AE29" s="472">
        <f ca="1">IF(N(AA29)=0,9999,VLOOKUP(AA29,Hraci!$A$1:$I$1500,8,0))</f>
        <v>9999</v>
      </c>
      <c r="AF29" s="473">
        <f ca="1">IF(N(AA29)=0,0,VLOOKUP(AA29,Hraci!$A$1:$I$1500,9,0))</f>
        <v>0</v>
      </c>
      <c r="AG29" s="474"/>
      <c r="AH29" s="480">
        <v>9</v>
      </c>
      <c r="AI29" s="475">
        <f ca="1">IF(N($AH29)&gt;0,VLOOKUP($AH29,Body!$A$4:$F$259,5,0),"")</f>
        <v>415.35708593749996</v>
      </c>
      <c r="AJ29" s="476">
        <f ca="1">IF(N($AH29)&gt;0,VLOOKUP($AH29,Body!$A$4:$F$259,6,0),"")</f>
        <v>200</v>
      </c>
      <c r="AK29" s="475">
        <f ca="1">IF(N($AH29)&gt;0,VLOOKUP($AH29,Body!$A$4:$F$259,2,0),"")</f>
        <v>4.875</v>
      </c>
      <c r="AL29" s="477" t="str">
        <f t="shared" ca="1" si="12"/>
        <v>19 1. KPK Vrchlabí - Srnský Lubomír</v>
      </c>
      <c r="AM29" s="478">
        <f t="shared" ca="1" si="13"/>
        <v>32.563000000000002</v>
      </c>
      <c r="AN29" s="408">
        <f ca="1">IF(OR(TYPE(I29)&gt;1,TYPE(MATCH(I29,I30:I$267,0))&gt;1),0,MATCH(I29,I30:I$267,0))+IF(OR(TYPE(I29)&gt;1,TYPE(MATCH(I29,O$11:O$267,0))&gt;1),0,MATCH(I29,O$11:O$267,0))+IF(OR(TYPE(I29)&gt;1,TYPE(MATCH(I29,U$11:U$267,0))&gt;1),0,MATCH(I29,U$11:U$267,0))+IF(OR(TYPE(I29)&gt;1,TYPE(MATCH(I29,AA$11:AA$267,0))&gt;1),0,MATCH(I29,AA$11:AA$267,0))</f>
        <v>0</v>
      </c>
      <c r="AO29" s="408">
        <f ca="1">IF(OR(TYPE(O29)&gt;1,TYPE(MATCH(O29,I$11:I$267,0))&gt;1),0,MATCH(O29,I$11:I$267,0))+IF(OR(TYPE(O29)&gt;1,TYPE(MATCH(O29,O30:O$267,0))&gt;1),0,MATCH(O29,O30:O$267,0))+IF(OR(TYPE(O29)&gt;1,TYPE(MATCH(O29,U$11:U$267,0))&gt;1),0,MATCH(O29,U$11:U$267,0))+IF(OR(TYPE(O29)&gt;1,TYPE(MATCH(O29,AA$11:AA$267,0))&gt;1),0,MATCH(O29,AA$11:AA$267,0))</f>
        <v>0</v>
      </c>
      <c r="AP29" s="408">
        <f ca="1">IF(OR(TYPE(U29)&gt;1,TYPE(MATCH(U29,I$11:I$267,0))&gt;1),0,MATCH(U29,I$11:I$267,0))+IF(OR(TYPE(U29)&gt;1,TYPE(MATCH(U29,O$11:O$267,0))&gt;1),0,MATCH(U29,O$11:O$267,0))+IF(OR(TYPE(U29)&gt;1,TYPE(MATCH(U29,U30:U$267,0))&gt;1),0,MATCH(U29,U30:U$267,0))+IF(OR(TYPE(U29)&gt;1,TYPE(MATCH(U29,AA$11:AA$267,0))&gt;1),0,MATCH(U29,AA$11:AA$267,0))</f>
        <v>0</v>
      </c>
      <c r="AQ29" s="408">
        <f ca="1">IF(OR(TYPE(AA29)&gt;1,TYPE(MATCH(AA29,I$11:I$267,0))&gt;1),0,MATCH(AA29,I$11:I$267,0))+IF(OR(TYPE(AA29)&gt;1,TYPE(MATCH(AA29,O$11:O$267,0))&gt;1),0,MATCH(AA29,O$11:O$267,0))+IF(OR(TYPE(AA29)&gt;1,TYPE(MATCH(AA29,U$11:U$267,0))&gt;1),0,MATCH(U29,U$11:U$267,0))+IF(OR(TYPE(AA29)&gt;1,TYPE(MATCH(AA29,AA30:AA$267,0))&gt;1),0,MATCH(AA29,AA30:AA$267,0))</f>
        <v>0</v>
      </c>
      <c r="AR29" s="408">
        <f t="shared" ca="1" si="14"/>
        <v>0</v>
      </c>
      <c r="BF29" s="408">
        <f t="shared" si="15"/>
        <v>19</v>
      </c>
    </row>
    <row r="30" spans="1:58" ht="14.25">
      <c r="A30" s="430">
        <f t="shared" ca="1" si="0"/>
        <v>1</v>
      </c>
      <c r="B30" s="430">
        <f t="shared" ca="1" si="1"/>
        <v>1</v>
      </c>
      <c r="C30" s="430">
        <f t="shared" ca="1" si="2"/>
        <v>32.5</v>
      </c>
      <c r="D30" s="430">
        <f t="shared" ca="1" si="3"/>
        <v>20053</v>
      </c>
      <c r="E30" s="430">
        <f t="shared" ca="1" si="4"/>
        <v>55</v>
      </c>
      <c r="F30" s="431" t="str">
        <f t="shared" ca="1" si="5"/>
        <v>91032500979946999944084636</v>
      </c>
      <c r="G30" s="467" t="b">
        <f t="shared" ca="1" si="6"/>
        <v>0</v>
      </c>
      <c r="H30" s="468">
        <f t="shared" si="7"/>
        <v>20</v>
      </c>
      <c r="I30" s="469">
        <f t="shared" ca="1" si="8"/>
        <v>25055</v>
      </c>
      <c r="J30" s="470" t="str">
        <f ca="1">IF(N(I30)&gt;0,VLOOKUP(I30,Hraci!$A$1:$I$1500,2,0),IF(TYPE(INDIRECT(ADDRESS(ROW() + $A$9-9 + (ROW()-11)*4,2,1,1,"Internet")))&gt;1,INDIRECT(ADDRESS(ROW() + $A$9-9 + (ROW()-11)*4,2,1,1,"Internet"))," "))</f>
        <v>Jakeš</v>
      </c>
      <c r="K30" s="471" t="str">
        <f ca="1">IF(N(I30)&gt;0,VLOOKUP(I30,Hraci!$A$1:$I$1500,3,0)," ")</f>
        <v>Zbyněk</v>
      </c>
      <c r="L30" s="471" t="str">
        <f ca="1">IF(N(I30)&gt;0,VLOOKUP(I30,Hraci!$A$1:$I$1500,5,0),IF(TYPE(INDIRECT(ADDRESS(ROW() + $A$9-9 + (ROW()-11)*4,3,1,1,"Internet")))&gt;1,INDIRECT(ADDRESS(ROW() + $A$9-9 + (ROW()-11)*4,3,1,1,"Internet"))," "))</f>
        <v>SKP Hranice VI-Valšovice</v>
      </c>
      <c r="M30" s="472">
        <f ca="1">IF(N(I30)=0,9999,VLOOKUP(I30,Hraci!$A$1:$I$1500,8,0))</f>
        <v>55</v>
      </c>
      <c r="N30" s="473">
        <f ca="1">IF(N(I30)=0,0,VLOOKUP(I30,Hraci!$A$1:$I$1500,9,0))</f>
        <v>32.5</v>
      </c>
      <c r="O30" s="469" t="str">
        <f t="shared" ca="1" si="9"/>
        <v/>
      </c>
      <c r="P30" s="470" t="str">
        <f ca="1">IF(N(O30)&gt;0,VLOOKUP(O30,Hraci!$A$1:$I$1500,2,0),IF(TYPE(INDIRECT(ADDRESS(ROW() + $A$9-8 + (ROW()-11)*4,2,1,1,"Internet")))&gt;1,INDIRECT(ADDRESS(ROW() + $A$9-8 + (ROW()-11)*4,2,1,1,"Internet"))," "))</f>
        <v xml:space="preserve"> </v>
      </c>
      <c r="Q30" s="471" t="str">
        <f ca="1">IF(N(O30)&gt;0,VLOOKUP(O30,Hraci!$A$1:$I$1500,3,0)," ")</f>
        <v xml:space="preserve"> </v>
      </c>
      <c r="R30" s="471" t="str">
        <f ca="1">IF(N(O30)&gt;0,VLOOKUP(O30,Hraci!$A$1:$I$1500,5,0),IF(TYPE(INDIRECT(ADDRESS(ROW() + $A$9-8 + (ROW()-11)*4,3,1,1,"Internet")))&gt;1,INDIRECT(ADDRESS(ROW() + $A$9-8 + (ROW()-11)*4,3,1,1,"Internet"))," "))</f>
        <v xml:space="preserve"> </v>
      </c>
      <c r="S30" s="472">
        <f ca="1">IF(N(O30)=0,9999,VLOOKUP(O30,Hraci!$A$1:$I$1500,8,0))</f>
        <v>9999</v>
      </c>
      <c r="T30" s="473">
        <f ca="1">IF(N(O30)=0,0,VLOOKUP(O30,Hraci!$A$1:$I$1500,9,0))</f>
        <v>0</v>
      </c>
      <c r="U30" s="469" t="str">
        <f t="shared" ca="1" si="10"/>
        <v/>
      </c>
      <c r="V30" s="470" t="str">
        <f ca="1">IF(N(U30)&gt;0,VLOOKUP(U30,Hraci!$A$1:$I$1500,2,0),IF(TYPE(INDIRECT(ADDRESS(ROW() + $A$9-7 + (ROW()-11)*4,2,1,1,"Internet")))&gt;1,INDIRECT(ADDRESS(ROW() + $A$9-7 + (ROW()-11)*4,2,1,1,"Internet"))," "))</f>
        <v xml:space="preserve"> </v>
      </c>
      <c r="W30" s="471" t="str">
        <f ca="1">IF(N(U30)&gt;0,VLOOKUP(U30,Hraci!$A$1:$I$1500,3,0)," ")</f>
        <v xml:space="preserve"> </v>
      </c>
      <c r="X30" s="471" t="str">
        <f ca="1">IF(N(U30)&gt;0,VLOOKUP(U30,Hraci!$A$1:$I$1500,5,0),IF(TYPE(INDIRECT(ADDRESS(ROW() + $A$9-7 + (ROW()-11)*4,3,1,1,"Internet")))&gt;1,INDIRECT(ADDRESS(ROW() + $A$9-7 + (ROW()-11)*4,3,1,1,"Internet"))," "))</f>
        <v xml:space="preserve"> </v>
      </c>
      <c r="Y30" s="472">
        <f ca="1">IF(N(U30)=0,9999,VLOOKUP(U30,Hraci!$A$1:$I$1500,8,0))</f>
        <v>9999</v>
      </c>
      <c r="Z30" s="473">
        <f ca="1">IF(N(U30)=0,0,VLOOKUP(U30,Hraci!$A$1:$I$1500,9,0))</f>
        <v>0</v>
      </c>
      <c r="AA30" s="469" t="str">
        <f t="shared" ca="1" si="11"/>
        <v/>
      </c>
      <c r="AB30" s="470" t="str">
        <f ca="1">IF(N(AA30)&gt;0,VLOOKUP(AA30,Hraci!$A$1:$I$1500,2,0)," ")</f>
        <v xml:space="preserve"> </v>
      </c>
      <c r="AC30" s="471" t="str">
        <f ca="1">IF(N(AA30)&gt;0,VLOOKUP(AA30,Hraci!$A$1:$I$1500,3,0)," ")</f>
        <v xml:space="preserve"> </v>
      </c>
      <c r="AD30" s="471" t="str">
        <f ca="1">IF(N(AA30)&gt;0,VLOOKUP(AA30,Hraci!$A$1:$I$1500,5,0)," ")</f>
        <v xml:space="preserve"> </v>
      </c>
      <c r="AE30" s="472">
        <f ca="1">IF(N(AA30)=0,9999,VLOOKUP(AA30,Hraci!$A$1:$I$1500,8,0))</f>
        <v>9999</v>
      </c>
      <c r="AF30" s="473">
        <f ca="1">IF(N(AA30)=0,0,VLOOKUP(AA30,Hraci!$A$1:$I$1500,9,0))</f>
        <v>0</v>
      </c>
      <c r="AG30" s="474"/>
      <c r="AH30" s="480">
        <f ca="1">IF(TYPE(VLOOKUP(H30,Nasazení!$A$3:$E$258,5,0))&lt;4,VLOOKUP(H30,Nasazení!$A$3:$E$258,5,0),0)</f>
        <v>64</v>
      </c>
      <c r="AI30" s="475">
        <f ca="1">IF(N($AH30)&gt;0,VLOOKUP($AH30,Body!$A$4:$F$259,5,0),"")</f>
        <v>288.35162500000001</v>
      </c>
      <c r="AJ30" s="476">
        <f ca="1">IF(N($AH30)&gt;0,VLOOKUP($AH30,Body!$A$4:$F$259,6,0),"")</f>
        <v>200</v>
      </c>
      <c r="AK30" s="475">
        <f ca="1">IF(N($AH30)&gt;0,VLOOKUP($AH30,Body!$A$4:$F$259,2,0),"")</f>
        <v>2</v>
      </c>
      <c r="AL30" s="477" t="str">
        <f t="shared" ca="1" si="12"/>
        <v>20 SKP Hranice VI-Valšovice - Jakeš Zbyněk</v>
      </c>
      <c r="AM30" s="478">
        <f t="shared" ca="1" si="13"/>
        <v>32.5</v>
      </c>
      <c r="AN30" s="408">
        <f ca="1">IF(OR(TYPE(I30)&gt;1,TYPE(MATCH(I30,I31:I$267,0))&gt;1),0,MATCH(I30,I31:I$267,0))+IF(OR(TYPE(I30)&gt;1,TYPE(MATCH(I30,O$11:O$267,0))&gt;1),0,MATCH(I30,O$11:O$267,0))+IF(OR(TYPE(I30)&gt;1,TYPE(MATCH(I30,U$11:U$267,0))&gt;1),0,MATCH(I30,U$11:U$267,0))+IF(OR(TYPE(I30)&gt;1,TYPE(MATCH(I30,AA$11:AA$267,0))&gt;1),0,MATCH(I30,AA$11:AA$267,0))</f>
        <v>0</v>
      </c>
      <c r="AO30" s="408">
        <f ca="1">IF(OR(TYPE(O30)&gt;1,TYPE(MATCH(O30,I$11:I$267,0))&gt;1),0,MATCH(O30,I$11:I$267,0))+IF(OR(TYPE(O30)&gt;1,TYPE(MATCH(O30,O31:O$267,0))&gt;1),0,MATCH(O30,O31:O$267,0))+IF(OR(TYPE(O30)&gt;1,TYPE(MATCH(O30,U$11:U$267,0))&gt;1),0,MATCH(O30,U$11:U$267,0))+IF(OR(TYPE(O30)&gt;1,TYPE(MATCH(O30,AA$11:AA$267,0))&gt;1),0,MATCH(O30,AA$11:AA$267,0))</f>
        <v>0</v>
      </c>
      <c r="AP30" s="408">
        <f ca="1">IF(OR(TYPE(U30)&gt;1,TYPE(MATCH(U30,I$11:I$267,0))&gt;1),0,MATCH(U30,I$11:I$267,0))+IF(OR(TYPE(U30)&gt;1,TYPE(MATCH(U30,O$11:O$267,0))&gt;1),0,MATCH(U30,O$11:O$267,0))+IF(OR(TYPE(U30)&gt;1,TYPE(MATCH(U30,U31:U$267,0))&gt;1),0,MATCH(U30,U31:U$267,0))+IF(OR(TYPE(U30)&gt;1,TYPE(MATCH(U30,AA$11:AA$267,0))&gt;1),0,MATCH(U30,AA$11:AA$267,0))</f>
        <v>0</v>
      </c>
      <c r="AQ30" s="408">
        <f ca="1">IF(OR(TYPE(AA30)&gt;1,TYPE(MATCH(AA30,I$11:I$267,0))&gt;1),0,MATCH(AA30,I$11:I$267,0))+IF(OR(TYPE(AA30)&gt;1,TYPE(MATCH(AA30,O$11:O$267,0))&gt;1),0,MATCH(AA30,O$11:O$267,0))+IF(OR(TYPE(AA30)&gt;1,TYPE(MATCH(AA30,U$11:U$267,0))&gt;1),0,MATCH(U30,U$11:U$267,0))+IF(OR(TYPE(AA30)&gt;1,TYPE(MATCH(AA30,AA31:AA$267,0))&gt;1),0,MATCH(AA30,AA31:AA$267,0))</f>
        <v>0</v>
      </c>
      <c r="AR30" s="408">
        <f t="shared" ca="1" si="14"/>
        <v>0</v>
      </c>
      <c r="BF30" s="408">
        <f t="shared" si="15"/>
        <v>20</v>
      </c>
    </row>
    <row r="31" spans="1:58" ht="14.25">
      <c r="A31" s="430">
        <f t="shared" ca="1" si="0"/>
        <v>1</v>
      </c>
      <c r="B31" s="430">
        <f t="shared" ca="1" si="1"/>
        <v>1</v>
      </c>
      <c r="C31" s="430">
        <f t="shared" ca="1" si="2"/>
        <v>32.25</v>
      </c>
      <c r="D31" s="430">
        <f t="shared" ca="1" si="3"/>
        <v>20025</v>
      </c>
      <c r="E31" s="430">
        <f t="shared" ca="1" si="4"/>
        <v>27</v>
      </c>
      <c r="F31" s="431" t="str">
        <f t="shared" ca="1" si="5"/>
        <v>91032250979974999972561610</v>
      </c>
      <c r="G31" s="467" t="b">
        <f t="shared" ca="1" si="6"/>
        <v>0</v>
      </c>
      <c r="H31" s="468">
        <f t="shared" si="7"/>
        <v>21</v>
      </c>
      <c r="I31" s="469">
        <f t="shared" ca="1" si="8"/>
        <v>11002</v>
      </c>
      <c r="J31" s="470" t="str">
        <f ca="1">IF(N(I31)&gt;0,VLOOKUP(I31,Hraci!$A$1:$I$1500,2,0),IF(TYPE(INDIRECT(ADDRESS(ROW() + $A$9-9 + (ROW()-11)*4,2,1,1,"Internet")))&gt;1,INDIRECT(ADDRESS(ROW() + $A$9-9 + (ROW()-11)*4,2,1,1,"Internet"))," "))</f>
        <v>Lukášová</v>
      </c>
      <c r="K31" s="471" t="str">
        <f ca="1">IF(N(I31)&gt;0,VLOOKUP(I31,Hraci!$A$1:$I$1500,3,0)," ")</f>
        <v>Jana</v>
      </c>
      <c r="L31" s="471" t="str">
        <f ca="1">IF(N(I31)&gt;0,VLOOKUP(I31,Hraci!$A$1:$I$1500,5,0),IF(TYPE(INDIRECT(ADDRESS(ROW() + $A$9-9 + (ROW()-11)*4,3,1,1,"Internet")))&gt;1,INDIRECT(ADDRESS(ROW() + $A$9-9 + (ROW()-11)*4,3,1,1,"Internet"))," "))</f>
        <v>PLUK Jablonec</v>
      </c>
      <c r="M31" s="472">
        <f ca="1">IF(N(I31)=0,9999,VLOOKUP(I31,Hraci!$A$1:$I$1500,8,0))</f>
        <v>27</v>
      </c>
      <c r="N31" s="473">
        <f ca="1">IF(N(I31)=0,0,VLOOKUP(I31,Hraci!$A$1:$I$1500,9,0))</f>
        <v>32.25</v>
      </c>
      <c r="O31" s="469" t="str">
        <f t="shared" ca="1" si="9"/>
        <v/>
      </c>
      <c r="P31" s="470" t="str">
        <f ca="1">IF(N(O31)&gt;0,VLOOKUP(O31,Hraci!$A$1:$I$1500,2,0),IF(TYPE(INDIRECT(ADDRESS(ROW() + $A$9-8 + (ROW()-11)*4,2,1,1,"Internet")))&gt;1,INDIRECT(ADDRESS(ROW() + $A$9-8 + (ROW()-11)*4,2,1,1,"Internet"))," "))</f>
        <v xml:space="preserve"> </v>
      </c>
      <c r="Q31" s="471" t="str">
        <f ca="1">IF(N(O31)&gt;0,VLOOKUP(O31,Hraci!$A$1:$I$1500,3,0)," ")</f>
        <v xml:space="preserve"> </v>
      </c>
      <c r="R31" s="471" t="str">
        <f ca="1">IF(N(O31)&gt;0,VLOOKUP(O31,Hraci!$A$1:$I$1500,5,0),IF(TYPE(INDIRECT(ADDRESS(ROW() + $A$9-8 + (ROW()-11)*4,3,1,1,"Internet")))&gt;1,INDIRECT(ADDRESS(ROW() + $A$9-8 + (ROW()-11)*4,3,1,1,"Internet"))," "))</f>
        <v xml:space="preserve"> </v>
      </c>
      <c r="S31" s="472">
        <f ca="1">IF(N(O31)=0,9999,VLOOKUP(O31,Hraci!$A$1:$I$1500,8,0))</f>
        <v>9999</v>
      </c>
      <c r="T31" s="473">
        <f ca="1">IF(N(O31)=0,0,VLOOKUP(O31,Hraci!$A$1:$I$1500,9,0))</f>
        <v>0</v>
      </c>
      <c r="U31" s="469" t="str">
        <f t="shared" ca="1" si="10"/>
        <v/>
      </c>
      <c r="V31" s="470" t="str">
        <f ca="1">IF(N(U31)&gt;0,VLOOKUP(U31,Hraci!$A$1:$I$1500,2,0),IF(TYPE(INDIRECT(ADDRESS(ROW() + $A$9-7 + (ROW()-11)*4,2,1,1,"Internet")))&gt;1,INDIRECT(ADDRESS(ROW() + $A$9-7 + (ROW()-11)*4,2,1,1,"Internet"))," "))</f>
        <v xml:space="preserve"> </v>
      </c>
      <c r="W31" s="471" t="str">
        <f ca="1">IF(N(U31)&gt;0,VLOOKUP(U31,Hraci!$A$1:$I$1500,3,0)," ")</f>
        <v xml:space="preserve"> </v>
      </c>
      <c r="X31" s="471" t="str">
        <f ca="1">IF(N(U31)&gt;0,VLOOKUP(U31,Hraci!$A$1:$I$1500,5,0),IF(TYPE(INDIRECT(ADDRESS(ROW() + $A$9-7 + (ROW()-11)*4,3,1,1,"Internet")))&gt;1,INDIRECT(ADDRESS(ROW() + $A$9-7 + (ROW()-11)*4,3,1,1,"Internet"))," "))</f>
        <v xml:space="preserve"> </v>
      </c>
      <c r="Y31" s="472">
        <f ca="1">IF(N(U31)=0,9999,VLOOKUP(U31,Hraci!$A$1:$I$1500,8,0))</f>
        <v>9999</v>
      </c>
      <c r="Z31" s="473">
        <f ca="1">IF(N(U31)=0,0,VLOOKUP(U31,Hraci!$A$1:$I$1500,9,0))</f>
        <v>0</v>
      </c>
      <c r="AA31" s="469" t="str">
        <f t="shared" ca="1" si="11"/>
        <v/>
      </c>
      <c r="AB31" s="470" t="str">
        <f ca="1">IF(N(AA31)&gt;0,VLOOKUP(AA31,Hraci!$A$1:$I$1500,2,0)," ")</f>
        <v xml:space="preserve"> </v>
      </c>
      <c r="AC31" s="471" t="str">
        <f ca="1">IF(N(AA31)&gt;0,VLOOKUP(AA31,Hraci!$A$1:$I$1500,3,0)," ")</f>
        <v xml:space="preserve"> </v>
      </c>
      <c r="AD31" s="471" t="str">
        <f ca="1">IF(N(AA31)&gt;0,VLOOKUP(AA31,Hraci!$A$1:$I$1500,5,0)," ")</f>
        <v xml:space="preserve"> </v>
      </c>
      <c r="AE31" s="472">
        <f ca="1">IF(N(AA31)=0,9999,VLOOKUP(AA31,Hraci!$A$1:$I$1500,8,0))</f>
        <v>9999</v>
      </c>
      <c r="AF31" s="473">
        <f ca="1">IF(N(AA31)=0,0,VLOOKUP(AA31,Hraci!$A$1:$I$1500,9,0))</f>
        <v>0</v>
      </c>
      <c r="AG31" s="474"/>
      <c r="AH31" s="480">
        <v>86</v>
      </c>
      <c r="AI31" s="475">
        <f ca="1">IF(N($AH31)&gt;0,VLOOKUP($AH31,Body!$A$4:$F$259,5,0),"")</f>
        <v>553.40650000000005</v>
      </c>
      <c r="AJ31" s="476">
        <f ca="1">IF(N($AH31)&gt;0,VLOOKUP($AH31,Body!$A$4:$F$259,6,0),"")</f>
        <v>200</v>
      </c>
      <c r="AK31" s="475">
        <f ca="1">IF(N($AH31)&gt;0,VLOOKUP($AH31,Body!$A$4:$F$259,2,0),"")</f>
        <v>8</v>
      </c>
      <c r="AL31" s="477" t="str">
        <f t="shared" ca="1" si="12"/>
        <v>21 PLUK Jablonec - Lukášová Jana</v>
      </c>
      <c r="AM31" s="478">
        <f t="shared" ca="1" si="13"/>
        <v>32.25</v>
      </c>
      <c r="AN31" s="408">
        <f ca="1">IF(OR(TYPE(I31)&gt;1,TYPE(MATCH(I31,I32:I$267,0))&gt;1),0,MATCH(I31,I32:I$267,0))+IF(OR(TYPE(I31)&gt;1,TYPE(MATCH(I31,O$11:O$267,0))&gt;1),0,MATCH(I31,O$11:O$267,0))+IF(OR(TYPE(I31)&gt;1,TYPE(MATCH(I31,U$11:U$267,0))&gt;1),0,MATCH(I31,U$11:U$267,0))+IF(OR(TYPE(I31)&gt;1,TYPE(MATCH(I31,AA$11:AA$267,0))&gt;1),0,MATCH(I31,AA$11:AA$267,0))</f>
        <v>0</v>
      </c>
      <c r="AO31" s="408">
        <f ca="1">IF(OR(TYPE(O31)&gt;1,TYPE(MATCH(O31,I$11:I$267,0))&gt;1),0,MATCH(O31,I$11:I$267,0))+IF(OR(TYPE(O31)&gt;1,TYPE(MATCH(O31,O32:O$267,0))&gt;1),0,MATCH(O31,O32:O$267,0))+IF(OR(TYPE(O31)&gt;1,TYPE(MATCH(O31,U$11:U$267,0))&gt;1),0,MATCH(O31,U$11:U$267,0))+IF(OR(TYPE(O31)&gt;1,TYPE(MATCH(O31,AA$11:AA$267,0))&gt;1),0,MATCH(O31,AA$11:AA$267,0))</f>
        <v>0</v>
      </c>
      <c r="AP31" s="408">
        <f ca="1">IF(OR(TYPE(U31)&gt;1,TYPE(MATCH(U31,I$11:I$267,0))&gt;1),0,MATCH(U31,I$11:I$267,0))+IF(OR(TYPE(U31)&gt;1,TYPE(MATCH(U31,O$11:O$267,0))&gt;1),0,MATCH(U31,O$11:O$267,0))+IF(OR(TYPE(U31)&gt;1,TYPE(MATCH(U31,U32:U$267,0))&gt;1),0,MATCH(U31,U32:U$267,0))+IF(OR(TYPE(U31)&gt;1,TYPE(MATCH(U31,AA$11:AA$267,0))&gt;1),0,MATCH(U31,AA$11:AA$267,0))</f>
        <v>0</v>
      </c>
      <c r="AQ31" s="408">
        <f ca="1">IF(OR(TYPE(AA31)&gt;1,TYPE(MATCH(AA31,I$11:I$267,0))&gt;1),0,MATCH(AA31,I$11:I$267,0))+IF(OR(TYPE(AA31)&gt;1,TYPE(MATCH(AA31,O$11:O$267,0))&gt;1),0,MATCH(AA31,O$11:O$267,0))+IF(OR(TYPE(AA31)&gt;1,TYPE(MATCH(AA31,U$11:U$267,0))&gt;1),0,MATCH(U31,U$11:U$267,0))+IF(OR(TYPE(AA31)&gt;1,TYPE(MATCH(AA31,AA32:AA$267,0))&gt;1),0,MATCH(AA31,AA32:AA$267,0))</f>
        <v>0</v>
      </c>
      <c r="AR31" s="408">
        <f t="shared" ca="1" si="14"/>
        <v>0</v>
      </c>
      <c r="BF31" s="408">
        <f t="shared" si="15"/>
        <v>21</v>
      </c>
    </row>
    <row r="32" spans="1:58" ht="14.25">
      <c r="A32" s="430">
        <f t="shared" ca="1" si="0"/>
        <v>1</v>
      </c>
      <c r="B32" s="430">
        <f t="shared" ca="1" si="1"/>
        <v>1</v>
      </c>
      <c r="C32" s="430">
        <f t="shared" ca="1" si="2"/>
        <v>31.937999999999999</v>
      </c>
      <c r="D32" s="430">
        <f t="shared" ca="1" si="3"/>
        <v>20014</v>
      </c>
      <c r="E32" s="430">
        <f t="shared" ca="1" si="4"/>
        <v>16</v>
      </c>
      <c r="F32" s="431" t="str">
        <f t="shared" ca="1" si="5"/>
        <v>91031938979985999983996060</v>
      </c>
      <c r="G32" s="467" t="b">
        <f t="shared" ca="1" si="6"/>
        <v>0</v>
      </c>
      <c r="H32" s="468">
        <f t="shared" si="7"/>
        <v>22</v>
      </c>
      <c r="I32" s="469">
        <f t="shared" ca="1" si="8"/>
        <v>24218</v>
      </c>
      <c r="J32" s="470" t="str">
        <f ca="1">IF(N(I32)&gt;0,VLOOKUP(I32,Hraci!$A$1:$I$1500,2,0),IF(TYPE(INDIRECT(ADDRESS(ROW() + $A$9-9 + (ROW()-11)*4,2,1,1,"Internet")))&gt;1,INDIRECT(ADDRESS(ROW() + $A$9-9 + (ROW()-11)*4,2,1,1,"Internet"))," "))</f>
        <v>Fuksa</v>
      </c>
      <c r="K32" s="471" t="str">
        <f ca="1">IF(N(I32)&gt;0,VLOOKUP(I32,Hraci!$A$1:$I$1500,3,0)," ")</f>
        <v>Petr</v>
      </c>
      <c r="L32" s="471" t="str">
        <f ca="1">IF(N(I32)&gt;0,VLOOKUP(I32,Hraci!$A$1:$I$1500,5,0),IF(TYPE(INDIRECT(ADDRESS(ROW() + $A$9-9 + (ROW()-11)*4,3,1,1,"Internet")))&gt;1,INDIRECT(ADDRESS(ROW() + $A$9-9 + (ROW()-11)*4,3,1,1,"Internet"))," "))</f>
        <v>UBU Únětice</v>
      </c>
      <c r="M32" s="472">
        <f ca="1">IF(N(I32)=0,9999,VLOOKUP(I32,Hraci!$A$1:$I$1500,8,0))</f>
        <v>16</v>
      </c>
      <c r="N32" s="473">
        <f ca="1">IF(N(I32)=0,0,VLOOKUP(I32,Hraci!$A$1:$I$1500,9,0))</f>
        <v>31.937999999999999</v>
      </c>
      <c r="O32" s="469" t="str">
        <f t="shared" ca="1" si="9"/>
        <v/>
      </c>
      <c r="P32" s="470" t="str">
        <f ca="1">IF(N(O32)&gt;0,VLOOKUP(O32,Hraci!$A$1:$I$1500,2,0),IF(TYPE(INDIRECT(ADDRESS(ROW() + $A$9-8 + (ROW()-11)*4,2,1,1,"Internet")))&gt;1,INDIRECT(ADDRESS(ROW() + $A$9-8 + (ROW()-11)*4,2,1,1,"Internet"))," "))</f>
        <v xml:space="preserve"> </v>
      </c>
      <c r="Q32" s="471" t="str">
        <f ca="1">IF(N(O32)&gt;0,VLOOKUP(O32,Hraci!$A$1:$I$1500,3,0)," ")</f>
        <v xml:space="preserve"> </v>
      </c>
      <c r="R32" s="471" t="str">
        <f ca="1">IF(N(O32)&gt;0,VLOOKUP(O32,Hraci!$A$1:$I$1500,5,0),IF(TYPE(INDIRECT(ADDRESS(ROW() + $A$9-8 + (ROW()-11)*4,3,1,1,"Internet")))&gt;1,INDIRECT(ADDRESS(ROW() + $A$9-8 + (ROW()-11)*4,3,1,1,"Internet"))," "))</f>
        <v xml:space="preserve"> </v>
      </c>
      <c r="S32" s="472">
        <f ca="1">IF(N(O32)=0,9999,VLOOKUP(O32,Hraci!$A$1:$I$1500,8,0))</f>
        <v>9999</v>
      </c>
      <c r="T32" s="473">
        <f ca="1">IF(N(O32)=0,0,VLOOKUP(O32,Hraci!$A$1:$I$1500,9,0))</f>
        <v>0</v>
      </c>
      <c r="U32" s="469" t="str">
        <f t="shared" ca="1" si="10"/>
        <v/>
      </c>
      <c r="V32" s="470" t="str">
        <f ca="1">IF(N(U32)&gt;0,VLOOKUP(U32,Hraci!$A$1:$I$1500,2,0),IF(TYPE(INDIRECT(ADDRESS(ROW() + $A$9-7 + (ROW()-11)*4,2,1,1,"Internet")))&gt;1,INDIRECT(ADDRESS(ROW() + $A$9-7 + (ROW()-11)*4,2,1,1,"Internet"))," "))</f>
        <v xml:space="preserve"> </v>
      </c>
      <c r="W32" s="471" t="str">
        <f ca="1">IF(N(U32)&gt;0,VLOOKUP(U32,Hraci!$A$1:$I$1500,3,0)," ")</f>
        <v xml:space="preserve"> </v>
      </c>
      <c r="X32" s="471" t="str">
        <f ca="1">IF(N(U32)&gt;0,VLOOKUP(U32,Hraci!$A$1:$I$1500,5,0),IF(TYPE(INDIRECT(ADDRESS(ROW() + $A$9-7 + (ROW()-11)*4,3,1,1,"Internet")))&gt;1,INDIRECT(ADDRESS(ROW() + $A$9-7 + (ROW()-11)*4,3,1,1,"Internet"))," "))</f>
        <v xml:space="preserve"> </v>
      </c>
      <c r="Y32" s="472">
        <f ca="1">IF(N(U32)=0,9999,VLOOKUP(U32,Hraci!$A$1:$I$1500,8,0))</f>
        <v>9999</v>
      </c>
      <c r="Z32" s="473">
        <f ca="1">IF(N(U32)=0,0,VLOOKUP(U32,Hraci!$A$1:$I$1500,9,0))</f>
        <v>0</v>
      </c>
      <c r="AA32" s="469" t="str">
        <f t="shared" ca="1" si="11"/>
        <v/>
      </c>
      <c r="AB32" s="470" t="str">
        <f ca="1">IF(N(AA32)&gt;0,VLOOKUP(AA32,Hraci!$A$1:$I$1500,2,0)," ")</f>
        <v xml:space="preserve"> </v>
      </c>
      <c r="AC32" s="471" t="str">
        <f ca="1">IF(N(AA32)&gt;0,VLOOKUP(AA32,Hraci!$A$1:$I$1500,3,0)," ")</f>
        <v xml:space="preserve"> </v>
      </c>
      <c r="AD32" s="471" t="str">
        <f ca="1">IF(N(AA32)&gt;0,VLOOKUP(AA32,Hraci!$A$1:$I$1500,5,0)," ")</f>
        <v xml:space="preserve"> </v>
      </c>
      <c r="AE32" s="472">
        <f ca="1">IF(N(AA32)=0,9999,VLOOKUP(AA32,Hraci!$A$1:$I$1500,8,0))</f>
        <v>9999</v>
      </c>
      <c r="AF32" s="473">
        <f ca="1">IF(N(AA32)=0,0,VLOOKUP(AA32,Hraci!$A$1:$I$1500,9,0))</f>
        <v>0</v>
      </c>
      <c r="AG32" s="474"/>
      <c r="AH32" s="480">
        <v>64</v>
      </c>
      <c r="AI32" s="475">
        <f ca="1">IF(N($AH32)&gt;0,VLOOKUP($AH32,Body!$A$4:$F$259,5,0),"")</f>
        <v>288.35162500000001</v>
      </c>
      <c r="AJ32" s="476">
        <f ca="1">IF(N($AH32)&gt;0,VLOOKUP($AH32,Body!$A$4:$F$259,6,0),"")</f>
        <v>200</v>
      </c>
      <c r="AK32" s="475">
        <f ca="1">IF(N($AH32)&gt;0,VLOOKUP($AH32,Body!$A$4:$F$259,2,0),"")</f>
        <v>2</v>
      </c>
      <c r="AL32" s="477" t="str">
        <f t="shared" ca="1" si="12"/>
        <v>22 UBU Únětice - Fuksa Petr</v>
      </c>
      <c r="AM32" s="478">
        <f t="shared" ca="1" si="13"/>
        <v>31.937999999999999</v>
      </c>
      <c r="AN32" s="408">
        <f ca="1">IF(OR(TYPE(I32)&gt;1,TYPE(MATCH(I32,I33:I$267,0))&gt;1),0,MATCH(I32,I33:I$267,0))+IF(OR(TYPE(I32)&gt;1,TYPE(MATCH(I32,O$11:O$267,0))&gt;1),0,MATCH(I32,O$11:O$267,0))+IF(OR(TYPE(I32)&gt;1,TYPE(MATCH(I32,U$11:U$267,0))&gt;1),0,MATCH(I32,U$11:U$267,0))+IF(OR(TYPE(I32)&gt;1,TYPE(MATCH(I32,AA$11:AA$267,0))&gt;1),0,MATCH(I32,AA$11:AA$267,0))</f>
        <v>0</v>
      </c>
      <c r="AO32" s="408">
        <f ca="1">IF(OR(TYPE(O32)&gt;1,TYPE(MATCH(O32,I$11:I$267,0))&gt;1),0,MATCH(O32,I$11:I$267,0))+IF(OR(TYPE(O32)&gt;1,TYPE(MATCH(O32,O33:O$267,0))&gt;1),0,MATCH(O32,O33:O$267,0))+IF(OR(TYPE(O32)&gt;1,TYPE(MATCH(O32,U$11:U$267,0))&gt;1),0,MATCH(O32,U$11:U$267,0))+IF(OR(TYPE(O32)&gt;1,TYPE(MATCH(O32,AA$11:AA$267,0))&gt;1),0,MATCH(O32,AA$11:AA$267,0))</f>
        <v>0</v>
      </c>
      <c r="AP32" s="408">
        <f ca="1">IF(OR(TYPE(U32)&gt;1,TYPE(MATCH(U32,I$11:I$267,0))&gt;1),0,MATCH(U32,I$11:I$267,0))+IF(OR(TYPE(U32)&gt;1,TYPE(MATCH(U32,O$11:O$267,0))&gt;1),0,MATCH(U32,O$11:O$267,0))+IF(OR(TYPE(U32)&gt;1,TYPE(MATCH(U32,U33:U$267,0))&gt;1),0,MATCH(U32,U33:U$267,0))+IF(OR(TYPE(U32)&gt;1,TYPE(MATCH(U32,AA$11:AA$267,0))&gt;1),0,MATCH(U32,AA$11:AA$267,0))</f>
        <v>0</v>
      </c>
      <c r="AQ32" s="408">
        <f ca="1">IF(OR(TYPE(AA32)&gt;1,TYPE(MATCH(AA32,I$11:I$267,0))&gt;1),0,MATCH(AA32,I$11:I$267,0))+IF(OR(TYPE(AA32)&gt;1,TYPE(MATCH(AA32,O$11:O$267,0))&gt;1),0,MATCH(AA32,O$11:O$267,0))+IF(OR(TYPE(AA32)&gt;1,TYPE(MATCH(AA32,U$11:U$267,0))&gt;1),0,MATCH(U32,U$11:U$267,0))+IF(OR(TYPE(AA32)&gt;1,TYPE(MATCH(AA32,AA33:AA$267,0))&gt;1),0,MATCH(AA32,AA33:AA$267,0))</f>
        <v>0</v>
      </c>
      <c r="AR32" s="408">
        <f t="shared" ca="1" si="14"/>
        <v>0</v>
      </c>
      <c r="BF32" s="408">
        <f t="shared" si="15"/>
        <v>22</v>
      </c>
    </row>
    <row r="33" spans="1:58" ht="14.25">
      <c r="A33" s="430">
        <f t="shared" ca="1" si="0"/>
        <v>1</v>
      </c>
      <c r="B33" s="430">
        <f t="shared" ca="1" si="1"/>
        <v>1</v>
      </c>
      <c r="C33" s="430">
        <f t="shared" ca="1" si="2"/>
        <v>31.75</v>
      </c>
      <c r="D33" s="430">
        <f t="shared" ca="1" si="3"/>
        <v>20036</v>
      </c>
      <c r="E33" s="400">
        <f t="shared" ca="1" si="4"/>
        <v>38</v>
      </c>
      <c r="F33" s="431" t="str">
        <f t="shared" ca="1" si="5"/>
        <v>91031750979963999961174869</v>
      </c>
      <c r="G33" s="467" t="b">
        <f t="shared" ca="1" si="6"/>
        <v>0</v>
      </c>
      <c r="H33" s="468">
        <f t="shared" si="7"/>
        <v>23</v>
      </c>
      <c r="I33" s="469">
        <f t="shared" ca="1" si="8"/>
        <v>24235</v>
      </c>
      <c r="J33" s="470" t="str">
        <f ca="1">IF(N(I33)&gt;0,VLOOKUP(I33,Hraci!$A$1:$I$1500,2,0),IF(TYPE(INDIRECT(ADDRESS(ROW() + $A$9-9 + (ROW()-11)*4,2,1,1,"Internet")))&gt;1,INDIRECT(ADDRESS(ROW() + $A$9-9 + (ROW()-11)*4,2,1,1,"Internet"))," "))</f>
        <v>Konečná</v>
      </c>
      <c r="K33" s="471" t="str">
        <f ca="1">IF(N(I33)&gt;0,VLOOKUP(I33,Hraci!$A$1:$I$1500,3,0)," ")</f>
        <v>Jana</v>
      </c>
      <c r="L33" s="471" t="str">
        <f ca="1">IF(N(I33)&gt;0,VLOOKUP(I33,Hraci!$A$1:$I$1500,5,0),IF(TYPE(INDIRECT(ADDRESS(ROW() + $A$9-9 + (ROW()-11)*4,3,1,1,"Internet")))&gt;1,INDIRECT(ADDRESS(ROW() + $A$9-9 + (ROW()-11)*4,3,1,1,"Internet"))," "))</f>
        <v>Kulový blesk Olomouc</v>
      </c>
      <c r="M33" s="472">
        <f ca="1">IF(N(I33)=0,9999,VLOOKUP(I33,Hraci!$A$1:$I$1500,8,0))</f>
        <v>38</v>
      </c>
      <c r="N33" s="473">
        <f ca="1">IF(N(I33)=0,0,VLOOKUP(I33,Hraci!$A$1:$I$1500,9,0))</f>
        <v>31.75</v>
      </c>
      <c r="O33" s="469" t="str">
        <f t="shared" ca="1" si="9"/>
        <v/>
      </c>
      <c r="P33" s="470" t="str">
        <f ca="1">IF(N(O33)&gt;0,VLOOKUP(O33,Hraci!$A$1:$I$1500,2,0),IF(TYPE(INDIRECT(ADDRESS(ROW() + $A$9-8 + (ROW()-11)*4,2,1,1,"Internet")))&gt;1,INDIRECT(ADDRESS(ROW() + $A$9-8 + (ROW()-11)*4,2,1,1,"Internet"))," "))</f>
        <v xml:space="preserve"> </v>
      </c>
      <c r="Q33" s="471" t="str">
        <f ca="1">IF(N(O33)&gt;0,VLOOKUP(O33,Hraci!$A$1:$I$1500,3,0)," ")</f>
        <v xml:space="preserve"> </v>
      </c>
      <c r="R33" s="471" t="str">
        <f ca="1">IF(N(O33)&gt;0,VLOOKUP(O33,Hraci!$A$1:$I$1500,5,0),IF(TYPE(INDIRECT(ADDRESS(ROW() + $A$9-8 + (ROW()-11)*4,3,1,1,"Internet")))&gt;1,INDIRECT(ADDRESS(ROW() + $A$9-8 + (ROW()-11)*4,3,1,1,"Internet"))," "))</f>
        <v xml:space="preserve"> </v>
      </c>
      <c r="S33" s="472">
        <f ca="1">IF(N(O33)=0,9999,VLOOKUP(O33,Hraci!$A$1:$I$1500,8,0))</f>
        <v>9999</v>
      </c>
      <c r="T33" s="473">
        <f ca="1">IF(N(O33)=0,0,VLOOKUP(O33,Hraci!$A$1:$I$1500,9,0))</f>
        <v>0</v>
      </c>
      <c r="U33" s="469" t="str">
        <f t="shared" ca="1" si="10"/>
        <v/>
      </c>
      <c r="V33" s="470" t="str">
        <f ca="1">IF(N(U33)&gt;0,VLOOKUP(U33,Hraci!$A$1:$I$1500,2,0),IF(TYPE(INDIRECT(ADDRESS(ROW() + $A$9-7 + (ROW()-11)*4,2,1,1,"Internet")))&gt;1,INDIRECT(ADDRESS(ROW() + $A$9-7 + (ROW()-11)*4,2,1,1,"Internet"))," "))</f>
        <v xml:space="preserve"> </v>
      </c>
      <c r="W33" s="471" t="str">
        <f ca="1">IF(N(U33)&gt;0,VLOOKUP(U33,Hraci!$A$1:$I$1500,3,0)," ")</f>
        <v xml:space="preserve"> </v>
      </c>
      <c r="X33" s="471" t="str">
        <f ca="1">IF(N(U33)&gt;0,VLOOKUP(U33,Hraci!$A$1:$I$1500,5,0),IF(TYPE(INDIRECT(ADDRESS(ROW() + $A$9-7 + (ROW()-11)*4,3,1,1,"Internet")))&gt;1,INDIRECT(ADDRESS(ROW() + $A$9-7 + (ROW()-11)*4,3,1,1,"Internet"))," "))</f>
        <v xml:space="preserve"> </v>
      </c>
      <c r="Y33" s="472">
        <f ca="1">IF(N(U33)=0,9999,VLOOKUP(U33,Hraci!$A$1:$I$1500,8,0))</f>
        <v>9999</v>
      </c>
      <c r="Z33" s="473">
        <f ca="1">IF(N(U33)=0,0,VLOOKUP(U33,Hraci!$A$1:$I$1500,9,0))</f>
        <v>0</v>
      </c>
      <c r="AA33" s="469" t="str">
        <f t="shared" ca="1" si="11"/>
        <v/>
      </c>
      <c r="AB33" s="470" t="str">
        <f ca="1">IF(N(AA33)&gt;0,VLOOKUP(AA33,Hraci!$A$1:$I$1500,2,0)," ")</f>
        <v xml:space="preserve"> </v>
      </c>
      <c r="AC33" s="471" t="str">
        <f ca="1">IF(N(AA33)&gt;0,VLOOKUP(AA33,Hraci!$A$1:$I$1500,3,0)," ")</f>
        <v xml:space="preserve"> </v>
      </c>
      <c r="AD33" s="471" t="str">
        <f ca="1">IF(N(AA33)&gt;0,VLOOKUP(AA33,Hraci!$A$1:$I$1500,5,0)," ")</f>
        <v xml:space="preserve"> </v>
      </c>
      <c r="AE33" s="472">
        <f ca="1">IF(N(AA33)=0,9999,VLOOKUP(AA33,Hraci!$A$1:$I$1500,8,0))</f>
        <v>9999</v>
      </c>
      <c r="AF33" s="473">
        <f ca="1">IF(N(AA33)=0,0,VLOOKUP(AA33,Hraci!$A$1:$I$1500,9,0))</f>
        <v>0</v>
      </c>
      <c r="AG33" s="474"/>
      <c r="AH33" s="480">
        <f ca="1">IF(TYPE(VLOOKUP(H33,Nasazení!$A$3:$E$258,5,0))&lt;4,VLOOKUP(H33,Nasazení!$A$3:$E$258,5,0),0)</f>
        <v>64</v>
      </c>
      <c r="AI33" s="475">
        <f ca="1">IF(N($AH33)&gt;0,VLOOKUP($AH33,Body!$A$4:$F$259,5,0),"")</f>
        <v>288.35162500000001</v>
      </c>
      <c r="AJ33" s="476">
        <f ca="1">IF(N($AH33)&gt;0,VLOOKUP($AH33,Body!$A$4:$F$259,6,0),"")</f>
        <v>200</v>
      </c>
      <c r="AK33" s="475">
        <f ca="1">IF(N($AH33)&gt;0,VLOOKUP($AH33,Body!$A$4:$F$259,2,0),"")</f>
        <v>2</v>
      </c>
      <c r="AL33" s="477" t="str">
        <f t="shared" ca="1" si="12"/>
        <v>23 Kulový blesk Olomouc - Konečná Jana</v>
      </c>
      <c r="AM33" s="478">
        <f t="shared" ca="1" si="13"/>
        <v>31.75</v>
      </c>
      <c r="AN33" s="408">
        <f ca="1">IF(OR(TYPE(I33)&gt;1,TYPE(MATCH(I33,I34:I$267,0))&gt;1),0,MATCH(I33,I34:I$267,0))+IF(OR(TYPE(I33)&gt;1,TYPE(MATCH(I33,O$11:O$267,0))&gt;1),0,MATCH(I33,O$11:O$267,0))+IF(OR(TYPE(I33)&gt;1,TYPE(MATCH(I33,U$11:U$267,0))&gt;1),0,MATCH(I33,U$11:U$267,0))+IF(OR(TYPE(I33)&gt;1,TYPE(MATCH(I33,AA$11:AA$267,0))&gt;1),0,MATCH(I33,AA$11:AA$267,0))</f>
        <v>0</v>
      </c>
      <c r="AO33" s="408">
        <f ca="1">IF(OR(TYPE(O33)&gt;1,TYPE(MATCH(O33,I$11:I$267,0))&gt;1),0,MATCH(O33,I$11:I$267,0))+IF(OR(TYPE(O33)&gt;1,TYPE(MATCH(O33,O34:O$267,0))&gt;1),0,MATCH(O33,O34:O$267,0))+IF(OR(TYPE(O33)&gt;1,TYPE(MATCH(O33,U$11:U$267,0))&gt;1),0,MATCH(O33,U$11:U$267,0))+IF(OR(TYPE(O33)&gt;1,TYPE(MATCH(O33,AA$11:AA$267,0))&gt;1),0,MATCH(O33,AA$11:AA$267,0))</f>
        <v>0</v>
      </c>
      <c r="AP33" s="408">
        <f ca="1">IF(OR(TYPE(U33)&gt;1,TYPE(MATCH(U33,I$11:I$267,0))&gt;1),0,MATCH(U33,I$11:I$267,0))+IF(OR(TYPE(U33)&gt;1,TYPE(MATCH(U33,O$11:O$267,0))&gt;1),0,MATCH(U33,O$11:O$267,0))+IF(OR(TYPE(U33)&gt;1,TYPE(MATCH(U33,U34:U$267,0))&gt;1),0,MATCH(U33,U34:U$267,0))+IF(OR(TYPE(U33)&gt;1,TYPE(MATCH(U33,AA$11:AA$267,0))&gt;1),0,MATCH(U33,AA$11:AA$267,0))</f>
        <v>0</v>
      </c>
      <c r="AQ33" s="408">
        <f ca="1">IF(OR(TYPE(AA33)&gt;1,TYPE(MATCH(AA33,I$11:I$267,0))&gt;1),0,MATCH(AA33,I$11:I$267,0))+IF(OR(TYPE(AA33)&gt;1,TYPE(MATCH(AA33,O$11:O$267,0))&gt;1),0,MATCH(AA33,O$11:O$267,0))+IF(OR(TYPE(AA33)&gt;1,TYPE(MATCH(AA33,U$11:U$267,0))&gt;1),0,MATCH(U33,U$11:U$267,0))+IF(OR(TYPE(AA33)&gt;1,TYPE(MATCH(AA33,AA34:AA$267,0))&gt;1),0,MATCH(AA33,AA34:AA$267,0))</f>
        <v>0</v>
      </c>
      <c r="AR33" s="408">
        <f t="shared" ca="1" si="14"/>
        <v>0</v>
      </c>
      <c r="BF33" s="408">
        <f t="shared" si="15"/>
        <v>23</v>
      </c>
    </row>
    <row r="34" spans="1:58" ht="14.25">
      <c r="A34" s="430">
        <f t="shared" ca="1" si="0"/>
        <v>1</v>
      </c>
      <c r="B34" s="430">
        <f t="shared" ca="1" si="1"/>
        <v>1</v>
      </c>
      <c r="C34" s="430">
        <f t="shared" ca="1" si="2"/>
        <v>31.625</v>
      </c>
      <c r="D34" s="430">
        <f t="shared" ca="1" si="3"/>
        <v>20046</v>
      </c>
      <c r="E34" s="430">
        <f t="shared" ca="1" si="4"/>
        <v>48</v>
      </c>
      <c r="F34" s="431" t="str">
        <f t="shared" ca="1" si="5"/>
        <v>91031625979953999951024431</v>
      </c>
      <c r="G34" s="467" t="b">
        <f t="shared" ca="1" si="6"/>
        <v>0</v>
      </c>
      <c r="H34" s="468">
        <f t="shared" si="7"/>
        <v>24</v>
      </c>
      <c r="I34" s="469">
        <f t="shared" ca="1" si="8"/>
        <v>15001</v>
      </c>
      <c r="J34" s="470" t="str">
        <f ca="1">IF(N(I34)&gt;0,VLOOKUP(I34,Hraci!$A$1:$I$1500,2,0),IF(TYPE(INDIRECT(ADDRESS(ROW() + $A$9-9 + (ROW()-11)*4,2,1,1,"Internet")))&gt;1,INDIRECT(ADDRESS(ROW() + $A$9-9 + (ROW()-11)*4,2,1,1,"Internet"))," "))</f>
        <v>Ulmann</v>
      </c>
      <c r="K34" s="471" t="str">
        <f ca="1">IF(N(I34)&gt;0,VLOOKUP(I34,Hraci!$A$1:$I$1500,3,0)," ")</f>
        <v>Jiří</v>
      </c>
      <c r="L34" s="471" t="str">
        <f ca="1">IF(N(I34)&gt;0,VLOOKUP(I34,Hraci!$A$1:$I$1500,5,0),IF(TYPE(INDIRECT(ADDRESS(ROW() + $A$9-9 + (ROW()-11)*4,3,1,1,"Internet")))&gt;1,INDIRECT(ADDRESS(ROW() + $A$9-9 + (ROW()-11)*4,3,1,1,"Internet"))," "))</f>
        <v>TOP - ORLOVÁ</v>
      </c>
      <c r="M34" s="472">
        <f ca="1">IF(N(I34)=0,9999,VLOOKUP(I34,Hraci!$A$1:$I$1500,8,0))</f>
        <v>48</v>
      </c>
      <c r="N34" s="473">
        <f ca="1">IF(N(I34)=0,0,VLOOKUP(I34,Hraci!$A$1:$I$1500,9,0))</f>
        <v>31.625</v>
      </c>
      <c r="O34" s="469" t="str">
        <f t="shared" ca="1" si="9"/>
        <v/>
      </c>
      <c r="P34" s="470" t="str">
        <f ca="1">IF(N(O34)&gt;0,VLOOKUP(O34,Hraci!$A$1:$I$1500,2,0),IF(TYPE(INDIRECT(ADDRESS(ROW() + $A$9-8 + (ROW()-11)*4,2,1,1,"Internet")))&gt;1,INDIRECT(ADDRESS(ROW() + $A$9-8 + (ROW()-11)*4,2,1,1,"Internet"))," "))</f>
        <v xml:space="preserve"> </v>
      </c>
      <c r="Q34" s="471" t="str">
        <f ca="1">IF(N(O34)&gt;0,VLOOKUP(O34,Hraci!$A$1:$I$1500,3,0)," ")</f>
        <v xml:space="preserve"> </v>
      </c>
      <c r="R34" s="471" t="str">
        <f ca="1">IF(N(O34)&gt;0,VLOOKUP(O34,Hraci!$A$1:$I$1500,5,0),IF(TYPE(INDIRECT(ADDRESS(ROW() + $A$9-8 + (ROW()-11)*4,3,1,1,"Internet")))&gt;1,INDIRECT(ADDRESS(ROW() + $A$9-8 + (ROW()-11)*4,3,1,1,"Internet"))," "))</f>
        <v xml:space="preserve"> </v>
      </c>
      <c r="S34" s="472">
        <f ca="1">IF(N(O34)=0,9999,VLOOKUP(O34,Hraci!$A$1:$I$1500,8,0))</f>
        <v>9999</v>
      </c>
      <c r="T34" s="473">
        <f ca="1">IF(N(O34)=0,0,VLOOKUP(O34,Hraci!$A$1:$I$1500,9,0))</f>
        <v>0</v>
      </c>
      <c r="U34" s="469" t="str">
        <f t="shared" ca="1" si="10"/>
        <v/>
      </c>
      <c r="V34" s="470" t="str">
        <f ca="1">IF(N(U34)&gt;0,VLOOKUP(U34,Hraci!$A$1:$I$1500,2,0),IF(TYPE(INDIRECT(ADDRESS(ROW() + $A$9-7 + (ROW()-11)*4,2,1,1,"Internet")))&gt;1,INDIRECT(ADDRESS(ROW() + $A$9-7 + (ROW()-11)*4,2,1,1,"Internet"))," "))</f>
        <v xml:space="preserve"> </v>
      </c>
      <c r="W34" s="471" t="str">
        <f ca="1">IF(N(U34)&gt;0,VLOOKUP(U34,Hraci!$A$1:$I$1500,3,0)," ")</f>
        <v xml:space="preserve"> </v>
      </c>
      <c r="X34" s="471" t="str">
        <f ca="1">IF(N(U34)&gt;0,VLOOKUP(U34,Hraci!$A$1:$I$1500,5,0),IF(TYPE(INDIRECT(ADDRESS(ROW() + $A$9-7 + (ROW()-11)*4,3,1,1,"Internet")))&gt;1,INDIRECT(ADDRESS(ROW() + $A$9-7 + (ROW()-11)*4,3,1,1,"Internet"))," "))</f>
        <v xml:space="preserve"> </v>
      </c>
      <c r="Y34" s="472">
        <f ca="1">IF(N(U34)=0,9999,VLOOKUP(U34,Hraci!$A$1:$I$1500,8,0))</f>
        <v>9999</v>
      </c>
      <c r="Z34" s="473">
        <f ca="1">IF(N(U34)=0,0,VLOOKUP(U34,Hraci!$A$1:$I$1500,9,0))</f>
        <v>0</v>
      </c>
      <c r="AA34" s="469" t="str">
        <f t="shared" ca="1" si="11"/>
        <v/>
      </c>
      <c r="AB34" s="470" t="str">
        <f ca="1">IF(N(AA34)&gt;0,VLOOKUP(AA34,Hraci!$A$1:$I$1500,2,0)," ")</f>
        <v xml:space="preserve"> </v>
      </c>
      <c r="AC34" s="471" t="str">
        <f ca="1">IF(N(AA34)&gt;0,VLOOKUP(AA34,Hraci!$A$1:$I$1500,3,0)," ")</f>
        <v xml:space="preserve"> </v>
      </c>
      <c r="AD34" s="471" t="str">
        <f ca="1">IF(N(AA34)&gt;0,VLOOKUP(AA34,Hraci!$A$1:$I$1500,5,0)," ")</f>
        <v xml:space="preserve"> </v>
      </c>
      <c r="AE34" s="472">
        <f ca="1">IF(N(AA34)=0,9999,VLOOKUP(AA34,Hraci!$A$1:$I$1500,8,0))</f>
        <v>9999</v>
      </c>
      <c r="AF34" s="473">
        <f ca="1">IF(N(AA34)=0,0,VLOOKUP(AA34,Hraci!$A$1:$I$1500,9,0))</f>
        <v>0</v>
      </c>
      <c r="AG34" s="474"/>
      <c r="AH34" s="480">
        <f ca="1">IF(TYPE(VLOOKUP(H34,Nasazení!$A$3:$E$258,5,0))&lt;4,VLOOKUP(H34,Nasazení!$A$3:$E$258,5,0),0)</f>
        <v>64</v>
      </c>
      <c r="AI34" s="475">
        <f ca="1">IF(N($AH34)&gt;0,VLOOKUP($AH34,Body!$A$4:$F$259,5,0),"")</f>
        <v>288.35162500000001</v>
      </c>
      <c r="AJ34" s="476">
        <f ca="1">IF(N($AH34)&gt;0,VLOOKUP($AH34,Body!$A$4:$F$259,6,0),"")</f>
        <v>200</v>
      </c>
      <c r="AK34" s="475">
        <f ca="1">IF(N($AH34)&gt;0,VLOOKUP($AH34,Body!$A$4:$F$259,2,0),"")</f>
        <v>2</v>
      </c>
      <c r="AL34" s="477" t="str">
        <f t="shared" ca="1" si="12"/>
        <v>24 TOP - ORLOVÁ - Ulmann Jiří</v>
      </c>
      <c r="AM34" s="478">
        <f t="shared" ca="1" si="13"/>
        <v>31.625</v>
      </c>
      <c r="AN34" s="408">
        <f ca="1">IF(OR(TYPE(I34)&gt;1,TYPE(MATCH(I34,I35:I$267,0))&gt;1),0,MATCH(I34,I35:I$267,0))+IF(OR(TYPE(I34)&gt;1,TYPE(MATCH(I34,O$11:O$267,0))&gt;1),0,MATCH(I34,O$11:O$267,0))+IF(OR(TYPE(I34)&gt;1,TYPE(MATCH(I34,U$11:U$267,0))&gt;1),0,MATCH(I34,U$11:U$267,0))+IF(OR(TYPE(I34)&gt;1,TYPE(MATCH(I34,AA$11:AA$267,0))&gt;1),0,MATCH(I34,AA$11:AA$267,0))</f>
        <v>0</v>
      </c>
      <c r="AO34" s="408">
        <f ca="1">IF(OR(TYPE(O34)&gt;1,TYPE(MATCH(O34,I$11:I$267,0))&gt;1),0,MATCH(O34,I$11:I$267,0))+IF(OR(TYPE(O34)&gt;1,TYPE(MATCH(O34,O35:O$267,0))&gt;1),0,MATCH(O34,O35:O$267,0))+IF(OR(TYPE(O34)&gt;1,TYPE(MATCH(O34,U$11:U$267,0))&gt;1),0,MATCH(O34,U$11:U$267,0))+IF(OR(TYPE(O34)&gt;1,TYPE(MATCH(O34,AA$11:AA$267,0))&gt;1),0,MATCH(O34,AA$11:AA$267,0))</f>
        <v>0</v>
      </c>
      <c r="AP34" s="408">
        <f ca="1">IF(OR(TYPE(U34)&gt;1,TYPE(MATCH(U34,I$11:I$267,0))&gt;1),0,MATCH(U34,I$11:I$267,0))+IF(OR(TYPE(U34)&gt;1,TYPE(MATCH(U34,O$11:O$267,0))&gt;1),0,MATCH(U34,O$11:O$267,0))+IF(OR(TYPE(U34)&gt;1,TYPE(MATCH(U34,U35:U$267,0))&gt;1),0,MATCH(U34,U35:U$267,0))+IF(OR(TYPE(U34)&gt;1,TYPE(MATCH(U34,AA$11:AA$267,0))&gt;1),0,MATCH(U34,AA$11:AA$267,0))</f>
        <v>0</v>
      </c>
      <c r="AQ34" s="408">
        <f ca="1">IF(OR(TYPE(AA34)&gt;1,TYPE(MATCH(AA34,I$11:I$267,0))&gt;1),0,MATCH(AA34,I$11:I$267,0))+IF(OR(TYPE(AA34)&gt;1,TYPE(MATCH(AA34,O$11:O$267,0))&gt;1),0,MATCH(AA34,O$11:O$267,0))+IF(OR(TYPE(AA34)&gt;1,TYPE(MATCH(AA34,U$11:U$267,0))&gt;1),0,MATCH(U34,U$11:U$267,0))+IF(OR(TYPE(AA34)&gt;1,TYPE(MATCH(AA34,AA35:AA$267,0))&gt;1),0,MATCH(AA34,AA35:AA$267,0))</f>
        <v>0</v>
      </c>
      <c r="AR34" s="408">
        <f t="shared" ca="1" si="14"/>
        <v>0</v>
      </c>
      <c r="BF34" s="408">
        <f t="shared" si="15"/>
        <v>24</v>
      </c>
    </row>
    <row r="35" spans="1:58" ht="14.25">
      <c r="A35" s="430">
        <f t="shared" ca="1" si="0"/>
        <v>1</v>
      </c>
      <c r="B35" s="430">
        <f t="shared" ca="1" si="1"/>
        <v>1</v>
      </c>
      <c r="C35" s="430">
        <f t="shared" ca="1" si="2"/>
        <v>31.501000000000001</v>
      </c>
      <c r="D35" s="430">
        <f t="shared" ca="1" si="3"/>
        <v>20048</v>
      </c>
      <c r="E35" s="430">
        <f t="shared" ca="1" si="4"/>
        <v>50</v>
      </c>
      <c r="F35" s="431" t="str">
        <f t="shared" ca="1" si="5"/>
        <v>91031501979951999949706716</v>
      </c>
      <c r="G35" s="467" t="b">
        <f t="shared" ca="1" si="6"/>
        <v>0</v>
      </c>
      <c r="H35" s="468">
        <f t="shared" si="7"/>
        <v>25</v>
      </c>
      <c r="I35" s="469">
        <f t="shared" ca="1" si="8"/>
        <v>13027</v>
      </c>
      <c r="J35" s="470" t="str">
        <f ca="1">IF(N(I35)&gt;0,VLOOKUP(I35,Hraci!$A$1:$I$1500,2,0),IF(TYPE(INDIRECT(ADDRESS(ROW() + $A$9-9 + (ROW()-11)*4,2,1,1,"Internet")))&gt;1,INDIRECT(ADDRESS(ROW() + $A$9-9 + (ROW()-11)*4,2,1,1,"Internet"))," "))</f>
        <v>Dlouhá</v>
      </c>
      <c r="K35" s="471" t="str">
        <f ca="1">IF(N(I35)&gt;0,VLOOKUP(I35,Hraci!$A$1:$I$1500,3,0)," ")</f>
        <v>Ivana</v>
      </c>
      <c r="L35" s="471" t="str">
        <f ca="1">IF(N(I35)&gt;0,VLOOKUP(I35,Hraci!$A$1:$I$1500,5,0),IF(TYPE(INDIRECT(ADDRESS(ROW() + $A$9-9 + (ROW()-11)*4,3,1,1,"Internet")))&gt;1,INDIRECT(ADDRESS(ROW() + $A$9-9 + (ROW()-11)*4,3,1,1,"Internet"))," "))</f>
        <v>Club Rodamiento</v>
      </c>
      <c r="M35" s="472">
        <f ca="1">IF(N(I35)=0,9999,VLOOKUP(I35,Hraci!$A$1:$I$1500,8,0))</f>
        <v>50</v>
      </c>
      <c r="N35" s="473">
        <f ca="1">IF(N(I35)=0,0,VLOOKUP(I35,Hraci!$A$1:$I$1500,9,0))</f>
        <v>31.501000000000001</v>
      </c>
      <c r="O35" s="469" t="str">
        <f t="shared" ca="1" si="9"/>
        <v/>
      </c>
      <c r="P35" s="470" t="str">
        <f ca="1">IF(N(O35)&gt;0,VLOOKUP(O35,Hraci!$A$1:$I$1500,2,0),IF(TYPE(INDIRECT(ADDRESS(ROW() + $A$9-8 + (ROW()-11)*4,2,1,1,"Internet")))&gt;1,INDIRECT(ADDRESS(ROW() + $A$9-8 + (ROW()-11)*4,2,1,1,"Internet"))," "))</f>
        <v xml:space="preserve"> </v>
      </c>
      <c r="Q35" s="471" t="str">
        <f ca="1">IF(N(O35)&gt;0,VLOOKUP(O35,Hraci!$A$1:$I$1500,3,0)," ")</f>
        <v xml:space="preserve"> </v>
      </c>
      <c r="R35" s="471" t="str">
        <f ca="1">IF(N(O35)&gt;0,VLOOKUP(O35,Hraci!$A$1:$I$1500,5,0),IF(TYPE(INDIRECT(ADDRESS(ROW() + $A$9-8 + (ROW()-11)*4,3,1,1,"Internet")))&gt;1,INDIRECT(ADDRESS(ROW() + $A$9-8 + (ROW()-11)*4,3,1,1,"Internet"))," "))</f>
        <v xml:space="preserve"> </v>
      </c>
      <c r="S35" s="472">
        <f ca="1">IF(N(O35)=0,9999,VLOOKUP(O35,Hraci!$A$1:$I$1500,8,0))</f>
        <v>9999</v>
      </c>
      <c r="T35" s="473">
        <f ca="1">IF(N(O35)=0,0,VLOOKUP(O35,Hraci!$A$1:$I$1500,9,0))</f>
        <v>0</v>
      </c>
      <c r="U35" s="469" t="str">
        <f t="shared" ca="1" si="10"/>
        <v/>
      </c>
      <c r="V35" s="470" t="str">
        <f ca="1">IF(N(U35)&gt;0,VLOOKUP(U35,Hraci!$A$1:$I$1500,2,0),IF(TYPE(INDIRECT(ADDRESS(ROW() + $A$9-7 + (ROW()-11)*4,2,1,1,"Internet")))&gt;1,INDIRECT(ADDRESS(ROW() + $A$9-7 + (ROW()-11)*4,2,1,1,"Internet"))," "))</f>
        <v xml:space="preserve"> </v>
      </c>
      <c r="W35" s="471" t="str">
        <f ca="1">IF(N(U35)&gt;0,VLOOKUP(U35,Hraci!$A$1:$I$1500,3,0)," ")</f>
        <v xml:space="preserve"> </v>
      </c>
      <c r="X35" s="471" t="str">
        <f ca="1">IF(N(U35)&gt;0,VLOOKUP(U35,Hraci!$A$1:$I$1500,5,0),IF(TYPE(INDIRECT(ADDRESS(ROW() + $A$9-7 + (ROW()-11)*4,3,1,1,"Internet")))&gt;1,INDIRECT(ADDRESS(ROW() + $A$9-7 + (ROW()-11)*4,3,1,1,"Internet"))," "))</f>
        <v xml:space="preserve"> </v>
      </c>
      <c r="Y35" s="472">
        <f ca="1">IF(N(U35)=0,9999,VLOOKUP(U35,Hraci!$A$1:$I$1500,8,0))</f>
        <v>9999</v>
      </c>
      <c r="Z35" s="473">
        <f ca="1">IF(N(U35)=0,0,VLOOKUP(U35,Hraci!$A$1:$I$1500,9,0))</f>
        <v>0</v>
      </c>
      <c r="AA35" s="469" t="str">
        <f t="shared" ca="1" si="11"/>
        <v/>
      </c>
      <c r="AB35" s="470" t="str">
        <f ca="1">IF(N(AA35)&gt;0,VLOOKUP(AA35,Hraci!$A$1:$I$1500,2,0)," ")</f>
        <v xml:space="preserve"> </v>
      </c>
      <c r="AC35" s="471" t="str">
        <f ca="1">IF(N(AA35)&gt;0,VLOOKUP(AA35,Hraci!$A$1:$I$1500,3,0)," ")</f>
        <v xml:space="preserve"> </v>
      </c>
      <c r="AD35" s="471" t="str">
        <f ca="1">IF(N(AA35)&gt;0,VLOOKUP(AA35,Hraci!$A$1:$I$1500,5,0)," ")</f>
        <v xml:space="preserve"> </v>
      </c>
      <c r="AE35" s="472">
        <f ca="1">IF(N(AA35)=0,9999,VLOOKUP(AA35,Hraci!$A$1:$I$1500,8,0))</f>
        <v>9999</v>
      </c>
      <c r="AF35" s="473">
        <f ca="1">IF(N(AA35)=0,0,VLOOKUP(AA35,Hraci!$A$1:$I$1500,9,0))</f>
        <v>0</v>
      </c>
      <c r="AG35" s="474"/>
      <c r="AH35" s="480">
        <v>86</v>
      </c>
      <c r="AI35" s="475">
        <f ca="1">IF(N($AH35)&gt;0,VLOOKUP($AH35,Body!$A$4:$F$259,5,0),"")</f>
        <v>553.40650000000005</v>
      </c>
      <c r="AJ35" s="476">
        <f ca="1">IF(N($AH35)&gt;0,VLOOKUP($AH35,Body!$A$4:$F$259,6,0),"")</f>
        <v>200</v>
      </c>
      <c r="AK35" s="475">
        <f ca="1">IF(N($AH35)&gt;0,VLOOKUP($AH35,Body!$A$4:$F$259,2,0),"")</f>
        <v>8</v>
      </c>
      <c r="AL35" s="477" t="str">
        <f t="shared" ca="1" si="12"/>
        <v>25 Club Rodamiento - Dlouhá Ivana</v>
      </c>
      <c r="AM35" s="478">
        <f t="shared" ca="1" si="13"/>
        <v>31.501000000000001</v>
      </c>
      <c r="AN35" s="408">
        <f ca="1">IF(OR(TYPE(I35)&gt;1,TYPE(MATCH(I35,I36:I$267,0))&gt;1),0,MATCH(I35,I36:I$267,0))+IF(OR(TYPE(I35)&gt;1,TYPE(MATCH(I35,O$11:O$267,0))&gt;1),0,MATCH(I35,O$11:O$267,0))+IF(OR(TYPE(I35)&gt;1,TYPE(MATCH(I35,U$11:U$267,0))&gt;1),0,MATCH(I35,U$11:U$267,0))+IF(OR(TYPE(I35)&gt;1,TYPE(MATCH(I35,AA$11:AA$267,0))&gt;1),0,MATCH(I35,AA$11:AA$267,0))</f>
        <v>0</v>
      </c>
      <c r="AO35" s="408">
        <f ca="1">IF(OR(TYPE(O35)&gt;1,TYPE(MATCH(O35,I$11:I$267,0))&gt;1),0,MATCH(O35,I$11:I$267,0))+IF(OR(TYPE(O35)&gt;1,TYPE(MATCH(O35,O36:O$267,0))&gt;1),0,MATCH(O35,O36:O$267,0))+IF(OR(TYPE(O35)&gt;1,TYPE(MATCH(O35,U$11:U$267,0))&gt;1),0,MATCH(O35,U$11:U$267,0))+IF(OR(TYPE(O35)&gt;1,TYPE(MATCH(O35,AA$11:AA$267,0))&gt;1),0,MATCH(O35,AA$11:AA$267,0))</f>
        <v>0</v>
      </c>
      <c r="AP35" s="408">
        <f ca="1">IF(OR(TYPE(U35)&gt;1,TYPE(MATCH(U35,I$11:I$267,0))&gt;1),0,MATCH(U35,I$11:I$267,0))+IF(OR(TYPE(U35)&gt;1,TYPE(MATCH(U35,O$11:O$267,0))&gt;1),0,MATCH(U35,O$11:O$267,0))+IF(OR(TYPE(U35)&gt;1,TYPE(MATCH(U35,U36:U$267,0))&gt;1),0,MATCH(U35,U36:U$267,0))+IF(OR(TYPE(U35)&gt;1,TYPE(MATCH(U35,AA$11:AA$267,0))&gt;1),0,MATCH(U35,AA$11:AA$267,0))</f>
        <v>0</v>
      </c>
      <c r="AQ35" s="408">
        <f ca="1">IF(OR(TYPE(AA35)&gt;1,TYPE(MATCH(AA35,I$11:I$267,0))&gt;1),0,MATCH(AA35,I$11:I$267,0))+IF(OR(TYPE(AA35)&gt;1,TYPE(MATCH(AA35,O$11:O$267,0))&gt;1),0,MATCH(AA35,O$11:O$267,0))+IF(OR(TYPE(AA35)&gt;1,TYPE(MATCH(AA35,U$11:U$267,0))&gt;1),0,MATCH(U35,U$11:U$267,0))+IF(OR(TYPE(AA35)&gt;1,TYPE(MATCH(AA35,AA36:AA$267,0))&gt;1),0,MATCH(AA35,AA36:AA$267,0))</f>
        <v>0</v>
      </c>
      <c r="AR35" s="408">
        <f t="shared" ca="1" si="14"/>
        <v>0</v>
      </c>
      <c r="BF35" s="408">
        <f t="shared" si="15"/>
        <v>25</v>
      </c>
    </row>
    <row r="36" spans="1:58" ht="14.25">
      <c r="A36" s="430">
        <f t="shared" ca="1" si="0"/>
        <v>1</v>
      </c>
      <c r="B36" s="430">
        <f t="shared" ca="1" si="1"/>
        <v>1</v>
      </c>
      <c r="C36" s="430">
        <f t="shared" ca="1" si="2"/>
        <v>30.844000000000001</v>
      </c>
      <c r="D36" s="430">
        <f t="shared" ca="1" si="3"/>
        <v>20056</v>
      </c>
      <c r="E36" s="430">
        <f t="shared" ca="1" si="4"/>
        <v>58</v>
      </c>
      <c r="F36" s="431" t="str">
        <f t="shared" ca="1" si="5"/>
        <v>91030844979943999941891690</v>
      </c>
      <c r="G36" s="467" t="b">
        <f t="shared" ca="1" si="6"/>
        <v>0</v>
      </c>
      <c r="H36" s="468">
        <f t="shared" si="7"/>
        <v>26</v>
      </c>
      <c r="I36" s="469">
        <f t="shared" ca="1" si="8"/>
        <v>16077</v>
      </c>
      <c r="J36" s="470" t="str">
        <f ca="1">IF(N(I36)&gt;0,VLOOKUP(I36,Hraci!$A$1:$I$1500,2,0),IF(TYPE(INDIRECT(ADDRESS(ROW() + $A$9-9 + (ROW()-11)*4,2,1,1,"Internet")))&gt;1,INDIRECT(ADDRESS(ROW() + $A$9-9 + (ROW()-11)*4,2,1,1,"Internet"))," "))</f>
        <v>Holoubek</v>
      </c>
      <c r="K36" s="471" t="str">
        <f ca="1">IF(N(I36)&gt;0,VLOOKUP(I36,Hraci!$A$1:$I$1500,3,0)," ")</f>
        <v>Pavel</v>
      </c>
      <c r="L36" s="471" t="str">
        <f ca="1">IF(N(I36)&gt;0,VLOOKUP(I36,Hraci!$A$1:$I$1500,5,0),IF(TYPE(INDIRECT(ADDRESS(ROW() + $A$9-9 + (ROW()-11)*4,3,1,1,"Internet")))&gt;1,INDIRECT(ADDRESS(ROW() + $A$9-9 + (ROW()-11)*4,3,1,1,"Internet"))," "))</f>
        <v>SK Pétanque Řepy</v>
      </c>
      <c r="M36" s="472">
        <f ca="1">IF(N(I36)=0,9999,VLOOKUP(I36,Hraci!$A$1:$I$1500,8,0))</f>
        <v>58</v>
      </c>
      <c r="N36" s="473">
        <f ca="1">IF(N(I36)=0,0,VLOOKUP(I36,Hraci!$A$1:$I$1500,9,0))</f>
        <v>30.844000000000001</v>
      </c>
      <c r="O36" s="469" t="str">
        <f t="shared" ca="1" si="9"/>
        <v/>
      </c>
      <c r="P36" s="470" t="str">
        <f ca="1">IF(N(O36)&gt;0,VLOOKUP(O36,Hraci!$A$1:$I$1500,2,0),IF(TYPE(INDIRECT(ADDRESS(ROW() + $A$9-8 + (ROW()-11)*4,2,1,1,"Internet")))&gt;1,INDIRECT(ADDRESS(ROW() + $A$9-8 + (ROW()-11)*4,2,1,1,"Internet"))," "))</f>
        <v xml:space="preserve"> </v>
      </c>
      <c r="Q36" s="471" t="str">
        <f ca="1">IF(N(O36)&gt;0,VLOOKUP(O36,Hraci!$A$1:$I$1500,3,0)," ")</f>
        <v xml:space="preserve"> </v>
      </c>
      <c r="R36" s="471" t="str">
        <f ca="1">IF(N(O36)&gt;0,VLOOKUP(O36,Hraci!$A$1:$I$1500,5,0),IF(TYPE(INDIRECT(ADDRESS(ROW() + $A$9-8 + (ROW()-11)*4,3,1,1,"Internet")))&gt;1,INDIRECT(ADDRESS(ROW() + $A$9-8 + (ROW()-11)*4,3,1,1,"Internet"))," "))</f>
        <v xml:space="preserve"> </v>
      </c>
      <c r="S36" s="472">
        <f ca="1">IF(N(O36)=0,9999,VLOOKUP(O36,Hraci!$A$1:$I$1500,8,0))</f>
        <v>9999</v>
      </c>
      <c r="T36" s="473">
        <f ca="1">IF(N(O36)=0,0,VLOOKUP(O36,Hraci!$A$1:$I$1500,9,0))</f>
        <v>0</v>
      </c>
      <c r="U36" s="469" t="str">
        <f t="shared" ca="1" si="10"/>
        <v/>
      </c>
      <c r="V36" s="470" t="str">
        <f ca="1">IF(N(U36)&gt;0,VLOOKUP(U36,Hraci!$A$1:$I$1500,2,0),IF(TYPE(INDIRECT(ADDRESS(ROW() + $A$9-7 + (ROW()-11)*4,2,1,1,"Internet")))&gt;1,INDIRECT(ADDRESS(ROW() + $A$9-7 + (ROW()-11)*4,2,1,1,"Internet"))," "))</f>
        <v xml:space="preserve"> </v>
      </c>
      <c r="W36" s="471" t="str">
        <f ca="1">IF(N(U36)&gt;0,VLOOKUP(U36,Hraci!$A$1:$I$1500,3,0)," ")</f>
        <v xml:space="preserve"> </v>
      </c>
      <c r="X36" s="471" t="str">
        <f ca="1">IF(N(U36)&gt;0,VLOOKUP(U36,Hraci!$A$1:$I$1500,5,0),IF(TYPE(INDIRECT(ADDRESS(ROW() + $A$9-7 + (ROW()-11)*4,3,1,1,"Internet")))&gt;1,INDIRECT(ADDRESS(ROW() + $A$9-7 + (ROW()-11)*4,3,1,1,"Internet"))," "))</f>
        <v xml:space="preserve"> </v>
      </c>
      <c r="Y36" s="472">
        <f ca="1">IF(N(U36)=0,9999,VLOOKUP(U36,Hraci!$A$1:$I$1500,8,0))</f>
        <v>9999</v>
      </c>
      <c r="Z36" s="473">
        <f ca="1">IF(N(U36)=0,0,VLOOKUP(U36,Hraci!$A$1:$I$1500,9,0))</f>
        <v>0</v>
      </c>
      <c r="AA36" s="469" t="str">
        <f t="shared" ca="1" si="11"/>
        <v/>
      </c>
      <c r="AB36" s="470" t="str">
        <f ca="1">IF(N(AA36)&gt;0,VLOOKUP(AA36,Hraci!$A$1:$I$1500,2,0)," ")</f>
        <v xml:space="preserve"> </v>
      </c>
      <c r="AC36" s="471" t="str">
        <f ca="1">IF(N(AA36)&gt;0,VLOOKUP(AA36,Hraci!$A$1:$I$1500,3,0)," ")</f>
        <v xml:space="preserve"> </v>
      </c>
      <c r="AD36" s="471" t="str">
        <f ca="1">IF(N(AA36)&gt;0,VLOOKUP(AA36,Hraci!$A$1:$I$1500,5,0)," ")</f>
        <v xml:space="preserve"> </v>
      </c>
      <c r="AE36" s="472">
        <f ca="1">IF(N(AA36)=0,9999,VLOOKUP(AA36,Hraci!$A$1:$I$1500,8,0))</f>
        <v>9999</v>
      </c>
      <c r="AF36" s="473">
        <f ca="1">IF(N(AA36)=0,0,VLOOKUP(AA36,Hraci!$A$1:$I$1500,9,0))</f>
        <v>0</v>
      </c>
      <c r="AG36" s="474"/>
      <c r="AH36" s="480">
        <v>86</v>
      </c>
      <c r="AI36" s="475">
        <f ca="1">IF(N($AH36)&gt;0,VLOOKUP($AH36,Body!$A$4:$F$259,5,0),"")</f>
        <v>553.40650000000005</v>
      </c>
      <c r="AJ36" s="476">
        <f ca="1">IF(N($AH36)&gt;0,VLOOKUP($AH36,Body!$A$4:$F$259,6,0),"")</f>
        <v>200</v>
      </c>
      <c r="AK36" s="475">
        <f ca="1">IF(N($AH36)&gt;0,VLOOKUP($AH36,Body!$A$4:$F$259,2,0),"")</f>
        <v>8</v>
      </c>
      <c r="AL36" s="477" t="str">
        <f t="shared" ca="1" si="12"/>
        <v>26 SK Pétanque Řepy - Holoubek Pavel</v>
      </c>
      <c r="AM36" s="478">
        <f t="shared" ca="1" si="13"/>
        <v>30.844000000000001</v>
      </c>
      <c r="AN36" s="408">
        <f ca="1">IF(OR(TYPE(I36)&gt;1,TYPE(MATCH(I36,I37:I$267,0))&gt;1),0,MATCH(I36,I37:I$267,0))+IF(OR(TYPE(I36)&gt;1,TYPE(MATCH(I36,O$11:O$267,0))&gt;1),0,MATCH(I36,O$11:O$267,0))+IF(OR(TYPE(I36)&gt;1,TYPE(MATCH(I36,U$11:U$267,0))&gt;1),0,MATCH(I36,U$11:U$267,0))+IF(OR(TYPE(I36)&gt;1,TYPE(MATCH(I36,AA$11:AA$267,0))&gt;1),0,MATCH(I36,AA$11:AA$267,0))</f>
        <v>0</v>
      </c>
      <c r="AO36" s="408">
        <f ca="1">IF(OR(TYPE(O36)&gt;1,TYPE(MATCH(O36,I$11:I$267,0))&gt;1),0,MATCH(O36,I$11:I$267,0))+IF(OR(TYPE(O36)&gt;1,TYPE(MATCH(O36,O37:O$267,0))&gt;1),0,MATCH(O36,O37:O$267,0))+IF(OR(TYPE(O36)&gt;1,TYPE(MATCH(O36,U$11:U$267,0))&gt;1),0,MATCH(O36,U$11:U$267,0))+IF(OR(TYPE(O36)&gt;1,TYPE(MATCH(O36,AA$11:AA$267,0))&gt;1),0,MATCH(O36,AA$11:AA$267,0))</f>
        <v>0</v>
      </c>
      <c r="AP36" s="408">
        <f ca="1">IF(OR(TYPE(U36)&gt;1,TYPE(MATCH(U36,I$11:I$267,0))&gt;1),0,MATCH(U36,I$11:I$267,0))+IF(OR(TYPE(U36)&gt;1,TYPE(MATCH(U36,O$11:O$267,0))&gt;1),0,MATCH(U36,O$11:O$267,0))+IF(OR(TYPE(U36)&gt;1,TYPE(MATCH(U36,U37:U$267,0))&gt;1),0,MATCH(U36,U37:U$267,0))+IF(OR(TYPE(U36)&gt;1,TYPE(MATCH(U36,AA$11:AA$267,0))&gt;1),0,MATCH(U36,AA$11:AA$267,0))</f>
        <v>0</v>
      </c>
      <c r="AQ36" s="408">
        <f ca="1">IF(OR(TYPE(AA36)&gt;1,TYPE(MATCH(AA36,I$11:I$267,0))&gt;1),0,MATCH(AA36,I$11:I$267,0))+IF(OR(TYPE(AA36)&gt;1,TYPE(MATCH(AA36,O$11:O$267,0))&gt;1),0,MATCH(AA36,O$11:O$267,0))+IF(OR(TYPE(AA36)&gt;1,TYPE(MATCH(AA36,U$11:U$267,0))&gt;1),0,MATCH(U36,U$11:U$267,0))+IF(OR(TYPE(AA36)&gt;1,TYPE(MATCH(AA36,AA37:AA$267,0))&gt;1),0,MATCH(AA36,AA37:AA$267,0))</f>
        <v>0</v>
      </c>
      <c r="AR36" s="408">
        <f t="shared" ca="1" si="14"/>
        <v>0</v>
      </c>
      <c r="BF36" s="408">
        <f t="shared" si="15"/>
        <v>26</v>
      </c>
    </row>
    <row r="37" spans="1:58" ht="14.25">
      <c r="A37" s="430">
        <f t="shared" ca="1" si="0"/>
        <v>1</v>
      </c>
      <c r="B37" s="430">
        <f t="shared" ca="1" si="1"/>
        <v>1</v>
      </c>
      <c r="C37" s="430">
        <f t="shared" ca="1" si="2"/>
        <v>30.75</v>
      </c>
      <c r="D37" s="430">
        <f t="shared" ca="1" si="3"/>
        <v>20033</v>
      </c>
      <c r="E37" s="430">
        <f t="shared" ca="1" si="4"/>
        <v>35</v>
      </c>
      <c r="F37" s="431" t="str">
        <f t="shared" ca="1" si="5"/>
        <v>91030750979966999964911976</v>
      </c>
      <c r="G37" s="467" t="b">
        <f t="shared" ca="1" si="6"/>
        <v>0</v>
      </c>
      <c r="H37" s="468">
        <f t="shared" si="7"/>
        <v>27</v>
      </c>
      <c r="I37" s="469">
        <f t="shared" ca="1" si="8"/>
        <v>19001</v>
      </c>
      <c r="J37" s="470" t="str">
        <f ca="1">IF(N(I37)&gt;0,VLOOKUP(I37,Hraci!$A$1:$I$1500,2,0),IF(TYPE(INDIRECT(ADDRESS(ROW() + $A$9-9 + (ROW()-11)*4,2,1,1,"Internet")))&gt;1,INDIRECT(ADDRESS(ROW() + $A$9-9 + (ROW()-11)*4,2,1,1,"Internet"))," "))</f>
        <v>Vlach</v>
      </c>
      <c r="K37" s="471" t="str">
        <f ca="1">IF(N(I37)&gt;0,VLOOKUP(I37,Hraci!$A$1:$I$1500,3,0)," ")</f>
        <v>Jaromír</v>
      </c>
      <c r="L37" s="471" t="str">
        <f ca="1">IF(N(I37)&gt;0,VLOOKUP(I37,Hraci!$A$1:$I$1500,5,0),IF(TYPE(INDIRECT(ADDRESS(ROW() + $A$9-9 + (ROW()-11)*4,3,1,1,"Internet")))&gt;1,INDIRECT(ADDRESS(ROW() + $A$9-9 + (ROW()-11)*4,3,1,1,"Internet"))," "))</f>
        <v>Sokol Kostomlaty</v>
      </c>
      <c r="M37" s="472">
        <f ca="1">IF(N(I37)=0,9999,VLOOKUP(I37,Hraci!$A$1:$I$1500,8,0))</f>
        <v>35</v>
      </c>
      <c r="N37" s="473">
        <f ca="1">IF(N(I37)=0,0,VLOOKUP(I37,Hraci!$A$1:$I$1500,9,0))</f>
        <v>30.75</v>
      </c>
      <c r="O37" s="469" t="str">
        <f t="shared" ca="1" si="9"/>
        <v/>
      </c>
      <c r="P37" s="470" t="str">
        <f ca="1">IF(N(O37)&gt;0,VLOOKUP(O37,Hraci!$A$1:$I$1500,2,0),IF(TYPE(INDIRECT(ADDRESS(ROW() + $A$9-8 + (ROW()-11)*4,2,1,1,"Internet")))&gt;1,INDIRECT(ADDRESS(ROW() + $A$9-8 + (ROW()-11)*4,2,1,1,"Internet"))," "))</f>
        <v xml:space="preserve"> </v>
      </c>
      <c r="Q37" s="471" t="str">
        <f ca="1">IF(N(O37)&gt;0,VLOOKUP(O37,Hraci!$A$1:$I$1500,3,0)," ")</f>
        <v xml:space="preserve"> </v>
      </c>
      <c r="R37" s="471" t="str">
        <f ca="1">IF(N(O37)&gt;0,VLOOKUP(O37,Hraci!$A$1:$I$1500,5,0),IF(TYPE(INDIRECT(ADDRESS(ROW() + $A$9-8 + (ROW()-11)*4,3,1,1,"Internet")))&gt;1,INDIRECT(ADDRESS(ROW() + $A$9-8 + (ROW()-11)*4,3,1,1,"Internet"))," "))</f>
        <v xml:space="preserve"> </v>
      </c>
      <c r="S37" s="472">
        <f ca="1">IF(N(O37)=0,9999,VLOOKUP(O37,Hraci!$A$1:$I$1500,8,0))</f>
        <v>9999</v>
      </c>
      <c r="T37" s="473">
        <f ca="1">IF(N(O37)=0,0,VLOOKUP(O37,Hraci!$A$1:$I$1500,9,0))</f>
        <v>0</v>
      </c>
      <c r="U37" s="469" t="str">
        <f t="shared" ca="1" si="10"/>
        <v/>
      </c>
      <c r="V37" s="470" t="str">
        <f ca="1">IF(N(U37)&gt;0,VLOOKUP(U37,Hraci!$A$1:$I$1500,2,0),IF(TYPE(INDIRECT(ADDRESS(ROW() + $A$9-7 + (ROW()-11)*4,2,1,1,"Internet")))&gt;1,INDIRECT(ADDRESS(ROW() + $A$9-7 + (ROW()-11)*4,2,1,1,"Internet"))," "))</f>
        <v xml:space="preserve"> </v>
      </c>
      <c r="W37" s="471" t="str">
        <f ca="1">IF(N(U37)&gt;0,VLOOKUP(U37,Hraci!$A$1:$I$1500,3,0)," ")</f>
        <v xml:space="preserve"> </v>
      </c>
      <c r="X37" s="471" t="str">
        <f ca="1">IF(N(U37)&gt;0,VLOOKUP(U37,Hraci!$A$1:$I$1500,5,0),IF(TYPE(INDIRECT(ADDRESS(ROW() + $A$9-7 + (ROW()-11)*4,3,1,1,"Internet")))&gt;1,INDIRECT(ADDRESS(ROW() + $A$9-7 + (ROW()-11)*4,3,1,1,"Internet"))," "))</f>
        <v xml:space="preserve"> </v>
      </c>
      <c r="Y37" s="472">
        <f ca="1">IF(N(U37)=0,9999,VLOOKUP(U37,Hraci!$A$1:$I$1500,8,0))</f>
        <v>9999</v>
      </c>
      <c r="Z37" s="473">
        <f ca="1">IF(N(U37)=0,0,VLOOKUP(U37,Hraci!$A$1:$I$1500,9,0))</f>
        <v>0</v>
      </c>
      <c r="AA37" s="469" t="str">
        <f t="shared" ca="1" si="11"/>
        <v/>
      </c>
      <c r="AB37" s="470" t="str">
        <f ca="1">IF(N(AA37)&gt;0,VLOOKUP(AA37,Hraci!$A$1:$I$1500,2,0)," ")</f>
        <v xml:space="preserve"> </v>
      </c>
      <c r="AC37" s="471" t="str">
        <f ca="1">IF(N(AA37)&gt;0,VLOOKUP(AA37,Hraci!$A$1:$I$1500,3,0)," ")</f>
        <v xml:space="preserve"> </v>
      </c>
      <c r="AD37" s="471" t="str">
        <f ca="1">IF(N(AA37)&gt;0,VLOOKUP(AA37,Hraci!$A$1:$I$1500,5,0)," ")</f>
        <v xml:space="preserve"> </v>
      </c>
      <c r="AE37" s="472">
        <f ca="1">IF(N(AA37)=0,9999,VLOOKUP(AA37,Hraci!$A$1:$I$1500,8,0))</f>
        <v>9999</v>
      </c>
      <c r="AF37" s="473">
        <f ca="1">IF(N(AA37)=0,0,VLOOKUP(AA37,Hraci!$A$1:$I$1500,9,0))</f>
        <v>0</v>
      </c>
      <c r="AG37" s="474"/>
      <c r="AH37" s="480">
        <v>13</v>
      </c>
      <c r="AI37" s="475">
        <f ca="1">IF(N($AH37)&gt;0,VLOOKUP($AH37,Body!$A$4:$F$259,5,0),"")</f>
        <v>393.26917968750001</v>
      </c>
      <c r="AJ37" s="476">
        <f ca="1">IF(N($AH37)&gt;0,VLOOKUP($AH37,Body!$A$4:$F$259,6,0),"")</f>
        <v>200</v>
      </c>
      <c r="AK37" s="475">
        <f ca="1">IF(N($AH37)&gt;0,VLOOKUP($AH37,Body!$A$4:$F$259,2,0),"")</f>
        <v>4.375</v>
      </c>
      <c r="AL37" s="477" t="str">
        <f t="shared" ca="1" si="12"/>
        <v>27 Sokol Kostomlaty - Vlach Jaromír</v>
      </c>
      <c r="AM37" s="478">
        <f t="shared" ca="1" si="13"/>
        <v>30.75</v>
      </c>
      <c r="AN37" s="408">
        <f ca="1">IF(OR(TYPE(I37)&gt;1,TYPE(MATCH(I37,I38:I$267,0))&gt;1),0,MATCH(I37,I38:I$267,0))+IF(OR(TYPE(I37)&gt;1,TYPE(MATCH(I37,O$11:O$267,0))&gt;1),0,MATCH(I37,O$11:O$267,0))+IF(OR(TYPE(I37)&gt;1,TYPE(MATCH(I37,U$11:U$267,0))&gt;1),0,MATCH(I37,U$11:U$267,0))+IF(OR(TYPE(I37)&gt;1,TYPE(MATCH(I37,AA$11:AA$267,0))&gt;1),0,MATCH(I37,AA$11:AA$267,0))</f>
        <v>0</v>
      </c>
      <c r="AO37" s="408">
        <f ca="1">IF(OR(TYPE(O37)&gt;1,TYPE(MATCH(O37,I$11:I$267,0))&gt;1),0,MATCH(O37,I$11:I$267,0))+IF(OR(TYPE(O37)&gt;1,TYPE(MATCH(O37,O38:O$267,0))&gt;1),0,MATCH(O37,O38:O$267,0))+IF(OR(TYPE(O37)&gt;1,TYPE(MATCH(O37,U$11:U$267,0))&gt;1),0,MATCH(O37,U$11:U$267,0))+IF(OR(TYPE(O37)&gt;1,TYPE(MATCH(O37,AA$11:AA$267,0))&gt;1),0,MATCH(O37,AA$11:AA$267,0))</f>
        <v>0</v>
      </c>
      <c r="AP37" s="408">
        <f ca="1">IF(OR(TYPE(U37)&gt;1,TYPE(MATCH(U37,I$11:I$267,0))&gt;1),0,MATCH(U37,I$11:I$267,0))+IF(OR(TYPE(U37)&gt;1,TYPE(MATCH(U37,O$11:O$267,0))&gt;1),0,MATCH(U37,O$11:O$267,0))+IF(OR(TYPE(U37)&gt;1,TYPE(MATCH(U37,U38:U$267,0))&gt;1),0,MATCH(U37,U38:U$267,0))+IF(OR(TYPE(U37)&gt;1,TYPE(MATCH(U37,AA$11:AA$267,0))&gt;1),0,MATCH(U37,AA$11:AA$267,0))</f>
        <v>0</v>
      </c>
      <c r="AQ37" s="408">
        <f ca="1">IF(OR(TYPE(AA37)&gt;1,TYPE(MATCH(AA37,I$11:I$267,0))&gt;1),0,MATCH(AA37,I$11:I$267,0))+IF(OR(TYPE(AA37)&gt;1,TYPE(MATCH(AA37,O$11:O$267,0))&gt;1),0,MATCH(AA37,O$11:O$267,0))+IF(OR(TYPE(AA37)&gt;1,TYPE(MATCH(AA37,U$11:U$267,0))&gt;1),0,MATCH(U37,U$11:U$267,0))+IF(OR(TYPE(AA37)&gt;1,TYPE(MATCH(AA37,AA38:AA$267,0))&gt;1),0,MATCH(AA37,AA38:AA$267,0))</f>
        <v>0</v>
      </c>
      <c r="AR37" s="408">
        <f t="shared" ca="1" si="14"/>
        <v>0</v>
      </c>
      <c r="BF37" s="408">
        <f t="shared" si="15"/>
        <v>27</v>
      </c>
    </row>
    <row r="38" spans="1:58" ht="14.25">
      <c r="A38" s="430">
        <f t="shared" ca="1" si="0"/>
        <v>1</v>
      </c>
      <c r="B38" s="430">
        <f t="shared" ca="1" si="1"/>
        <v>1</v>
      </c>
      <c r="C38" s="430">
        <f t="shared" ca="1" si="2"/>
        <v>29.937999999999999</v>
      </c>
      <c r="D38" s="430">
        <f t="shared" ca="1" si="3"/>
        <v>20043</v>
      </c>
      <c r="E38" s="430">
        <f t="shared" ca="1" si="4"/>
        <v>45</v>
      </c>
      <c r="F38" s="431" t="str">
        <f t="shared" ca="1" si="5"/>
        <v>91029938979956999954301552</v>
      </c>
      <c r="G38" s="467" t="b">
        <f t="shared" ca="1" si="6"/>
        <v>0</v>
      </c>
      <c r="H38" s="468">
        <f t="shared" si="7"/>
        <v>28</v>
      </c>
      <c r="I38" s="469">
        <f t="shared" ca="1" si="8"/>
        <v>16082</v>
      </c>
      <c r="J38" s="470" t="str">
        <f ca="1">IF(N(I38)&gt;0,VLOOKUP(I38,Hraci!$A$1:$I$1500,2,0),IF(TYPE(INDIRECT(ADDRESS(ROW() + $A$9-9 + (ROW()-11)*4,2,1,1,"Internet")))&gt;1,INDIRECT(ADDRESS(ROW() + $A$9-9 + (ROW()-11)*4,2,1,1,"Internet"))," "))</f>
        <v>Pastorek</v>
      </c>
      <c r="K38" s="471" t="str">
        <f ca="1">IF(N(I38)&gt;0,VLOOKUP(I38,Hraci!$A$1:$I$1500,3,0)," ")</f>
        <v>Jaroslav</v>
      </c>
      <c r="L38" s="471" t="str">
        <f ca="1">IF(N(I38)&gt;0,VLOOKUP(I38,Hraci!$A$1:$I$1500,5,0),IF(TYPE(INDIRECT(ADDRESS(ROW() + $A$9-9 + (ROW()-11)*4,3,1,1,"Internet")))&gt;1,INDIRECT(ADDRESS(ROW() + $A$9-9 + (ROW()-11)*4,3,1,1,"Internet"))," "))</f>
        <v>SK Pétanque Řepy</v>
      </c>
      <c r="M38" s="472">
        <f ca="1">IF(N(I38)=0,9999,VLOOKUP(I38,Hraci!$A$1:$I$1500,8,0))</f>
        <v>45</v>
      </c>
      <c r="N38" s="473">
        <f ca="1">IF(N(I38)=0,0,VLOOKUP(I38,Hraci!$A$1:$I$1500,9,0))</f>
        <v>29.937999999999999</v>
      </c>
      <c r="O38" s="469" t="str">
        <f t="shared" ca="1" si="9"/>
        <v/>
      </c>
      <c r="P38" s="470" t="str">
        <f ca="1">IF(N(O38)&gt;0,VLOOKUP(O38,Hraci!$A$1:$I$1500,2,0),IF(TYPE(INDIRECT(ADDRESS(ROW() + $A$9-8 + (ROW()-11)*4,2,1,1,"Internet")))&gt;1,INDIRECT(ADDRESS(ROW() + $A$9-8 + (ROW()-11)*4,2,1,1,"Internet"))," "))</f>
        <v xml:space="preserve"> </v>
      </c>
      <c r="Q38" s="471" t="str">
        <f ca="1">IF(N(O38)&gt;0,VLOOKUP(O38,Hraci!$A$1:$I$1500,3,0)," ")</f>
        <v xml:space="preserve"> </v>
      </c>
      <c r="R38" s="471" t="str">
        <f ca="1">IF(N(O38)&gt;0,VLOOKUP(O38,Hraci!$A$1:$I$1500,5,0),IF(TYPE(INDIRECT(ADDRESS(ROW() + $A$9-8 + (ROW()-11)*4,3,1,1,"Internet")))&gt;1,INDIRECT(ADDRESS(ROW() + $A$9-8 + (ROW()-11)*4,3,1,1,"Internet"))," "))</f>
        <v xml:space="preserve"> </v>
      </c>
      <c r="S38" s="472">
        <f ca="1">IF(N(O38)=0,9999,VLOOKUP(O38,Hraci!$A$1:$I$1500,8,0))</f>
        <v>9999</v>
      </c>
      <c r="T38" s="473">
        <f ca="1">IF(N(O38)=0,0,VLOOKUP(O38,Hraci!$A$1:$I$1500,9,0))</f>
        <v>0</v>
      </c>
      <c r="U38" s="469" t="str">
        <f t="shared" ca="1" si="10"/>
        <v/>
      </c>
      <c r="V38" s="470" t="str">
        <f ca="1">IF(N(U38)&gt;0,VLOOKUP(U38,Hraci!$A$1:$I$1500,2,0),IF(TYPE(INDIRECT(ADDRESS(ROW() + $A$9-7 + (ROW()-11)*4,2,1,1,"Internet")))&gt;1,INDIRECT(ADDRESS(ROW() + $A$9-7 + (ROW()-11)*4,2,1,1,"Internet"))," "))</f>
        <v xml:space="preserve"> </v>
      </c>
      <c r="W38" s="471" t="str">
        <f ca="1">IF(N(U38)&gt;0,VLOOKUP(U38,Hraci!$A$1:$I$1500,3,0)," ")</f>
        <v xml:space="preserve"> </v>
      </c>
      <c r="X38" s="471" t="str">
        <f ca="1">IF(N(U38)&gt;0,VLOOKUP(U38,Hraci!$A$1:$I$1500,5,0),IF(TYPE(INDIRECT(ADDRESS(ROW() + $A$9-7 + (ROW()-11)*4,3,1,1,"Internet")))&gt;1,INDIRECT(ADDRESS(ROW() + $A$9-7 + (ROW()-11)*4,3,1,1,"Internet"))," "))</f>
        <v xml:space="preserve"> </v>
      </c>
      <c r="Y38" s="472">
        <f ca="1">IF(N(U38)=0,9999,VLOOKUP(U38,Hraci!$A$1:$I$1500,8,0))</f>
        <v>9999</v>
      </c>
      <c r="Z38" s="473">
        <f ca="1">IF(N(U38)=0,0,VLOOKUP(U38,Hraci!$A$1:$I$1500,9,0))</f>
        <v>0</v>
      </c>
      <c r="AA38" s="469" t="str">
        <f t="shared" ca="1" si="11"/>
        <v/>
      </c>
      <c r="AB38" s="470" t="str">
        <f ca="1">IF(N(AA38)&gt;0,VLOOKUP(AA38,Hraci!$A$1:$I$1500,2,0)," ")</f>
        <v xml:space="preserve"> </v>
      </c>
      <c r="AC38" s="471" t="str">
        <f ca="1">IF(N(AA38)&gt;0,VLOOKUP(AA38,Hraci!$A$1:$I$1500,3,0)," ")</f>
        <v xml:space="preserve"> </v>
      </c>
      <c r="AD38" s="471" t="str">
        <f ca="1">IF(N(AA38)&gt;0,VLOOKUP(AA38,Hraci!$A$1:$I$1500,5,0)," ")</f>
        <v xml:space="preserve"> </v>
      </c>
      <c r="AE38" s="472">
        <f ca="1">IF(N(AA38)=0,9999,VLOOKUP(AA38,Hraci!$A$1:$I$1500,8,0))</f>
        <v>9999</v>
      </c>
      <c r="AF38" s="473">
        <f ca="1">IF(N(AA38)=0,0,VLOOKUP(AA38,Hraci!$A$1:$I$1500,9,0))</f>
        <v>0</v>
      </c>
      <c r="AG38" s="474"/>
      <c r="AH38" s="480">
        <f ca="1">IF(TYPE(VLOOKUP(H38,Nasazení!$A$3:$E$258,5,0))&lt;4,VLOOKUP(H38,Nasazení!$A$3:$E$258,5,0),0)</f>
        <v>64</v>
      </c>
      <c r="AI38" s="475">
        <f ca="1">IF(N($AH38)&gt;0,VLOOKUP($AH38,Body!$A$4:$F$259,5,0),"")</f>
        <v>288.35162500000001</v>
      </c>
      <c r="AJ38" s="476">
        <f ca="1">IF(N($AH38)&gt;0,VLOOKUP($AH38,Body!$A$4:$F$259,6,0),"")</f>
        <v>200</v>
      </c>
      <c r="AK38" s="475">
        <f ca="1">IF(N($AH38)&gt;0,VLOOKUP($AH38,Body!$A$4:$F$259,2,0),"")</f>
        <v>2</v>
      </c>
      <c r="AL38" s="477" t="str">
        <f t="shared" ca="1" si="12"/>
        <v>28 SK Pétanque Řepy - Pastorek Jaroslav</v>
      </c>
      <c r="AM38" s="478">
        <f t="shared" ca="1" si="13"/>
        <v>29.937999999999999</v>
      </c>
      <c r="AN38" s="408">
        <f ca="1">IF(OR(TYPE(I38)&gt;1,TYPE(MATCH(I38,I39:I$267,0))&gt;1),0,MATCH(I38,I39:I$267,0))+IF(OR(TYPE(I38)&gt;1,TYPE(MATCH(I38,O$11:O$267,0))&gt;1),0,MATCH(I38,O$11:O$267,0))+IF(OR(TYPE(I38)&gt;1,TYPE(MATCH(I38,U$11:U$267,0))&gt;1),0,MATCH(I38,U$11:U$267,0))+IF(OR(TYPE(I38)&gt;1,TYPE(MATCH(I38,AA$11:AA$267,0))&gt;1),0,MATCH(I38,AA$11:AA$267,0))</f>
        <v>0</v>
      </c>
      <c r="AO38" s="408">
        <f ca="1">IF(OR(TYPE(O38)&gt;1,TYPE(MATCH(O38,I$11:I$267,0))&gt;1),0,MATCH(O38,I$11:I$267,0))+IF(OR(TYPE(O38)&gt;1,TYPE(MATCH(O38,O39:O$267,0))&gt;1),0,MATCH(O38,O39:O$267,0))+IF(OR(TYPE(O38)&gt;1,TYPE(MATCH(O38,U$11:U$267,0))&gt;1),0,MATCH(O38,U$11:U$267,0))+IF(OR(TYPE(O38)&gt;1,TYPE(MATCH(O38,AA$11:AA$267,0))&gt;1),0,MATCH(O38,AA$11:AA$267,0))</f>
        <v>0</v>
      </c>
      <c r="AP38" s="408">
        <f ca="1">IF(OR(TYPE(U38)&gt;1,TYPE(MATCH(U38,I$11:I$267,0))&gt;1),0,MATCH(U38,I$11:I$267,0))+IF(OR(TYPE(U38)&gt;1,TYPE(MATCH(U38,O$11:O$267,0))&gt;1),0,MATCH(U38,O$11:O$267,0))+IF(OR(TYPE(U38)&gt;1,TYPE(MATCH(U38,U39:U$267,0))&gt;1),0,MATCH(U38,U39:U$267,0))+IF(OR(TYPE(U38)&gt;1,TYPE(MATCH(U38,AA$11:AA$267,0))&gt;1),0,MATCH(U38,AA$11:AA$267,0))</f>
        <v>0</v>
      </c>
      <c r="AQ38" s="408">
        <f ca="1">IF(OR(TYPE(AA38)&gt;1,TYPE(MATCH(AA38,I$11:I$267,0))&gt;1),0,MATCH(AA38,I$11:I$267,0))+IF(OR(TYPE(AA38)&gt;1,TYPE(MATCH(AA38,O$11:O$267,0))&gt;1),0,MATCH(AA38,O$11:O$267,0))+IF(OR(TYPE(AA38)&gt;1,TYPE(MATCH(AA38,U$11:U$267,0))&gt;1),0,MATCH(U38,U$11:U$267,0))+IF(OR(TYPE(AA38)&gt;1,TYPE(MATCH(AA38,AA39:AA$267,0))&gt;1),0,MATCH(AA38,AA39:AA$267,0))</f>
        <v>0</v>
      </c>
      <c r="AR38" s="408">
        <f t="shared" ca="1" si="14"/>
        <v>0</v>
      </c>
      <c r="BF38" s="408">
        <f t="shared" si="15"/>
        <v>28</v>
      </c>
    </row>
    <row r="39" spans="1:58" ht="14.25">
      <c r="A39" s="430">
        <f t="shared" ca="1" si="0"/>
        <v>1</v>
      </c>
      <c r="B39" s="430">
        <f t="shared" ca="1" si="1"/>
        <v>1</v>
      </c>
      <c r="C39" s="430">
        <f t="shared" ca="1" si="2"/>
        <v>29.375</v>
      </c>
      <c r="D39" s="430">
        <f t="shared" ca="1" si="3"/>
        <v>20016</v>
      </c>
      <c r="E39" s="430">
        <f t="shared" ca="1" si="4"/>
        <v>18</v>
      </c>
      <c r="F39" s="431" t="str">
        <f t="shared" ca="1" si="5"/>
        <v>91029375979983999981797639</v>
      </c>
      <c r="G39" s="467" t="b">
        <f t="shared" ca="1" si="6"/>
        <v>0</v>
      </c>
      <c r="H39" s="468">
        <f t="shared" si="7"/>
        <v>29</v>
      </c>
      <c r="I39" s="469">
        <f t="shared" ca="1" si="8"/>
        <v>14074</v>
      </c>
      <c r="J39" s="470" t="str">
        <f ca="1">IF(N(I39)&gt;0,VLOOKUP(I39,Hraci!$A$1:$I$1500,2,0),IF(TYPE(INDIRECT(ADDRESS(ROW() + $A$9-9 + (ROW()-11)*4,2,1,1,"Internet")))&gt;1,INDIRECT(ADDRESS(ROW() + $A$9-9 + (ROW()-11)*4,2,1,1,"Internet"))," "))</f>
        <v>Froňková</v>
      </c>
      <c r="K39" s="471" t="str">
        <f ca="1">IF(N(I39)&gt;0,VLOOKUP(I39,Hraci!$A$1:$I$1500,3,0)," ")</f>
        <v>Blanka</v>
      </c>
      <c r="L39" s="471" t="str">
        <f ca="1">IF(N(I39)&gt;0,VLOOKUP(I39,Hraci!$A$1:$I$1500,5,0),IF(TYPE(INDIRECT(ADDRESS(ROW() + $A$9-9 + (ROW()-11)*4,3,1,1,"Internet")))&gt;1,INDIRECT(ADDRESS(ROW() + $A$9-9 + (ROW()-11)*4,3,1,1,"Internet"))," "))</f>
        <v>PC Sokol Lipník</v>
      </c>
      <c r="M39" s="472">
        <f ca="1">IF(N(I39)=0,9999,VLOOKUP(I39,Hraci!$A$1:$I$1500,8,0))</f>
        <v>18</v>
      </c>
      <c r="N39" s="473">
        <f ca="1">IF(N(I39)=0,0,VLOOKUP(I39,Hraci!$A$1:$I$1500,9,0))</f>
        <v>29.375</v>
      </c>
      <c r="O39" s="469" t="str">
        <f t="shared" ca="1" si="9"/>
        <v/>
      </c>
      <c r="P39" s="470" t="str">
        <f ca="1">IF(N(O39)&gt;0,VLOOKUP(O39,Hraci!$A$1:$I$1500,2,0),IF(TYPE(INDIRECT(ADDRESS(ROW() + $A$9-8 + (ROW()-11)*4,2,1,1,"Internet")))&gt;1,INDIRECT(ADDRESS(ROW() + $A$9-8 + (ROW()-11)*4,2,1,1,"Internet"))," "))</f>
        <v xml:space="preserve"> </v>
      </c>
      <c r="Q39" s="471" t="str">
        <f ca="1">IF(N(O39)&gt;0,VLOOKUP(O39,Hraci!$A$1:$I$1500,3,0)," ")</f>
        <v xml:space="preserve"> </v>
      </c>
      <c r="R39" s="471" t="str">
        <f ca="1">IF(N(O39)&gt;0,VLOOKUP(O39,Hraci!$A$1:$I$1500,5,0),IF(TYPE(INDIRECT(ADDRESS(ROW() + $A$9-8 + (ROW()-11)*4,3,1,1,"Internet")))&gt;1,INDIRECT(ADDRESS(ROW() + $A$9-8 + (ROW()-11)*4,3,1,1,"Internet"))," "))</f>
        <v xml:space="preserve"> </v>
      </c>
      <c r="S39" s="472">
        <f ca="1">IF(N(O39)=0,9999,VLOOKUP(O39,Hraci!$A$1:$I$1500,8,0))</f>
        <v>9999</v>
      </c>
      <c r="T39" s="473">
        <f ca="1">IF(N(O39)=0,0,VLOOKUP(O39,Hraci!$A$1:$I$1500,9,0))</f>
        <v>0</v>
      </c>
      <c r="U39" s="469" t="str">
        <f t="shared" ca="1" si="10"/>
        <v/>
      </c>
      <c r="V39" s="470" t="str">
        <f ca="1">IF(N(U39)&gt;0,VLOOKUP(U39,Hraci!$A$1:$I$1500,2,0),IF(TYPE(INDIRECT(ADDRESS(ROW() + $A$9-7 + (ROW()-11)*4,2,1,1,"Internet")))&gt;1,INDIRECT(ADDRESS(ROW() + $A$9-7 + (ROW()-11)*4,2,1,1,"Internet"))," "))</f>
        <v xml:space="preserve"> </v>
      </c>
      <c r="W39" s="471" t="str">
        <f ca="1">IF(N(U39)&gt;0,VLOOKUP(U39,Hraci!$A$1:$I$1500,3,0)," ")</f>
        <v xml:space="preserve"> </v>
      </c>
      <c r="X39" s="471" t="str">
        <f ca="1">IF(N(U39)&gt;0,VLOOKUP(U39,Hraci!$A$1:$I$1500,5,0),IF(TYPE(INDIRECT(ADDRESS(ROW() + $A$9-7 + (ROW()-11)*4,3,1,1,"Internet")))&gt;1,INDIRECT(ADDRESS(ROW() + $A$9-7 + (ROW()-11)*4,3,1,1,"Internet"))," "))</f>
        <v xml:space="preserve"> </v>
      </c>
      <c r="Y39" s="472">
        <f ca="1">IF(N(U39)=0,9999,VLOOKUP(U39,Hraci!$A$1:$I$1500,8,0))</f>
        <v>9999</v>
      </c>
      <c r="Z39" s="473">
        <f ca="1">IF(N(U39)=0,0,VLOOKUP(U39,Hraci!$A$1:$I$1500,9,0))</f>
        <v>0</v>
      </c>
      <c r="AA39" s="469" t="str">
        <f t="shared" ca="1" si="11"/>
        <v/>
      </c>
      <c r="AB39" s="470" t="str">
        <f ca="1">IF(N(AA39)&gt;0,VLOOKUP(AA39,Hraci!$A$1:$I$1500,2,0)," ")</f>
        <v xml:space="preserve"> </v>
      </c>
      <c r="AC39" s="471" t="str">
        <f ca="1">IF(N(AA39)&gt;0,VLOOKUP(AA39,Hraci!$A$1:$I$1500,3,0)," ")</f>
        <v xml:space="preserve"> </v>
      </c>
      <c r="AD39" s="471" t="str">
        <f ca="1">IF(N(AA39)&gt;0,VLOOKUP(AA39,Hraci!$A$1:$I$1500,5,0)," ")</f>
        <v xml:space="preserve"> </v>
      </c>
      <c r="AE39" s="472">
        <f ca="1">IF(N(AA39)=0,9999,VLOOKUP(AA39,Hraci!$A$1:$I$1500,8,0))</f>
        <v>9999</v>
      </c>
      <c r="AF39" s="473">
        <f ca="1">IF(N(AA39)=0,0,VLOOKUP(AA39,Hraci!$A$1:$I$1500,9,0))</f>
        <v>0</v>
      </c>
      <c r="AG39" s="474"/>
      <c r="AH39" s="480">
        <f ca="1">IF(TYPE(VLOOKUP(H39,Nasazení!$A$3:$E$258,5,0))&lt;4,VLOOKUP(H39,Nasazení!$A$3:$E$258,5,0),0)</f>
        <v>64</v>
      </c>
      <c r="AI39" s="475">
        <f ca="1">IF(N($AH39)&gt;0,VLOOKUP($AH39,Body!$A$4:$F$259,5,0),"")</f>
        <v>288.35162500000001</v>
      </c>
      <c r="AJ39" s="476">
        <f ca="1">IF(N($AH39)&gt;0,VLOOKUP($AH39,Body!$A$4:$F$259,6,0),"")</f>
        <v>200</v>
      </c>
      <c r="AK39" s="475">
        <f ca="1">IF(N($AH39)&gt;0,VLOOKUP($AH39,Body!$A$4:$F$259,2,0),"")</f>
        <v>2</v>
      </c>
      <c r="AL39" s="477" t="str">
        <f t="shared" ca="1" si="12"/>
        <v>29 PC Sokol Lipník - Froňková Blanka</v>
      </c>
      <c r="AM39" s="478">
        <f t="shared" ca="1" si="13"/>
        <v>29.375</v>
      </c>
      <c r="AN39" s="408">
        <f ca="1">IF(OR(TYPE(I39)&gt;1,TYPE(MATCH(I39,I40:I$267,0))&gt;1),0,MATCH(I39,I40:I$267,0))+IF(OR(TYPE(I39)&gt;1,TYPE(MATCH(I39,O$11:O$267,0))&gt;1),0,MATCH(I39,O$11:O$267,0))+IF(OR(TYPE(I39)&gt;1,TYPE(MATCH(I39,U$11:U$267,0))&gt;1),0,MATCH(I39,U$11:U$267,0))+IF(OR(TYPE(I39)&gt;1,TYPE(MATCH(I39,AA$11:AA$267,0))&gt;1),0,MATCH(I39,AA$11:AA$267,0))</f>
        <v>0</v>
      </c>
      <c r="AO39" s="408">
        <f ca="1">IF(OR(TYPE(O39)&gt;1,TYPE(MATCH(O39,I$11:I$267,0))&gt;1),0,MATCH(O39,I$11:I$267,0))+IF(OR(TYPE(O39)&gt;1,TYPE(MATCH(O39,O40:O$267,0))&gt;1),0,MATCH(O39,O40:O$267,0))+IF(OR(TYPE(O39)&gt;1,TYPE(MATCH(O39,U$11:U$267,0))&gt;1),0,MATCH(O39,U$11:U$267,0))+IF(OR(TYPE(O39)&gt;1,TYPE(MATCH(O39,AA$11:AA$267,0))&gt;1),0,MATCH(O39,AA$11:AA$267,0))</f>
        <v>0</v>
      </c>
      <c r="AP39" s="408">
        <f ca="1">IF(OR(TYPE(U39)&gt;1,TYPE(MATCH(U39,I$11:I$267,0))&gt;1),0,MATCH(U39,I$11:I$267,0))+IF(OR(TYPE(U39)&gt;1,TYPE(MATCH(U39,O$11:O$267,0))&gt;1),0,MATCH(U39,O$11:O$267,0))+IF(OR(TYPE(U39)&gt;1,TYPE(MATCH(U39,U40:U$267,0))&gt;1),0,MATCH(U39,U40:U$267,0))+IF(OR(TYPE(U39)&gt;1,TYPE(MATCH(U39,AA$11:AA$267,0))&gt;1),0,MATCH(U39,AA$11:AA$267,0))</f>
        <v>0</v>
      </c>
      <c r="AQ39" s="408">
        <f ca="1">IF(OR(TYPE(AA39)&gt;1,TYPE(MATCH(AA39,I$11:I$267,0))&gt;1),0,MATCH(AA39,I$11:I$267,0))+IF(OR(TYPE(AA39)&gt;1,TYPE(MATCH(AA39,O$11:O$267,0))&gt;1),0,MATCH(AA39,O$11:O$267,0))+IF(OR(TYPE(AA39)&gt;1,TYPE(MATCH(AA39,U$11:U$267,0))&gt;1),0,MATCH(U39,U$11:U$267,0))+IF(OR(TYPE(AA39)&gt;1,TYPE(MATCH(AA39,AA40:AA$267,0))&gt;1),0,MATCH(AA39,AA40:AA$267,0))</f>
        <v>0</v>
      </c>
      <c r="AR39" s="408">
        <f t="shared" ca="1" si="14"/>
        <v>0</v>
      </c>
      <c r="BF39" s="408">
        <f t="shared" si="15"/>
        <v>29</v>
      </c>
    </row>
    <row r="40" spans="1:58" ht="14.25">
      <c r="A40" s="430">
        <f t="shared" ca="1" si="0"/>
        <v>1</v>
      </c>
      <c r="B40" s="430">
        <f t="shared" ca="1" si="1"/>
        <v>1</v>
      </c>
      <c r="C40" s="430">
        <f t="shared" ca="1" si="2"/>
        <v>29.125</v>
      </c>
      <c r="D40" s="430">
        <f t="shared" ca="1" si="3"/>
        <v>20020</v>
      </c>
      <c r="E40" s="430">
        <f t="shared" ca="1" si="4"/>
        <v>22</v>
      </c>
      <c r="F40" s="431" t="str">
        <f t="shared" ca="1" si="5"/>
        <v>91029125979979999977428614</v>
      </c>
      <c r="G40" s="467" t="b">
        <f t="shared" ca="1" si="6"/>
        <v>0</v>
      </c>
      <c r="H40" s="468">
        <f t="shared" si="7"/>
        <v>30</v>
      </c>
      <c r="I40" s="469">
        <f t="shared" ca="1" si="8"/>
        <v>22007</v>
      </c>
      <c r="J40" s="470" t="str">
        <f ca="1">IF(N(I40)&gt;0,VLOOKUP(I40,Hraci!$A$1:$I$1500,2,0),IF(TYPE(INDIRECT(ADDRESS(ROW() + $A$9-9 + (ROW()-11)*4,2,1,1,"Internet")))&gt;1,INDIRECT(ADDRESS(ROW() + $A$9-9 + (ROW()-11)*4,2,1,1,"Internet"))," "))</f>
        <v>Resl</v>
      </c>
      <c r="K40" s="471" t="str">
        <f ca="1">IF(N(I40)&gt;0,VLOOKUP(I40,Hraci!$A$1:$I$1500,3,0)," ")</f>
        <v>Jan</v>
      </c>
      <c r="L40" s="471" t="str">
        <f ca="1">IF(N(I40)&gt;0,VLOOKUP(I40,Hraci!$A$1:$I$1500,5,0),IF(TYPE(INDIRECT(ADDRESS(ROW() + $A$9-9 + (ROW()-11)*4,3,1,1,"Internet")))&gt;1,INDIRECT(ADDRESS(ROW() + $A$9-9 + (ROW()-11)*4,3,1,1,"Internet"))," "))</f>
        <v>POP Praha</v>
      </c>
      <c r="M40" s="472">
        <f ca="1">IF(N(I40)=0,9999,VLOOKUP(I40,Hraci!$A$1:$I$1500,8,0))</f>
        <v>22</v>
      </c>
      <c r="N40" s="473">
        <f ca="1">IF(N(I40)=0,0,VLOOKUP(I40,Hraci!$A$1:$I$1500,9,0))</f>
        <v>29.125</v>
      </c>
      <c r="O40" s="469" t="str">
        <f t="shared" ca="1" si="9"/>
        <v/>
      </c>
      <c r="P40" s="470" t="str">
        <f ca="1">IF(N(O40)&gt;0,VLOOKUP(O40,Hraci!$A$1:$I$1500,2,0),IF(TYPE(INDIRECT(ADDRESS(ROW() + $A$9-8 + (ROW()-11)*4,2,1,1,"Internet")))&gt;1,INDIRECT(ADDRESS(ROW() + $A$9-8 + (ROW()-11)*4,2,1,1,"Internet"))," "))</f>
        <v xml:space="preserve"> </v>
      </c>
      <c r="Q40" s="471" t="str">
        <f ca="1">IF(N(O40)&gt;0,VLOOKUP(O40,Hraci!$A$1:$I$1500,3,0)," ")</f>
        <v xml:space="preserve"> </v>
      </c>
      <c r="R40" s="471" t="str">
        <f ca="1">IF(N(O40)&gt;0,VLOOKUP(O40,Hraci!$A$1:$I$1500,5,0),IF(TYPE(INDIRECT(ADDRESS(ROW() + $A$9-8 + (ROW()-11)*4,3,1,1,"Internet")))&gt;1,INDIRECT(ADDRESS(ROW() + $A$9-8 + (ROW()-11)*4,3,1,1,"Internet"))," "))</f>
        <v xml:space="preserve"> </v>
      </c>
      <c r="S40" s="472">
        <f ca="1">IF(N(O40)=0,9999,VLOOKUP(O40,Hraci!$A$1:$I$1500,8,0))</f>
        <v>9999</v>
      </c>
      <c r="T40" s="473">
        <f ca="1">IF(N(O40)=0,0,VLOOKUP(O40,Hraci!$A$1:$I$1500,9,0))</f>
        <v>0</v>
      </c>
      <c r="U40" s="469" t="str">
        <f t="shared" ca="1" si="10"/>
        <v/>
      </c>
      <c r="V40" s="470" t="str">
        <f ca="1">IF(N(U40)&gt;0,VLOOKUP(U40,Hraci!$A$1:$I$1500,2,0),IF(TYPE(INDIRECT(ADDRESS(ROW() + $A$9-7 + (ROW()-11)*4,2,1,1,"Internet")))&gt;1,INDIRECT(ADDRESS(ROW() + $A$9-7 + (ROW()-11)*4,2,1,1,"Internet"))," "))</f>
        <v xml:space="preserve"> </v>
      </c>
      <c r="W40" s="471" t="str">
        <f ca="1">IF(N(U40)&gt;0,VLOOKUP(U40,Hraci!$A$1:$I$1500,3,0)," ")</f>
        <v xml:space="preserve"> </v>
      </c>
      <c r="X40" s="471" t="str">
        <f ca="1">IF(N(U40)&gt;0,VLOOKUP(U40,Hraci!$A$1:$I$1500,5,0),IF(TYPE(INDIRECT(ADDRESS(ROW() + $A$9-7 + (ROW()-11)*4,3,1,1,"Internet")))&gt;1,INDIRECT(ADDRESS(ROW() + $A$9-7 + (ROW()-11)*4,3,1,1,"Internet"))," "))</f>
        <v xml:space="preserve"> </v>
      </c>
      <c r="Y40" s="472">
        <f ca="1">IF(N(U40)=0,9999,VLOOKUP(U40,Hraci!$A$1:$I$1500,8,0))</f>
        <v>9999</v>
      </c>
      <c r="Z40" s="473">
        <f ca="1">IF(N(U40)=0,0,VLOOKUP(U40,Hraci!$A$1:$I$1500,9,0))</f>
        <v>0</v>
      </c>
      <c r="AA40" s="469" t="str">
        <f t="shared" ca="1" si="11"/>
        <v/>
      </c>
      <c r="AB40" s="470" t="str">
        <f ca="1">IF(N(AA40)&gt;0,VLOOKUP(AA40,Hraci!$A$1:$I$1500,2,0)," ")</f>
        <v xml:space="preserve"> </v>
      </c>
      <c r="AC40" s="471" t="str">
        <f ca="1">IF(N(AA40)&gt;0,VLOOKUP(AA40,Hraci!$A$1:$I$1500,3,0)," ")</f>
        <v xml:space="preserve"> </v>
      </c>
      <c r="AD40" s="471" t="str">
        <f ca="1">IF(N(AA40)&gt;0,VLOOKUP(AA40,Hraci!$A$1:$I$1500,5,0)," ")</f>
        <v xml:space="preserve"> </v>
      </c>
      <c r="AE40" s="472">
        <f ca="1">IF(N(AA40)=0,9999,VLOOKUP(AA40,Hraci!$A$1:$I$1500,8,0))</f>
        <v>9999</v>
      </c>
      <c r="AF40" s="473">
        <f ca="1">IF(N(AA40)=0,0,VLOOKUP(AA40,Hraci!$A$1:$I$1500,9,0))</f>
        <v>0</v>
      </c>
      <c r="AG40" s="474"/>
      <c r="AH40" s="480">
        <v>32</v>
      </c>
      <c r="AI40" s="475">
        <f ca="1">IF(N($AH40)&gt;0,VLOOKUP($AH40,Body!$A$4:$F$259,5,0),"")</f>
        <v>332.52743750000002</v>
      </c>
      <c r="AJ40" s="476">
        <f ca="1">IF(N($AH40)&gt;0,VLOOKUP($AH40,Body!$A$4:$F$259,6,0),"")</f>
        <v>200</v>
      </c>
      <c r="AK40" s="475">
        <f ca="1">IF(N($AH40)&gt;0,VLOOKUP($AH40,Body!$A$4:$F$259,2,0),"")</f>
        <v>3</v>
      </c>
      <c r="AL40" s="477" t="str">
        <f t="shared" ca="1" si="12"/>
        <v>30 POP Praha - Resl Jan</v>
      </c>
      <c r="AM40" s="478">
        <f t="shared" ca="1" si="13"/>
        <v>29.125</v>
      </c>
      <c r="AN40" s="408">
        <f ca="1">IF(OR(TYPE(I40)&gt;1,TYPE(MATCH(I40,I41:I$267,0))&gt;1),0,MATCH(I40,I41:I$267,0))+IF(OR(TYPE(I40)&gt;1,TYPE(MATCH(I40,O$11:O$267,0))&gt;1),0,MATCH(I40,O$11:O$267,0))+IF(OR(TYPE(I40)&gt;1,TYPE(MATCH(I40,U$11:U$267,0))&gt;1),0,MATCH(I40,U$11:U$267,0))+IF(OR(TYPE(I40)&gt;1,TYPE(MATCH(I40,AA$11:AA$267,0))&gt;1),0,MATCH(I40,AA$11:AA$267,0))</f>
        <v>0</v>
      </c>
      <c r="AO40" s="408">
        <f ca="1">IF(OR(TYPE(O40)&gt;1,TYPE(MATCH(O40,I$11:I$267,0))&gt;1),0,MATCH(O40,I$11:I$267,0))+IF(OR(TYPE(O40)&gt;1,TYPE(MATCH(O40,O41:O$267,0))&gt;1),0,MATCH(O40,O41:O$267,0))+IF(OR(TYPE(O40)&gt;1,TYPE(MATCH(O40,U$11:U$267,0))&gt;1),0,MATCH(O40,U$11:U$267,0))+IF(OR(TYPE(O40)&gt;1,TYPE(MATCH(O40,AA$11:AA$267,0))&gt;1),0,MATCH(O40,AA$11:AA$267,0))</f>
        <v>0</v>
      </c>
      <c r="AP40" s="408">
        <f ca="1">IF(OR(TYPE(U40)&gt;1,TYPE(MATCH(U40,I$11:I$267,0))&gt;1),0,MATCH(U40,I$11:I$267,0))+IF(OR(TYPE(U40)&gt;1,TYPE(MATCH(U40,O$11:O$267,0))&gt;1),0,MATCH(U40,O$11:O$267,0))+IF(OR(TYPE(U40)&gt;1,TYPE(MATCH(U40,U41:U$267,0))&gt;1),0,MATCH(U40,U41:U$267,0))+IF(OR(TYPE(U40)&gt;1,TYPE(MATCH(U40,AA$11:AA$267,0))&gt;1),0,MATCH(U40,AA$11:AA$267,0))</f>
        <v>0</v>
      </c>
      <c r="AQ40" s="408">
        <f ca="1">IF(OR(TYPE(AA40)&gt;1,TYPE(MATCH(AA40,I$11:I$267,0))&gt;1),0,MATCH(AA40,I$11:I$267,0))+IF(OR(TYPE(AA40)&gt;1,TYPE(MATCH(AA40,O$11:O$267,0))&gt;1),0,MATCH(AA40,O$11:O$267,0))+IF(OR(TYPE(AA40)&gt;1,TYPE(MATCH(AA40,U$11:U$267,0))&gt;1),0,MATCH(U40,U$11:U$267,0))+IF(OR(TYPE(AA40)&gt;1,TYPE(MATCH(AA40,AA41:AA$267,0))&gt;1),0,MATCH(AA40,AA41:AA$267,0))</f>
        <v>0</v>
      </c>
      <c r="AR40" s="408">
        <f t="shared" ca="1" si="14"/>
        <v>0</v>
      </c>
      <c r="BF40" s="408">
        <f t="shared" si="15"/>
        <v>30</v>
      </c>
    </row>
    <row r="41" spans="1:58" ht="14.25">
      <c r="A41" s="430">
        <f t="shared" ca="1" si="0"/>
        <v>1</v>
      </c>
      <c r="B41" s="430">
        <f t="shared" ca="1" si="1"/>
        <v>1</v>
      </c>
      <c r="C41" s="430">
        <f t="shared" ca="1" si="2"/>
        <v>29.125</v>
      </c>
      <c r="D41" s="430">
        <f t="shared" ca="1" si="3"/>
        <v>20030</v>
      </c>
      <c r="E41" s="430">
        <f t="shared" ca="1" si="4"/>
        <v>32</v>
      </c>
      <c r="F41" s="431" t="str">
        <f t="shared" ca="1" si="5"/>
        <v>91029125979969999967517617</v>
      </c>
      <c r="G41" s="467" t="b">
        <f t="shared" ca="1" si="6"/>
        <v>0</v>
      </c>
      <c r="H41" s="468">
        <f t="shared" si="7"/>
        <v>31</v>
      </c>
      <c r="I41" s="469">
        <f t="shared" ca="1" si="8"/>
        <v>11001</v>
      </c>
      <c r="J41" s="470" t="str">
        <f ca="1">IF(N(I41)&gt;0,VLOOKUP(I41,Hraci!$A$1:$I$1500,2,0),IF(TYPE(INDIRECT(ADDRESS(ROW() + $A$9-9 + (ROW()-11)*4,2,1,1,"Internet")))&gt;1,INDIRECT(ADDRESS(ROW() + $A$9-9 + (ROW()-11)*4,2,1,1,"Internet"))," "))</f>
        <v>Lukáš</v>
      </c>
      <c r="K41" s="471" t="str">
        <f ca="1">IF(N(I41)&gt;0,VLOOKUP(I41,Hraci!$A$1:$I$1500,3,0)," ")</f>
        <v>Petr</v>
      </c>
      <c r="L41" s="471" t="str">
        <f ca="1">IF(N(I41)&gt;0,VLOOKUP(I41,Hraci!$A$1:$I$1500,5,0),IF(TYPE(INDIRECT(ADDRESS(ROW() + $A$9-9 + (ROW()-11)*4,3,1,1,"Internet")))&gt;1,INDIRECT(ADDRESS(ROW() + $A$9-9 + (ROW()-11)*4,3,1,1,"Internet"))," "))</f>
        <v>PLUK Jablonec</v>
      </c>
      <c r="M41" s="472">
        <f ca="1">IF(N(I41)=0,9999,VLOOKUP(I41,Hraci!$A$1:$I$1500,8,0))</f>
        <v>32</v>
      </c>
      <c r="N41" s="473">
        <f ca="1">IF(N(I41)=0,0,VLOOKUP(I41,Hraci!$A$1:$I$1500,9,0))</f>
        <v>29.125</v>
      </c>
      <c r="O41" s="469" t="str">
        <f t="shared" ca="1" si="9"/>
        <v/>
      </c>
      <c r="P41" s="470" t="str">
        <f ca="1">IF(N(O41)&gt;0,VLOOKUP(O41,Hraci!$A$1:$I$1500,2,0),IF(TYPE(INDIRECT(ADDRESS(ROW() + $A$9-8 + (ROW()-11)*4,2,1,1,"Internet")))&gt;1,INDIRECT(ADDRESS(ROW() + $A$9-8 + (ROW()-11)*4,2,1,1,"Internet"))," "))</f>
        <v xml:space="preserve"> </v>
      </c>
      <c r="Q41" s="471" t="str">
        <f ca="1">IF(N(O41)&gt;0,VLOOKUP(O41,Hraci!$A$1:$I$1500,3,0)," ")</f>
        <v xml:space="preserve"> </v>
      </c>
      <c r="R41" s="471" t="str">
        <f ca="1">IF(N(O41)&gt;0,VLOOKUP(O41,Hraci!$A$1:$I$1500,5,0),IF(TYPE(INDIRECT(ADDRESS(ROW() + $A$9-8 + (ROW()-11)*4,3,1,1,"Internet")))&gt;1,INDIRECT(ADDRESS(ROW() + $A$9-8 + (ROW()-11)*4,3,1,1,"Internet"))," "))</f>
        <v xml:space="preserve"> </v>
      </c>
      <c r="S41" s="472">
        <f ca="1">IF(N(O41)=0,9999,VLOOKUP(O41,Hraci!$A$1:$I$1500,8,0))</f>
        <v>9999</v>
      </c>
      <c r="T41" s="473">
        <f ca="1">IF(N(O41)=0,0,VLOOKUP(O41,Hraci!$A$1:$I$1500,9,0))</f>
        <v>0</v>
      </c>
      <c r="U41" s="469" t="str">
        <f t="shared" ca="1" si="10"/>
        <v/>
      </c>
      <c r="V41" s="470" t="str">
        <f ca="1">IF(N(U41)&gt;0,VLOOKUP(U41,Hraci!$A$1:$I$1500,2,0),IF(TYPE(INDIRECT(ADDRESS(ROW() + $A$9-7 + (ROW()-11)*4,2,1,1,"Internet")))&gt;1,INDIRECT(ADDRESS(ROW() + $A$9-7 + (ROW()-11)*4,2,1,1,"Internet"))," "))</f>
        <v xml:space="preserve"> </v>
      </c>
      <c r="W41" s="471" t="str">
        <f ca="1">IF(N(U41)&gt;0,VLOOKUP(U41,Hraci!$A$1:$I$1500,3,0)," ")</f>
        <v xml:space="preserve"> </v>
      </c>
      <c r="X41" s="471" t="str">
        <f ca="1">IF(N(U41)&gt;0,VLOOKUP(U41,Hraci!$A$1:$I$1500,5,0),IF(TYPE(INDIRECT(ADDRESS(ROW() + $A$9-7 + (ROW()-11)*4,3,1,1,"Internet")))&gt;1,INDIRECT(ADDRESS(ROW() + $A$9-7 + (ROW()-11)*4,3,1,1,"Internet"))," "))</f>
        <v xml:space="preserve"> </v>
      </c>
      <c r="Y41" s="472">
        <f ca="1">IF(N(U41)=0,9999,VLOOKUP(U41,Hraci!$A$1:$I$1500,8,0))</f>
        <v>9999</v>
      </c>
      <c r="Z41" s="473">
        <f ca="1">IF(N(U41)=0,0,VLOOKUP(U41,Hraci!$A$1:$I$1500,9,0))</f>
        <v>0</v>
      </c>
      <c r="AA41" s="469" t="str">
        <f t="shared" ca="1" si="11"/>
        <v/>
      </c>
      <c r="AB41" s="470" t="str">
        <f ca="1">IF(N(AA41)&gt;0,VLOOKUP(AA41,Hraci!$A$1:$I$1500,2,0)," ")</f>
        <v xml:space="preserve"> </v>
      </c>
      <c r="AC41" s="471" t="str">
        <f ca="1">IF(N(AA41)&gt;0,VLOOKUP(AA41,Hraci!$A$1:$I$1500,3,0)," ")</f>
        <v xml:space="preserve"> </v>
      </c>
      <c r="AD41" s="471" t="str">
        <f ca="1">IF(N(AA41)&gt;0,VLOOKUP(AA41,Hraci!$A$1:$I$1500,5,0)," ")</f>
        <v xml:space="preserve"> </v>
      </c>
      <c r="AE41" s="472">
        <f ca="1">IF(N(AA41)=0,9999,VLOOKUP(AA41,Hraci!$A$1:$I$1500,8,0))</f>
        <v>9999</v>
      </c>
      <c r="AF41" s="473">
        <f ca="1">IF(N(AA41)=0,0,VLOOKUP(AA41,Hraci!$A$1:$I$1500,9,0))</f>
        <v>0</v>
      </c>
      <c r="AG41" s="474"/>
      <c r="AH41" s="480">
        <v>32</v>
      </c>
      <c r="AI41" s="475">
        <f ca="1">IF(N($AH41)&gt;0,VLOOKUP($AH41,Body!$A$4:$F$259,5,0),"")</f>
        <v>332.52743750000002</v>
      </c>
      <c r="AJ41" s="476">
        <f ca="1">IF(N($AH41)&gt;0,VLOOKUP($AH41,Body!$A$4:$F$259,6,0),"")</f>
        <v>200</v>
      </c>
      <c r="AK41" s="475">
        <f ca="1">IF(N($AH41)&gt;0,VLOOKUP($AH41,Body!$A$4:$F$259,2,0),"")</f>
        <v>3</v>
      </c>
      <c r="AL41" s="477" t="str">
        <f t="shared" ca="1" si="12"/>
        <v>31 PLUK Jablonec - Lukáš Petr</v>
      </c>
      <c r="AM41" s="478">
        <f t="shared" ca="1" si="13"/>
        <v>29.125</v>
      </c>
      <c r="AN41" s="408">
        <f ca="1">IF(OR(TYPE(I41)&gt;1,TYPE(MATCH(I41,I42:I$267,0))&gt;1),0,MATCH(I41,I42:I$267,0))+IF(OR(TYPE(I41)&gt;1,TYPE(MATCH(I41,O$11:O$267,0))&gt;1),0,MATCH(I41,O$11:O$267,0))+IF(OR(TYPE(I41)&gt;1,TYPE(MATCH(I41,U$11:U$267,0))&gt;1),0,MATCH(I41,U$11:U$267,0))+IF(OR(TYPE(I41)&gt;1,TYPE(MATCH(I41,AA$11:AA$267,0))&gt;1),0,MATCH(I41,AA$11:AA$267,0))</f>
        <v>0</v>
      </c>
      <c r="AO41" s="408">
        <f ca="1">IF(OR(TYPE(O41)&gt;1,TYPE(MATCH(O41,I$11:I$267,0))&gt;1),0,MATCH(O41,I$11:I$267,0))+IF(OR(TYPE(O41)&gt;1,TYPE(MATCH(O41,O42:O$267,0))&gt;1),0,MATCH(O41,O42:O$267,0))+IF(OR(TYPE(O41)&gt;1,TYPE(MATCH(O41,U$11:U$267,0))&gt;1),0,MATCH(O41,U$11:U$267,0))+IF(OR(TYPE(O41)&gt;1,TYPE(MATCH(O41,AA$11:AA$267,0))&gt;1),0,MATCH(O41,AA$11:AA$267,0))</f>
        <v>0</v>
      </c>
      <c r="AP41" s="408">
        <f ca="1">IF(OR(TYPE(U41)&gt;1,TYPE(MATCH(U41,I$11:I$267,0))&gt;1),0,MATCH(U41,I$11:I$267,0))+IF(OR(TYPE(U41)&gt;1,TYPE(MATCH(U41,O$11:O$267,0))&gt;1),0,MATCH(U41,O$11:O$267,0))+IF(OR(TYPE(U41)&gt;1,TYPE(MATCH(U41,U42:U$267,0))&gt;1),0,MATCH(U41,U42:U$267,0))+IF(OR(TYPE(U41)&gt;1,TYPE(MATCH(U41,AA$11:AA$267,0))&gt;1),0,MATCH(U41,AA$11:AA$267,0))</f>
        <v>0</v>
      </c>
      <c r="AQ41" s="408">
        <f ca="1">IF(OR(TYPE(AA41)&gt;1,TYPE(MATCH(AA41,I$11:I$267,0))&gt;1),0,MATCH(AA41,I$11:I$267,0))+IF(OR(TYPE(AA41)&gt;1,TYPE(MATCH(AA41,O$11:O$267,0))&gt;1),0,MATCH(AA41,O$11:O$267,0))+IF(OR(TYPE(AA41)&gt;1,TYPE(MATCH(AA41,U$11:U$267,0))&gt;1),0,MATCH(U41,U$11:U$267,0))+IF(OR(TYPE(AA41)&gt;1,TYPE(MATCH(AA41,AA42:AA$267,0))&gt;1),0,MATCH(AA41,AA42:AA$267,0))</f>
        <v>0</v>
      </c>
      <c r="AR41" s="408">
        <f t="shared" ca="1" si="14"/>
        <v>0</v>
      </c>
      <c r="BF41" s="408">
        <f t="shared" si="15"/>
        <v>31</v>
      </c>
    </row>
    <row r="42" spans="1:58" ht="14.25">
      <c r="A42" s="430">
        <f t="shared" ca="1" si="0"/>
        <v>1</v>
      </c>
      <c r="B42" s="430">
        <f t="shared" ca="1" si="1"/>
        <v>1</v>
      </c>
      <c r="C42" s="430">
        <f t="shared" ca="1" si="2"/>
        <v>28.876000000000001</v>
      </c>
      <c r="D42" s="430">
        <f t="shared" ca="1" si="3"/>
        <v>20031</v>
      </c>
      <c r="E42" s="430">
        <f t="shared" ca="1" si="4"/>
        <v>33</v>
      </c>
      <c r="F42" s="431" t="str">
        <f t="shared" ca="1" si="5"/>
        <v>91028876979968999966841675</v>
      </c>
      <c r="G42" s="467" t="b">
        <f t="shared" ca="1" si="6"/>
        <v>0</v>
      </c>
      <c r="H42" s="468">
        <f t="shared" si="7"/>
        <v>32</v>
      </c>
      <c r="I42" s="469">
        <f t="shared" ca="1" si="8"/>
        <v>13029</v>
      </c>
      <c r="J42" s="470" t="str">
        <f ca="1">IF(N(I42)&gt;0,VLOOKUP(I42,Hraci!$A$1:$I$1500,2,0),IF(TYPE(INDIRECT(ADDRESS(ROW() + $A$9-9 + (ROW()-11)*4,2,1,1,"Internet")))&gt;1,INDIRECT(ADDRESS(ROW() + $A$9-9 + (ROW()-11)*4,2,1,1,"Internet"))," "))</f>
        <v>Kamaryt</v>
      </c>
      <c r="K42" s="471" t="str">
        <f ca="1">IF(N(I42)&gt;0,VLOOKUP(I42,Hraci!$A$1:$I$1500,3,0)," ")</f>
        <v>Josef</v>
      </c>
      <c r="L42" s="471" t="str">
        <f ca="1">IF(N(I42)&gt;0,VLOOKUP(I42,Hraci!$A$1:$I$1500,5,0),IF(TYPE(INDIRECT(ADDRESS(ROW() + $A$9-9 + (ROW()-11)*4,3,1,1,"Internet")))&gt;1,INDIRECT(ADDRESS(ROW() + $A$9-9 + (ROW()-11)*4,3,1,1,"Internet"))," "))</f>
        <v>Club Rodamiento</v>
      </c>
      <c r="M42" s="472">
        <f ca="1">IF(N(I42)=0,9999,VLOOKUP(I42,Hraci!$A$1:$I$1500,8,0))</f>
        <v>33</v>
      </c>
      <c r="N42" s="473">
        <f ca="1">IF(N(I42)=0,0,VLOOKUP(I42,Hraci!$A$1:$I$1500,9,0))</f>
        <v>28.876000000000001</v>
      </c>
      <c r="O42" s="469" t="str">
        <f t="shared" ca="1" si="9"/>
        <v/>
      </c>
      <c r="P42" s="470" t="str">
        <f ca="1">IF(N(O42)&gt;0,VLOOKUP(O42,Hraci!$A$1:$I$1500,2,0),IF(TYPE(INDIRECT(ADDRESS(ROW() + $A$9-8 + (ROW()-11)*4,2,1,1,"Internet")))&gt;1,INDIRECT(ADDRESS(ROW() + $A$9-8 + (ROW()-11)*4,2,1,1,"Internet"))," "))</f>
        <v xml:space="preserve"> </v>
      </c>
      <c r="Q42" s="471" t="str">
        <f ca="1">IF(N(O42)&gt;0,VLOOKUP(O42,Hraci!$A$1:$I$1500,3,0)," ")</f>
        <v xml:space="preserve"> </v>
      </c>
      <c r="R42" s="471" t="str">
        <f ca="1">IF(N(O42)&gt;0,VLOOKUP(O42,Hraci!$A$1:$I$1500,5,0),IF(TYPE(INDIRECT(ADDRESS(ROW() + $A$9-8 + (ROW()-11)*4,3,1,1,"Internet")))&gt;1,INDIRECT(ADDRESS(ROW() + $A$9-8 + (ROW()-11)*4,3,1,1,"Internet"))," "))</f>
        <v xml:space="preserve"> </v>
      </c>
      <c r="S42" s="472">
        <f ca="1">IF(N(O42)=0,9999,VLOOKUP(O42,Hraci!$A$1:$I$1500,8,0))</f>
        <v>9999</v>
      </c>
      <c r="T42" s="473">
        <f ca="1">IF(N(O42)=0,0,VLOOKUP(O42,Hraci!$A$1:$I$1500,9,0))</f>
        <v>0</v>
      </c>
      <c r="U42" s="469" t="str">
        <f t="shared" ca="1" si="10"/>
        <v/>
      </c>
      <c r="V42" s="470" t="str">
        <f ca="1">IF(N(U42)&gt;0,VLOOKUP(U42,Hraci!$A$1:$I$1500,2,0),IF(TYPE(INDIRECT(ADDRESS(ROW() + $A$9-7 + (ROW()-11)*4,2,1,1,"Internet")))&gt;1,INDIRECT(ADDRESS(ROW() + $A$9-7 + (ROW()-11)*4,2,1,1,"Internet"))," "))</f>
        <v xml:space="preserve"> </v>
      </c>
      <c r="W42" s="471" t="str">
        <f ca="1">IF(N(U42)&gt;0,VLOOKUP(U42,Hraci!$A$1:$I$1500,3,0)," ")</f>
        <v xml:space="preserve"> </v>
      </c>
      <c r="X42" s="471" t="str">
        <f ca="1">IF(N(U42)&gt;0,VLOOKUP(U42,Hraci!$A$1:$I$1500,5,0),IF(TYPE(INDIRECT(ADDRESS(ROW() + $A$9-7 + (ROW()-11)*4,3,1,1,"Internet")))&gt;1,INDIRECT(ADDRESS(ROW() + $A$9-7 + (ROW()-11)*4,3,1,1,"Internet"))," "))</f>
        <v xml:space="preserve"> </v>
      </c>
      <c r="Y42" s="472">
        <f ca="1">IF(N(U42)=0,9999,VLOOKUP(U42,Hraci!$A$1:$I$1500,8,0))</f>
        <v>9999</v>
      </c>
      <c r="Z42" s="473">
        <f ca="1">IF(N(U42)=0,0,VLOOKUP(U42,Hraci!$A$1:$I$1500,9,0))</f>
        <v>0</v>
      </c>
      <c r="AA42" s="469" t="str">
        <f t="shared" ca="1" si="11"/>
        <v/>
      </c>
      <c r="AB42" s="470" t="str">
        <f ca="1">IF(N(AA42)&gt;0,VLOOKUP(AA42,Hraci!$A$1:$I$1500,2,0)," ")</f>
        <v xml:space="preserve"> </v>
      </c>
      <c r="AC42" s="471" t="str">
        <f ca="1">IF(N(AA42)&gt;0,VLOOKUP(AA42,Hraci!$A$1:$I$1500,3,0)," ")</f>
        <v xml:space="preserve"> </v>
      </c>
      <c r="AD42" s="471" t="str">
        <f ca="1">IF(N(AA42)&gt;0,VLOOKUP(AA42,Hraci!$A$1:$I$1500,5,0)," ")</f>
        <v xml:space="preserve"> </v>
      </c>
      <c r="AE42" s="472">
        <f ca="1">IF(N(AA42)=0,9999,VLOOKUP(AA42,Hraci!$A$1:$I$1500,8,0))</f>
        <v>9999</v>
      </c>
      <c r="AF42" s="473">
        <f ca="1">IF(N(AA42)=0,0,VLOOKUP(AA42,Hraci!$A$1:$I$1500,9,0))</f>
        <v>0</v>
      </c>
      <c r="AG42" s="474"/>
      <c r="AH42" s="480">
        <f ca="1">IF(TYPE(VLOOKUP(H42,Nasazení!$A$3:$E$258,5,0))&lt;4,VLOOKUP(H42,Nasazení!$A$3:$E$258,5,0),0)</f>
        <v>64</v>
      </c>
      <c r="AI42" s="475">
        <f ca="1">IF(N($AH42)&gt;0,VLOOKUP($AH42,Body!$A$4:$F$259,5,0),"")</f>
        <v>288.35162500000001</v>
      </c>
      <c r="AJ42" s="476">
        <f ca="1">IF(N($AH42)&gt;0,VLOOKUP($AH42,Body!$A$4:$F$259,6,0),"")</f>
        <v>200</v>
      </c>
      <c r="AK42" s="475">
        <f ca="1">IF(N($AH42)&gt;0,VLOOKUP($AH42,Body!$A$4:$F$259,2,0),"")</f>
        <v>2</v>
      </c>
      <c r="AL42" s="477" t="str">
        <f t="shared" ca="1" si="12"/>
        <v>32 Club Rodamiento - Kamaryt Josef</v>
      </c>
      <c r="AM42" s="478">
        <f t="shared" ca="1" si="13"/>
        <v>28.876000000000001</v>
      </c>
      <c r="AN42" s="408">
        <f ca="1">IF(OR(TYPE(I42)&gt;1,TYPE(MATCH(I42,I43:I$267,0))&gt;1),0,MATCH(I42,I43:I$267,0))+IF(OR(TYPE(I42)&gt;1,TYPE(MATCH(I42,O$11:O$267,0))&gt;1),0,MATCH(I42,O$11:O$267,0))+IF(OR(TYPE(I42)&gt;1,TYPE(MATCH(I42,U$11:U$267,0))&gt;1),0,MATCH(I42,U$11:U$267,0))+IF(OR(TYPE(I42)&gt;1,TYPE(MATCH(I42,AA$11:AA$267,0))&gt;1),0,MATCH(I42,AA$11:AA$267,0))</f>
        <v>0</v>
      </c>
      <c r="AO42" s="408">
        <f ca="1">IF(OR(TYPE(O42)&gt;1,TYPE(MATCH(O42,I$11:I$267,0))&gt;1),0,MATCH(O42,I$11:I$267,0))+IF(OR(TYPE(O42)&gt;1,TYPE(MATCH(O42,O43:O$267,0))&gt;1),0,MATCH(O42,O43:O$267,0))+IF(OR(TYPE(O42)&gt;1,TYPE(MATCH(O42,U$11:U$267,0))&gt;1),0,MATCH(O42,U$11:U$267,0))+IF(OR(TYPE(O42)&gt;1,TYPE(MATCH(O42,AA$11:AA$267,0))&gt;1),0,MATCH(O42,AA$11:AA$267,0))</f>
        <v>0</v>
      </c>
      <c r="AP42" s="408">
        <f ca="1">IF(OR(TYPE(U42)&gt;1,TYPE(MATCH(U42,I$11:I$267,0))&gt;1),0,MATCH(U42,I$11:I$267,0))+IF(OR(TYPE(U42)&gt;1,TYPE(MATCH(U42,O$11:O$267,0))&gt;1),0,MATCH(U42,O$11:O$267,0))+IF(OR(TYPE(U42)&gt;1,TYPE(MATCH(U42,U43:U$267,0))&gt;1),0,MATCH(U42,U43:U$267,0))+IF(OR(TYPE(U42)&gt;1,TYPE(MATCH(U42,AA$11:AA$267,0))&gt;1),0,MATCH(U42,AA$11:AA$267,0))</f>
        <v>0</v>
      </c>
      <c r="AQ42" s="408">
        <f ca="1">IF(OR(TYPE(AA42)&gt;1,TYPE(MATCH(AA42,I$11:I$267,0))&gt;1),0,MATCH(AA42,I$11:I$267,0))+IF(OR(TYPE(AA42)&gt;1,TYPE(MATCH(AA42,O$11:O$267,0))&gt;1),0,MATCH(AA42,O$11:O$267,0))+IF(OR(TYPE(AA42)&gt;1,TYPE(MATCH(AA42,U$11:U$267,0))&gt;1),0,MATCH(U42,U$11:U$267,0))+IF(OR(TYPE(AA42)&gt;1,TYPE(MATCH(AA42,AA43:AA$267,0))&gt;1),0,MATCH(AA42,AA43:AA$267,0))</f>
        <v>0</v>
      </c>
      <c r="AR42" s="408">
        <f t="shared" ca="1" si="14"/>
        <v>0</v>
      </c>
      <c r="BF42" s="408">
        <f t="shared" si="15"/>
        <v>32</v>
      </c>
    </row>
    <row r="43" spans="1:58" ht="14.25">
      <c r="A43" s="400">
        <f t="shared" ref="A43:A74" ca="1" si="16">IF(OR(LEFT(J43,1)=" ",ISBLANK(J43)),0,1)+IF(OR(LEFT(P43,1)=" ",ISBLANK(P43)),0,1)+IF(OR(LEFT(V43,1)=" ",ISBLANK(V43)),0,1)</f>
        <v>1</v>
      </c>
      <c r="B43" s="400">
        <f t="shared" ref="B43:B74" ca="1" si="17">IF(AND(TYPE(G43&lt;15),G43=FALSE),1,0)</f>
        <v>1</v>
      </c>
      <c r="C43" s="400">
        <f t="shared" ref="C43:C74" ca="1" si="18">IF(B43=0,0,N43+T43+Z43)</f>
        <v>28.47</v>
      </c>
      <c r="D43" s="400">
        <f t="shared" ref="D43:D74" ca="1" si="19">IF(B43=0,99999,M43+S43+Y43)</f>
        <v>20087</v>
      </c>
      <c r="E43" s="430">
        <f t="shared" ref="E43:E74" ca="1" si="20">MIN(M43,S43,Y43)</f>
        <v>89</v>
      </c>
      <c r="F43" s="431" t="str">
        <f t="shared" ref="F43:F74" ca="1" si="21">CONCATENATE(IF(AND($P$4=1,H43&gt;2*$O$7),"0","9"),TEXT(B43,"0"),IF(AND($P$4=1,H43&gt;2*$O$7),"000000",TEXT(1000*C43,"000000")),IF(AND($P$4=1,H43&gt;2*$O$7),"000000",TEXT(999999-D43,"000000")),IF(AND($P$4=1,H43&gt;2*$O$7),"000000",TEXT(999999-E43,"000000")),TEXT(999999*RAND(),"000000"))</f>
        <v>91028470979912999910704128</v>
      </c>
      <c r="G43" s="467" t="b">
        <f t="shared" ref="G43:G74" ca="1" si="22">IF(OR($K$6&gt;A43,AR43&gt;0),TRUE,FALSE)</f>
        <v>0</v>
      </c>
      <c r="H43" s="468">
        <f t="shared" ref="H43:H74" si="23">ROW(H43)-10</f>
        <v>33</v>
      </c>
      <c r="I43" s="469">
        <f t="shared" ref="I43:I74" ca="1" si="24">IF(N(INDIRECT(ADDRESS(ROW() + $A$9-9 + (ROW()-11)*4,1,1,1,"Internet")))&gt;0,INDIRECT(ADDRESS(ROW() + $A$9-9 + (ROW()-11)*4,1,1,1,"Internet")),"")</f>
        <v>26011</v>
      </c>
      <c r="J43" s="470" t="str">
        <f ca="1">IF(N(I43)&gt;0,VLOOKUP(I43,Hraci!$A$1:$I$1500,2,0),IF(TYPE(INDIRECT(ADDRESS(ROW() + $A$9-9 + (ROW()-11)*4,2,1,1,"Internet")))&gt;1,INDIRECT(ADDRESS(ROW() + $A$9-9 + (ROW()-11)*4,2,1,1,"Internet"))," "))</f>
        <v>Brázda</v>
      </c>
      <c r="K43" s="471" t="str">
        <f ca="1">IF(N(I43)&gt;0,VLOOKUP(I43,Hraci!$A$1:$I$1500,3,0)," ")</f>
        <v>Vladimír</v>
      </c>
      <c r="L43" s="471" t="str">
        <f ca="1">IF(N(I43)&gt;0,VLOOKUP(I43,Hraci!$A$1:$I$1500,5,0),IF(TYPE(INDIRECT(ADDRESS(ROW() + $A$9-9 + (ROW()-11)*4,3,1,1,"Internet")))&gt;1,INDIRECT(ADDRESS(ROW() + $A$9-9 + (ROW()-11)*4,3,1,1,"Internet"))," "))</f>
        <v>1. KPK Vrchlabí</v>
      </c>
      <c r="M43" s="472">
        <f ca="1">IF(N(I43)=0,9999,VLOOKUP(I43,Hraci!$A$1:$I$1500,8,0))</f>
        <v>89</v>
      </c>
      <c r="N43" s="473">
        <f ca="1">IF(N(I43)=0,0,VLOOKUP(I43,Hraci!$A$1:$I$1500,9,0))</f>
        <v>28.47</v>
      </c>
      <c r="O43" s="469" t="str">
        <f t="shared" ref="O43:O74" ca="1" si="25">IF(N(INDIRECT(ADDRESS(ROW() + $A$9-8 + (ROW()-11)*4,1,1,1,"Internet")))&gt;0,INDIRECT(ADDRESS(ROW() + $A$9-8 + (ROW()-11)*4,1,1,1,"Internet")),"")</f>
        <v/>
      </c>
      <c r="P43" s="470" t="str">
        <f ca="1">IF(N(O43)&gt;0,VLOOKUP(O43,Hraci!$A$1:$I$1500,2,0),IF(TYPE(INDIRECT(ADDRESS(ROW() + $A$9-8 + (ROW()-11)*4,2,1,1,"Internet")))&gt;1,INDIRECT(ADDRESS(ROW() + $A$9-8 + (ROW()-11)*4,2,1,1,"Internet"))," "))</f>
        <v xml:space="preserve"> </v>
      </c>
      <c r="Q43" s="471" t="str">
        <f ca="1">IF(N(O43)&gt;0,VLOOKUP(O43,Hraci!$A$1:$I$1500,3,0)," ")</f>
        <v xml:space="preserve"> </v>
      </c>
      <c r="R43" s="471" t="str">
        <f ca="1">IF(N(O43)&gt;0,VLOOKUP(O43,Hraci!$A$1:$I$1500,5,0),IF(TYPE(INDIRECT(ADDRESS(ROW() + $A$9-8 + (ROW()-11)*4,3,1,1,"Internet")))&gt;1,INDIRECT(ADDRESS(ROW() + $A$9-8 + (ROW()-11)*4,3,1,1,"Internet"))," "))</f>
        <v xml:space="preserve"> </v>
      </c>
      <c r="S43" s="472">
        <f ca="1">IF(N(O43)=0,9999,VLOOKUP(O43,Hraci!$A$1:$I$1500,8,0))</f>
        <v>9999</v>
      </c>
      <c r="T43" s="473">
        <f ca="1">IF(N(O43)=0,0,VLOOKUP(O43,Hraci!$A$1:$I$1500,9,0))</f>
        <v>0</v>
      </c>
      <c r="U43" s="469" t="str">
        <f t="shared" ref="U43:U74" ca="1" si="26">IF(N(INDIRECT(ADDRESS(ROW() + $A$9-7 + (ROW()-11)*4,1,1,1,"Internet")))&gt;0,INDIRECT(ADDRESS(ROW() + $A$9-7 + (ROW()-11)*4,1,1,1,"Internet")),"")</f>
        <v/>
      </c>
      <c r="V43" s="470" t="str">
        <f ca="1">IF(N(U43)&gt;0,VLOOKUP(U43,Hraci!$A$1:$I$1500,2,0),IF(TYPE(INDIRECT(ADDRESS(ROW() + $A$9-7 + (ROW()-11)*4,2,1,1,"Internet")))&gt;1,INDIRECT(ADDRESS(ROW() + $A$9-7 + (ROW()-11)*4,2,1,1,"Internet"))," "))</f>
        <v xml:space="preserve"> </v>
      </c>
      <c r="W43" s="471" t="str">
        <f ca="1">IF(N(U43)&gt;0,VLOOKUP(U43,Hraci!$A$1:$I$1500,3,0)," ")</f>
        <v xml:space="preserve"> </v>
      </c>
      <c r="X43" s="471" t="str">
        <f ca="1">IF(N(U43)&gt;0,VLOOKUP(U43,Hraci!$A$1:$I$1500,5,0),IF(TYPE(INDIRECT(ADDRESS(ROW() + $A$9-7 + (ROW()-11)*4,3,1,1,"Internet")))&gt;1,INDIRECT(ADDRESS(ROW() + $A$9-7 + (ROW()-11)*4,3,1,1,"Internet"))," "))</f>
        <v xml:space="preserve"> </v>
      </c>
      <c r="Y43" s="472">
        <f ca="1">IF(N(U43)=0,9999,VLOOKUP(U43,Hraci!$A$1:$I$1500,8,0))</f>
        <v>9999</v>
      </c>
      <c r="Z43" s="473">
        <f ca="1">IF(N(U43)=0,0,VLOOKUP(U43,Hraci!$A$1:$I$1500,9,0))</f>
        <v>0</v>
      </c>
      <c r="AA43" s="469" t="str">
        <f t="shared" ref="AA43:AA74" ca="1" si="27">IF(N(INDIRECT(ADDRESS(ROW() + $A$9-6 + (ROW()-11)*4,1,1,1,"Internet")))&gt;0,INDIRECT(ADDRESS(ROW() + $A$9-6 + (ROW()-11)*4,1,1,1,"Internet")),"")</f>
        <v/>
      </c>
      <c r="AB43" s="470" t="str">
        <f ca="1">IF(N(AA43)&gt;0,VLOOKUP(AA43,Hraci!$A$1:$I$1500,2,0)," ")</f>
        <v xml:space="preserve"> </v>
      </c>
      <c r="AC43" s="471" t="str">
        <f ca="1">IF(N(AA43)&gt;0,VLOOKUP(AA43,Hraci!$A$1:$I$1500,3,0)," ")</f>
        <v xml:space="preserve"> </v>
      </c>
      <c r="AD43" s="471" t="str">
        <f ca="1">IF(N(AA43)&gt;0,VLOOKUP(AA43,Hraci!$A$1:$I$1500,5,0)," ")</f>
        <v xml:space="preserve"> </v>
      </c>
      <c r="AE43" s="472">
        <f ca="1">IF(N(AA43)=0,9999,VLOOKUP(AA43,Hraci!$A$1:$I$1500,8,0))</f>
        <v>9999</v>
      </c>
      <c r="AF43" s="473">
        <f ca="1">IF(N(AA43)=0,0,VLOOKUP(AA43,Hraci!$A$1:$I$1500,9,0))</f>
        <v>0</v>
      </c>
      <c r="AG43" s="474"/>
      <c r="AH43" s="480">
        <v>4</v>
      </c>
      <c r="AI43" s="475">
        <f ca="1">IF(N($AH43)&gt;0,VLOOKUP($AH43,Body!$A$4:$F$259,5,0),"")</f>
        <v>465.05487499999998</v>
      </c>
      <c r="AJ43" s="476">
        <f ca="1">IF(N($AH43)&gt;0,VLOOKUP($AH43,Body!$A$4:$F$259,6,0),"")</f>
        <v>200</v>
      </c>
      <c r="AK43" s="475">
        <f ca="1">IF(N($AH43)&gt;0,VLOOKUP($AH43,Body!$A$4:$F$259,2,0),"")</f>
        <v>6</v>
      </c>
      <c r="AL43" s="477" t="str">
        <f t="shared" ref="AL43:AL74" ca="1" si="28">IF(N(H43)&gt;$K$7,"",CONCATENATE(IF($U$7="","",H43&amp;" "),L43,IF(L43="",""," - "),J43," ",K43))</f>
        <v>33 1. KPK Vrchlabí - Brázda Vladimír</v>
      </c>
      <c r="AM43" s="478">
        <f t="shared" ref="AM43:AM74" ca="1" si="29">C43</f>
        <v>28.47</v>
      </c>
      <c r="AN43" s="408">
        <f ca="1">IF(OR(TYPE(I43)&gt;1,TYPE(MATCH(I43,I44:I$267,0))&gt;1),0,MATCH(I43,I44:I$267,0))+IF(OR(TYPE(I43)&gt;1,TYPE(MATCH(I43,O$11:O$267,0))&gt;1),0,MATCH(I43,O$11:O$267,0))+IF(OR(TYPE(I43)&gt;1,TYPE(MATCH(I43,U$11:U$267,0))&gt;1),0,MATCH(I43,U$11:U$267,0))+IF(OR(TYPE(I43)&gt;1,TYPE(MATCH(I43,AA$11:AA$267,0))&gt;1),0,MATCH(I43,AA$11:AA$267,0))</f>
        <v>0</v>
      </c>
      <c r="AO43" s="408">
        <f ca="1">IF(OR(TYPE(O43)&gt;1,TYPE(MATCH(O43,I$11:I$267,0))&gt;1),0,MATCH(O43,I$11:I$267,0))+IF(OR(TYPE(O43)&gt;1,TYPE(MATCH(O43,O44:O$267,0))&gt;1),0,MATCH(O43,O44:O$267,0))+IF(OR(TYPE(O43)&gt;1,TYPE(MATCH(O43,U$11:U$267,0))&gt;1),0,MATCH(O43,U$11:U$267,0))+IF(OR(TYPE(O43)&gt;1,TYPE(MATCH(O43,AA$11:AA$267,0))&gt;1),0,MATCH(O43,AA$11:AA$267,0))</f>
        <v>0</v>
      </c>
      <c r="AP43" s="408">
        <f ca="1">IF(OR(TYPE(U43)&gt;1,TYPE(MATCH(U43,I$11:I$267,0))&gt;1),0,MATCH(U43,I$11:I$267,0))+IF(OR(TYPE(U43)&gt;1,TYPE(MATCH(U43,O$11:O$267,0))&gt;1),0,MATCH(U43,O$11:O$267,0))+IF(OR(TYPE(U43)&gt;1,TYPE(MATCH(U43,U44:U$267,0))&gt;1),0,MATCH(U43,U44:U$267,0))+IF(OR(TYPE(U43)&gt;1,TYPE(MATCH(U43,AA$11:AA$267,0))&gt;1),0,MATCH(U43,AA$11:AA$267,0))</f>
        <v>0</v>
      </c>
      <c r="AQ43" s="408">
        <f ca="1">IF(OR(TYPE(AA43)&gt;1,TYPE(MATCH(AA43,I$11:I$267,0))&gt;1),0,MATCH(AA43,I$11:I$267,0))+IF(OR(TYPE(AA43)&gt;1,TYPE(MATCH(AA43,O$11:O$267,0))&gt;1),0,MATCH(AA43,O$11:O$267,0))+IF(OR(TYPE(AA43)&gt;1,TYPE(MATCH(AA43,U$11:U$267,0))&gt;1),0,MATCH(U43,U$11:U$267,0))+IF(OR(TYPE(AA43)&gt;1,TYPE(MATCH(AA43,AA44:AA$267,0))&gt;1),0,MATCH(AA43,AA44:AA$267,0))</f>
        <v>0</v>
      </c>
      <c r="AR43" s="408">
        <f t="shared" ca="1" si="14"/>
        <v>0</v>
      </c>
      <c r="BF43" s="408">
        <f t="shared" si="15"/>
        <v>33</v>
      </c>
    </row>
    <row r="44" spans="1:58" ht="14.25">
      <c r="A44" s="430">
        <f t="shared" ca="1" si="16"/>
        <v>1</v>
      </c>
      <c r="B44" s="430">
        <f t="shared" ca="1" si="17"/>
        <v>1</v>
      </c>
      <c r="C44" s="430">
        <f t="shared" ca="1" si="18"/>
        <v>28.469000000000001</v>
      </c>
      <c r="D44" s="430">
        <f t="shared" ca="1" si="19"/>
        <v>20047</v>
      </c>
      <c r="E44" s="430">
        <f t="shared" ca="1" si="20"/>
        <v>49</v>
      </c>
      <c r="F44" s="431" t="str">
        <f t="shared" ca="1" si="21"/>
        <v>91028469979952999950825568</v>
      </c>
      <c r="G44" s="467" t="b">
        <f t="shared" ca="1" si="22"/>
        <v>0</v>
      </c>
      <c r="H44" s="468">
        <f t="shared" si="23"/>
        <v>34</v>
      </c>
      <c r="I44" s="469">
        <f t="shared" ca="1" si="24"/>
        <v>12017</v>
      </c>
      <c r="J44" s="470" t="str">
        <f ca="1">IF(N(I44)&gt;0,VLOOKUP(I44,Hraci!$A$1:$I$1500,2,0),IF(TYPE(INDIRECT(ADDRESS(ROW() + $A$9-9 + (ROW()-11)*4,2,1,1,"Internet")))&gt;1,INDIRECT(ADDRESS(ROW() + $A$9-9 + (ROW()-11)*4,2,1,1,"Internet"))," "))</f>
        <v>Tomášková</v>
      </c>
      <c r="K44" s="471" t="str">
        <f ca="1">IF(N(I44)&gt;0,VLOOKUP(I44,Hraci!$A$1:$I$1500,3,0)," ")</f>
        <v>Dana</v>
      </c>
      <c r="L44" s="471" t="str">
        <f ca="1">IF(N(I44)&gt;0,VLOOKUP(I44,Hraci!$A$1:$I$1500,5,0),IF(TYPE(INDIRECT(ADDRESS(ROW() + $A$9-9 + (ROW()-11)*4,3,1,1,"Internet")))&gt;1,INDIRECT(ADDRESS(ROW() + $A$9-9 + (ROW()-11)*4,3,1,1,"Internet"))," "))</f>
        <v>UBU Únětice</v>
      </c>
      <c r="M44" s="472">
        <f ca="1">IF(N(I44)=0,9999,VLOOKUP(I44,Hraci!$A$1:$I$1500,8,0))</f>
        <v>49</v>
      </c>
      <c r="N44" s="473">
        <f ca="1">IF(N(I44)=0,0,VLOOKUP(I44,Hraci!$A$1:$I$1500,9,0))</f>
        <v>28.469000000000001</v>
      </c>
      <c r="O44" s="469" t="str">
        <f t="shared" ca="1" si="25"/>
        <v/>
      </c>
      <c r="P44" s="470" t="str">
        <f ca="1">IF(N(O44)&gt;0,VLOOKUP(O44,Hraci!$A$1:$I$1500,2,0),IF(TYPE(INDIRECT(ADDRESS(ROW() + $A$9-8 + (ROW()-11)*4,2,1,1,"Internet")))&gt;1,INDIRECT(ADDRESS(ROW() + $A$9-8 + (ROW()-11)*4,2,1,1,"Internet"))," "))</f>
        <v xml:space="preserve"> </v>
      </c>
      <c r="Q44" s="471" t="str">
        <f ca="1">IF(N(O44)&gt;0,VLOOKUP(O44,Hraci!$A$1:$I$1500,3,0)," ")</f>
        <v xml:space="preserve"> </v>
      </c>
      <c r="R44" s="471" t="str">
        <f ca="1">IF(N(O44)&gt;0,VLOOKUP(O44,Hraci!$A$1:$I$1500,5,0),IF(TYPE(INDIRECT(ADDRESS(ROW() + $A$9-8 + (ROW()-11)*4,3,1,1,"Internet")))&gt;1,INDIRECT(ADDRESS(ROW() + $A$9-8 + (ROW()-11)*4,3,1,1,"Internet"))," "))</f>
        <v xml:space="preserve"> </v>
      </c>
      <c r="S44" s="472">
        <f ca="1">IF(N(O44)=0,9999,VLOOKUP(O44,Hraci!$A$1:$I$1500,8,0))</f>
        <v>9999</v>
      </c>
      <c r="T44" s="473">
        <f ca="1">IF(N(O44)=0,0,VLOOKUP(O44,Hraci!$A$1:$I$1500,9,0))</f>
        <v>0</v>
      </c>
      <c r="U44" s="469" t="str">
        <f t="shared" ca="1" si="26"/>
        <v/>
      </c>
      <c r="V44" s="470" t="str">
        <f ca="1">IF(N(U44)&gt;0,VLOOKUP(U44,Hraci!$A$1:$I$1500,2,0),IF(TYPE(INDIRECT(ADDRESS(ROW() + $A$9-7 + (ROW()-11)*4,2,1,1,"Internet")))&gt;1,INDIRECT(ADDRESS(ROW() + $A$9-7 + (ROW()-11)*4,2,1,1,"Internet"))," "))</f>
        <v xml:space="preserve"> </v>
      </c>
      <c r="W44" s="471" t="str">
        <f ca="1">IF(N(U44)&gt;0,VLOOKUP(U44,Hraci!$A$1:$I$1500,3,0)," ")</f>
        <v xml:space="preserve"> </v>
      </c>
      <c r="X44" s="471" t="str">
        <f ca="1">IF(N(U44)&gt;0,VLOOKUP(U44,Hraci!$A$1:$I$1500,5,0),IF(TYPE(INDIRECT(ADDRESS(ROW() + $A$9-7 + (ROW()-11)*4,3,1,1,"Internet")))&gt;1,INDIRECT(ADDRESS(ROW() + $A$9-7 + (ROW()-11)*4,3,1,1,"Internet"))," "))</f>
        <v xml:space="preserve"> </v>
      </c>
      <c r="Y44" s="472">
        <f ca="1">IF(N(U44)=0,9999,VLOOKUP(U44,Hraci!$A$1:$I$1500,8,0))</f>
        <v>9999</v>
      </c>
      <c r="Z44" s="473">
        <f ca="1">IF(N(U44)=0,0,VLOOKUP(U44,Hraci!$A$1:$I$1500,9,0))</f>
        <v>0</v>
      </c>
      <c r="AA44" s="469" t="str">
        <f t="shared" ca="1" si="27"/>
        <v/>
      </c>
      <c r="AB44" s="470" t="str">
        <f ca="1">IF(N(AA44)&gt;0,VLOOKUP(AA44,Hraci!$A$1:$I$1500,2,0)," ")</f>
        <v xml:space="preserve"> </v>
      </c>
      <c r="AC44" s="471" t="str">
        <f ca="1">IF(N(AA44)&gt;0,VLOOKUP(AA44,Hraci!$A$1:$I$1500,3,0)," ")</f>
        <v xml:space="preserve"> </v>
      </c>
      <c r="AD44" s="471" t="str">
        <f ca="1">IF(N(AA44)&gt;0,VLOOKUP(AA44,Hraci!$A$1:$I$1500,5,0)," ")</f>
        <v xml:space="preserve"> </v>
      </c>
      <c r="AE44" s="472">
        <f ca="1">IF(N(AA44)=0,9999,VLOOKUP(AA44,Hraci!$A$1:$I$1500,8,0))</f>
        <v>9999</v>
      </c>
      <c r="AF44" s="473">
        <f ca="1">IF(N(AA44)=0,0,VLOOKUP(AA44,Hraci!$A$1:$I$1500,9,0))</f>
        <v>0</v>
      </c>
      <c r="AG44" s="474"/>
      <c r="AH44" s="480">
        <v>129</v>
      </c>
      <c r="AI44" s="475">
        <f ca="1">IF(N($AH44)&gt;0,VLOOKUP($AH44,Body!$A$4:$F$259,5,0),"")</f>
        <v>553.40650000000005</v>
      </c>
      <c r="AJ44" s="476">
        <f ca="1">IF(N($AH44)&gt;0,VLOOKUP($AH44,Body!$A$4:$F$259,6,0),"")</f>
        <v>200</v>
      </c>
      <c r="AK44" s="475">
        <f ca="1">IF(N($AH44)&gt;0,VLOOKUP($AH44,Body!$A$4:$F$259,2,0),"")</f>
        <v>8</v>
      </c>
      <c r="AL44" s="477" t="str">
        <f t="shared" ca="1" si="28"/>
        <v>34 UBU Únětice - Tomášková Dana</v>
      </c>
      <c r="AM44" s="478">
        <f t="shared" ca="1" si="29"/>
        <v>28.469000000000001</v>
      </c>
      <c r="AN44" s="408">
        <f ca="1">IF(OR(TYPE(I44)&gt;1,TYPE(MATCH(I44,I45:I$267,0))&gt;1),0,MATCH(I44,I45:I$267,0))+IF(OR(TYPE(I44)&gt;1,TYPE(MATCH(I44,O$11:O$267,0))&gt;1),0,MATCH(I44,O$11:O$267,0))+IF(OR(TYPE(I44)&gt;1,TYPE(MATCH(I44,U$11:U$267,0))&gt;1),0,MATCH(I44,U$11:U$267,0))+IF(OR(TYPE(I44)&gt;1,TYPE(MATCH(I44,AA$11:AA$267,0))&gt;1),0,MATCH(I44,AA$11:AA$267,0))</f>
        <v>0</v>
      </c>
      <c r="AO44" s="408">
        <f ca="1">IF(OR(TYPE(O44)&gt;1,TYPE(MATCH(O44,I$11:I$267,0))&gt;1),0,MATCH(O44,I$11:I$267,0))+IF(OR(TYPE(O44)&gt;1,TYPE(MATCH(O44,O45:O$267,0))&gt;1),0,MATCH(O44,O45:O$267,0))+IF(OR(TYPE(O44)&gt;1,TYPE(MATCH(O44,U$11:U$267,0))&gt;1),0,MATCH(O44,U$11:U$267,0))+IF(OR(TYPE(O44)&gt;1,TYPE(MATCH(O44,AA$11:AA$267,0))&gt;1),0,MATCH(O44,AA$11:AA$267,0))</f>
        <v>0</v>
      </c>
      <c r="AP44" s="408">
        <f ca="1">IF(OR(TYPE(U44)&gt;1,TYPE(MATCH(U44,I$11:I$267,0))&gt;1),0,MATCH(U44,I$11:I$267,0))+IF(OR(TYPE(U44)&gt;1,TYPE(MATCH(U44,O$11:O$267,0))&gt;1),0,MATCH(U44,O$11:O$267,0))+IF(OR(TYPE(U44)&gt;1,TYPE(MATCH(U44,U45:U$267,0))&gt;1),0,MATCH(U44,U45:U$267,0))+IF(OR(TYPE(U44)&gt;1,TYPE(MATCH(U44,AA$11:AA$267,0))&gt;1),0,MATCH(U44,AA$11:AA$267,0))</f>
        <v>0</v>
      </c>
      <c r="AQ44" s="408">
        <f ca="1">IF(OR(TYPE(AA44)&gt;1,TYPE(MATCH(AA44,I$11:I$267,0))&gt;1),0,MATCH(AA44,I$11:I$267,0))+IF(OR(TYPE(AA44)&gt;1,TYPE(MATCH(AA44,O$11:O$267,0))&gt;1),0,MATCH(AA44,O$11:O$267,0))+IF(OR(TYPE(AA44)&gt;1,TYPE(MATCH(AA44,U$11:U$267,0))&gt;1),0,MATCH(U44,U$11:U$267,0))+IF(OR(TYPE(AA44)&gt;1,TYPE(MATCH(AA44,AA45:AA$267,0))&gt;1),0,MATCH(AA44,AA45:AA$267,0))</f>
        <v>0</v>
      </c>
      <c r="AR44" s="408">
        <f t="shared" ca="1" si="14"/>
        <v>0</v>
      </c>
      <c r="BF44" s="408">
        <f t="shared" si="15"/>
        <v>34</v>
      </c>
    </row>
    <row r="45" spans="1:58" ht="14.25">
      <c r="A45" s="430">
        <f t="shared" ca="1" si="16"/>
        <v>1</v>
      </c>
      <c r="B45" s="430">
        <f t="shared" ca="1" si="17"/>
        <v>1</v>
      </c>
      <c r="C45" s="430">
        <f t="shared" ca="1" si="18"/>
        <v>28.437999999999999</v>
      </c>
      <c r="D45" s="430">
        <f t="shared" ca="1" si="19"/>
        <v>20072</v>
      </c>
      <c r="E45" s="430">
        <f t="shared" ca="1" si="20"/>
        <v>74</v>
      </c>
      <c r="F45" s="431" t="str">
        <f t="shared" ca="1" si="21"/>
        <v>91028438979927999925103513</v>
      </c>
      <c r="G45" s="467" t="b">
        <f t="shared" ca="1" si="22"/>
        <v>0</v>
      </c>
      <c r="H45" s="468">
        <f t="shared" si="23"/>
        <v>35</v>
      </c>
      <c r="I45" s="469">
        <f t="shared" ca="1" si="24"/>
        <v>99510</v>
      </c>
      <c r="J45" s="470" t="str">
        <f ca="1">IF(N(I45)&gt;0,VLOOKUP(I45,Hraci!$A$1:$I$1500,2,0),IF(TYPE(INDIRECT(ADDRESS(ROW() + $A$9-9 + (ROW()-11)*4,2,1,1,"Internet")))&gt;1,INDIRECT(ADDRESS(ROW() + $A$9-9 + (ROW()-11)*4,2,1,1,"Internet"))," "))</f>
        <v>Demčík</v>
      </c>
      <c r="K45" s="471" t="str">
        <f ca="1">IF(N(I45)&gt;0,VLOOKUP(I45,Hraci!$A$1:$I$1500,3,0)," ")</f>
        <v>Milan St.</v>
      </c>
      <c r="L45" s="471" t="str">
        <f ca="1">IF(N(I45)&gt;0,VLOOKUP(I45,Hraci!$A$1:$I$1500,5,0),IF(TYPE(INDIRECT(ADDRESS(ROW() + $A$9-9 + (ROW()-11)*4,3,1,1,"Internet")))&gt;1,INDIRECT(ADDRESS(ROW() + $A$9-9 + (ROW()-11)*4,3,1,1,"Internet"))," "))</f>
        <v>SK Sahara Vědomice</v>
      </c>
      <c r="M45" s="472">
        <f ca="1">IF(N(I45)=0,9999,VLOOKUP(I45,Hraci!$A$1:$I$1500,8,0))</f>
        <v>74</v>
      </c>
      <c r="N45" s="473">
        <f ca="1">IF(N(I45)=0,0,VLOOKUP(I45,Hraci!$A$1:$I$1500,9,0))</f>
        <v>28.437999999999999</v>
      </c>
      <c r="O45" s="469" t="str">
        <f t="shared" ca="1" si="25"/>
        <v/>
      </c>
      <c r="P45" s="470" t="str">
        <f ca="1">IF(N(O45)&gt;0,VLOOKUP(O45,Hraci!$A$1:$I$1500,2,0),IF(TYPE(INDIRECT(ADDRESS(ROW() + $A$9-8 + (ROW()-11)*4,2,1,1,"Internet")))&gt;1,INDIRECT(ADDRESS(ROW() + $A$9-8 + (ROW()-11)*4,2,1,1,"Internet"))," "))</f>
        <v xml:space="preserve"> </v>
      </c>
      <c r="Q45" s="471" t="str">
        <f ca="1">IF(N(O45)&gt;0,VLOOKUP(O45,Hraci!$A$1:$I$1500,3,0)," ")</f>
        <v xml:space="preserve"> </v>
      </c>
      <c r="R45" s="471" t="str">
        <f ca="1">IF(N(O45)&gt;0,VLOOKUP(O45,Hraci!$A$1:$I$1500,5,0),IF(TYPE(INDIRECT(ADDRESS(ROW() + $A$9-8 + (ROW()-11)*4,3,1,1,"Internet")))&gt;1,INDIRECT(ADDRESS(ROW() + $A$9-8 + (ROW()-11)*4,3,1,1,"Internet"))," "))</f>
        <v xml:space="preserve"> </v>
      </c>
      <c r="S45" s="472">
        <f ca="1">IF(N(O45)=0,9999,VLOOKUP(O45,Hraci!$A$1:$I$1500,8,0))</f>
        <v>9999</v>
      </c>
      <c r="T45" s="473">
        <f ca="1">IF(N(O45)=0,0,VLOOKUP(O45,Hraci!$A$1:$I$1500,9,0))</f>
        <v>0</v>
      </c>
      <c r="U45" s="469" t="str">
        <f t="shared" ca="1" si="26"/>
        <v/>
      </c>
      <c r="V45" s="470" t="str">
        <f ca="1">IF(N(U45)&gt;0,VLOOKUP(U45,Hraci!$A$1:$I$1500,2,0),IF(TYPE(INDIRECT(ADDRESS(ROW() + $A$9-7 + (ROW()-11)*4,2,1,1,"Internet")))&gt;1,INDIRECT(ADDRESS(ROW() + $A$9-7 + (ROW()-11)*4,2,1,1,"Internet"))," "))</f>
        <v xml:space="preserve"> </v>
      </c>
      <c r="W45" s="471" t="str">
        <f ca="1">IF(N(U45)&gt;0,VLOOKUP(U45,Hraci!$A$1:$I$1500,3,0)," ")</f>
        <v xml:space="preserve"> </v>
      </c>
      <c r="X45" s="471" t="str">
        <f ca="1">IF(N(U45)&gt;0,VLOOKUP(U45,Hraci!$A$1:$I$1500,5,0),IF(TYPE(INDIRECT(ADDRESS(ROW() + $A$9-7 + (ROW()-11)*4,3,1,1,"Internet")))&gt;1,INDIRECT(ADDRESS(ROW() + $A$9-7 + (ROW()-11)*4,3,1,1,"Internet"))," "))</f>
        <v xml:space="preserve"> </v>
      </c>
      <c r="Y45" s="472">
        <f ca="1">IF(N(U45)=0,9999,VLOOKUP(U45,Hraci!$A$1:$I$1500,8,0))</f>
        <v>9999</v>
      </c>
      <c r="Z45" s="473">
        <f ca="1">IF(N(U45)=0,0,VLOOKUP(U45,Hraci!$A$1:$I$1500,9,0))</f>
        <v>0</v>
      </c>
      <c r="AA45" s="469" t="str">
        <f t="shared" ca="1" si="27"/>
        <v/>
      </c>
      <c r="AB45" s="470" t="str">
        <f ca="1">IF(N(AA45)&gt;0,VLOOKUP(AA45,Hraci!$A$1:$I$1500,2,0)," ")</f>
        <v xml:space="preserve"> </v>
      </c>
      <c r="AC45" s="471" t="str">
        <f ca="1">IF(N(AA45)&gt;0,VLOOKUP(AA45,Hraci!$A$1:$I$1500,3,0)," ")</f>
        <v xml:space="preserve"> </v>
      </c>
      <c r="AD45" s="471" t="str">
        <f ca="1">IF(N(AA45)&gt;0,VLOOKUP(AA45,Hraci!$A$1:$I$1500,5,0)," ")</f>
        <v xml:space="preserve"> </v>
      </c>
      <c r="AE45" s="472">
        <f ca="1">IF(N(AA45)=0,9999,VLOOKUP(AA45,Hraci!$A$1:$I$1500,8,0))</f>
        <v>9999</v>
      </c>
      <c r="AF45" s="473">
        <f ca="1">IF(N(AA45)=0,0,VLOOKUP(AA45,Hraci!$A$1:$I$1500,9,0))</f>
        <v>0</v>
      </c>
      <c r="AG45" s="474"/>
      <c r="AH45" s="480">
        <v>86</v>
      </c>
      <c r="AI45" s="475">
        <f ca="1">IF(N($AH45)&gt;0,VLOOKUP($AH45,Body!$A$4:$F$259,5,0),"")</f>
        <v>553.40650000000005</v>
      </c>
      <c r="AJ45" s="476">
        <f ca="1">IF(N($AH45)&gt;0,VLOOKUP($AH45,Body!$A$4:$F$259,6,0),"")</f>
        <v>200</v>
      </c>
      <c r="AK45" s="475">
        <f ca="1">IF(N($AH45)&gt;0,VLOOKUP($AH45,Body!$A$4:$F$259,2,0),"")</f>
        <v>8</v>
      </c>
      <c r="AL45" s="477" t="str">
        <f t="shared" ca="1" si="28"/>
        <v>35 SK Sahara Vědomice - Demčík Milan St.</v>
      </c>
      <c r="AM45" s="478">
        <f t="shared" ca="1" si="29"/>
        <v>28.437999999999999</v>
      </c>
      <c r="AN45" s="408">
        <f ca="1">IF(OR(TYPE(I45)&gt;1,TYPE(MATCH(I45,I46:I$267,0))&gt;1),0,MATCH(I45,I46:I$267,0))+IF(OR(TYPE(I45)&gt;1,TYPE(MATCH(I45,O$11:O$267,0))&gt;1),0,MATCH(I45,O$11:O$267,0))+IF(OR(TYPE(I45)&gt;1,TYPE(MATCH(I45,U$11:U$267,0))&gt;1),0,MATCH(I45,U$11:U$267,0))+IF(OR(TYPE(I45)&gt;1,TYPE(MATCH(I45,AA$11:AA$267,0))&gt;1),0,MATCH(I45,AA$11:AA$267,0))</f>
        <v>0</v>
      </c>
      <c r="AO45" s="408">
        <f ca="1">IF(OR(TYPE(O45)&gt;1,TYPE(MATCH(O45,I$11:I$267,0))&gt;1),0,MATCH(O45,I$11:I$267,0))+IF(OR(TYPE(O45)&gt;1,TYPE(MATCH(O45,O46:O$267,0))&gt;1),0,MATCH(O45,O46:O$267,0))+IF(OR(TYPE(O45)&gt;1,TYPE(MATCH(O45,U$11:U$267,0))&gt;1),0,MATCH(O45,U$11:U$267,0))+IF(OR(TYPE(O45)&gt;1,TYPE(MATCH(O45,AA$11:AA$267,0))&gt;1),0,MATCH(O45,AA$11:AA$267,0))</f>
        <v>0</v>
      </c>
      <c r="AP45" s="408">
        <f ca="1">IF(OR(TYPE(U45)&gt;1,TYPE(MATCH(U45,I$11:I$267,0))&gt;1),0,MATCH(U45,I$11:I$267,0))+IF(OR(TYPE(U45)&gt;1,TYPE(MATCH(U45,O$11:O$267,0))&gt;1),0,MATCH(U45,O$11:O$267,0))+IF(OR(TYPE(U45)&gt;1,TYPE(MATCH(U45,U46:U$267,0))&gt;1),0,MATCH(U45,U46:U$267,0))+IF(OR(TYPE(U45)&gt;1,TYPE(MATCH(U45,AA$11:AA$267,0))&gt;1),0,MATCH(U45,AA$11:AA$267,0))</f>
        <v>0</v>
      </c>
      <c r="AQ45" s="408">
        <f ca="1">IF(OR(TYPE(AA45)&gt;1,TYPE(MATCH(AA45,I$11:I$267,0))&gt;1),0,MATCH(AA45,I$11:I$267,0))+IF(OR(TYPE(AA45)&gt;1,TYPE(MATCH(AA45,O$11:O$267,0))&gt;1),0,MATCH(AA45,O$11:O$267,0))+IF(OR(TYPE(AA45)&gt;1,TYPE(MATCH(AA45,U$11:U$267,0))&gt;1),0,MATCH(U45,U$11:U$267,0))+IF(OR(TYPE(AA45)&gt;1,TYPE(MATCH(AA45,AA46:AA$267,0))&gt;1),0,MATCH(AA45,AA46:AA$267,0))</f>
        <v>0</v>
      </c>
      <c r="AR45" s="408">
        <f t="shared" ca="1" si="14"/>
        <v>0</v>
      </c>
      <c r="BF45" s="408">
        <f t="shared" si="15"/>
        <v>35</v>
      </c>
    </row>
    <row r="46" spans="1:58" ht="14.25">
      <c r="A46" s="430">
        <f t="shared" ca="1" si="16"/>
        <v>1</v>
      </c>
      <c r="B46" s="430">
        <f t="shared" ca="1" si="17"/>
        <v>1</v>
      </c>
      <c r="C46" s="430">
        <f t="shared" ca="1" si="18"/>
        <v>28.312999999999999</v>
      </c>
      <c r="D46" s="430">
        <f t="shared" ca="1" si="19"/>
        <v>20041</v>
      </c>
      <c r="E46" s="430">
        <f t="shared" ca="1" si="20"/>
        <v>43</v>
      </c>
      <c r="F46" s="431" t="str">
        <f t="shared" ca="1" si="21"/>
        <v>91028313979958999956952153</v>
      </c>
      <c r="G46" s="467" t="b">
        <f t="shared" ca="1" si="22"/>
        <v>0</v>
      </c>
      <c r="H46" s="468">
        <f t="shared" si="23"/>
        <v>36</v>
      </c>
      <c r="I46" s="469">
        <f t="shared" ca="1" si="24"/>
        <v>99555</v>
      </c>
      <c r="J46" s="470" t="str">
        <f ca="1">IF(N(I46)&gt;0,VLOOKUP(I46,Hraci!$A$1:$I$1500,2,0),IF(TYPE(INDIRECT(ADDRESS(ROW() + $A$9-9 + (ROW()-11)*4,2,1,1,"Internet")))&gt;1,INDIRECT(ADDRESS(ROW() + $A$9-9 + (ROW()-11)*4,2,1,1,"Internet"))," "))</f>
        <v>Pírek</v>
      </c>
      <c r="K46" s="471" t="str">
        <f ca="1">IF(N(I46)&gt;0,VLOOKUP(I46,Hraci!$A$1:$I$1500,3,0)," ")</f>
        <v>Martin</v>
      </c>
      <c r="L46" s="471" t="str">
        <f ca="1">IF(N(I46)&gt;0,VLOOKUP(I46,Hraci!$A$1:$I$1500,5,0),IF(TYPE(INDIRECT(ADDRESS(ROW() + $A$9-9 + (ROW()-11)*4,3,1,1,"Internet")))&gt;1,INDIRECT(ADDRESS(ROW() + $A$9-9 + (ROW()-11)*4,3,1,1,"Internet"))," "))</f>
        <v>HRODE KRUMSÍN</v>
      </c>
      <c r="M46" s="472">
        <f ca="1">IF(N(I46)=0,9999,VLOOKUP(I46,Hraci!$A$1:$I$1500,8,0))</f>
        <v>43</v>
      </c>
      <c r="N46" s="473">
        <f ca="1">IF(N(I46)=0,0,VLOOKUP(I46,Hraci!$A$1:$I$1500,9,0))</f>
        <v>28.312999999999999</v>
      </c>
      <c r="O46" s="469" t="str">
        <f t="shared" ca="1" si="25"/>
        <v/>
      </c>
      <c r="P46" s="470" t="str">
        <f ca="1">IF(N(O46)&gt;0,VLOOKUP(O46,Hraci!$A$1:$I$1500,2,0),IF(TYPE(INDIRECT(ADDRESS(ROW() + $A$9-8 + (ROW()-11)*4,2,1,1,"Internet")))&gt;1,INDIRECT(ADDRESS(ROW() + $A$9-8 + (ROW()-11)*4,2,1,1,"Internet"))," "))</f>
        <v xml:space="preserve"> </v>
      </c>
      <c r="Q46" s="471" t="str">
        <f ca="1">IF(N(O46)&gt;0,VLOOKUP(O46,Hraci!$A$1:$I$1500,3,0)," ")</f>
        <v xml:space="preserve"> </v>
      </c>
      <c r="R46" s="471" t="str">
        <f ca="1">IF(N(O46)&gt;0,VLOOKUP(O46,Hraci!$A$1:$I$1500,5,0),IF(TYPE(INDIRECT(ADDRESS(ROW() + $A$9-8 + (ROW()-11)*4,3,1,1,"Internet")))&gt;1,INDIRECT(ADDRESS(ROW() + $A$9-8 + (ROW()-11)*4,3,1,1,"Internet"))," "))</f>
        <v xml:space="preserve"> </v>
      </c>
      <c r="S46" s="472">
        <f ca="1">IF(N(O46)=0,9999,VLOOKUP(O46,Hraci!$A$1:$I$1500,8,0))</f>
        <v>9999</v>
      </c>
      <c r="T46" s="473">
        <f ca="1">IF(N(O46)=0,0,VLOOKUP(O46,Hraci!$A$1:$I$1500,9,0))</f>
        <v>0</v>
      </c>
      <c r="U46" s="469" t="str">
        <f t="shared" ca="1" si="26"/>
        <v/>
      </c>
      <c r="V46" s="470" t="str">
        <f ca="1">IF(N(U46)&gt;0,VLOOKUP(U46,Hraci!$A$1:$I$1500,2,0),IF(TYPE(INDIRECT(ADDRESS(ROW() + $A$9-7 + (ROW()-11)*4,2,1,1,"Internet")))&gt;1,INDIRECT(ADDRESS(ROW() + $A$9-7 + (ROW()-11)*4,2,1,1,"Internet"))," "))</f>
        <v xml:space="preserve"> </v>
      </c>
      <c r="W46" s="471" t="str">
        <f ca="1">IF(N(U46)&gt;0,VLOOKUP(U46,Hraci!$A$1:$I$1500,3,0)," ")</f>
        <v xml:space="preserve"> </v>
      </c>
      <c r="X46" s="471" t="str">
        <f ca="1">IF(N(U46)&gt;0,VLOOKUP(U46,Hraci!$A$1:$I$1500,5,0),IF(TYPE(INDIRECT(ADDRESS(ROW() + $A$9-7 + (ROW()-11)*4,3,1,1,"Internet")))&gt;1,INDIRECT(ADDRESS(ROW() + $A$9-7 + (ROW()-11)*4,3,1,1,"Internet"))," "))</f>
        <v xml:space="preserve"> </v>
      </c>
      <c r="Y46" s="472">
        <f ca="1">IF(N(U46)=0,9999,VLOOKUP(U46,Hraci!$A$1:$I$1500,8,0))</f>
        <v>9999</v>
      </c>
      <c r="Z46" s="473">
        <f ca="1">IF(N(U46)=0,0,VLOOKUP(U46,Hraci!$A$1:$I$1500,9,0))</f>
        <v>0</v>
      </c>
      <c r="AA46" s="469" t="str">
        <f t="shared" ca="1" si="27"/>
        <v/>
      </c>
      <c r="AB46" s="470" t="str">
        <f ca="1">IF(N(AA46)&gt;0,VLOOKUP(AA46,Hraci!$A$1:$I$1500,2,0)," ")</f>
        <v xml:space="preserve"> </v>
      </c>
      <c r="AC46" s="471" t="str">
        <f ca="1">IF(N(AA46)&gt;0,VLOOKUP(AA46,Hraci!$A$1:$I$1500,3,0)," ")</f>
        <v xml:space="preserve"> </v>
      </c>
      <c r="AD46" s="471" t="str">
        <f ca="1">IF(N(AA46)&gt;0,VLOOKUP(AA46,Hraci!$A$1:$I$1500,5,0)," ")</f>
        <v xml:space="preserve"> </v>
      </c>
      <c r="AE46" s="472">
        <f ca="1">IF(N(AA46)=0,9999,VLOOKUP(AA46,Hraci!$A$1:$I$1500,8,0))</f>
        <v>9999</v>
      </c>
      <c r="AF46" s="473">
        <f ca="1">IF(N(AA46)=0,0,VLOOKUP(AA46,Hraci!$A$1:$I$1500,9,0))</f>
        <v>0</v>
      </c>
      <c r="AG46" s="474"/>
      <c r="AH46" s="480">
        <v>86</v>
      </c>
      <c r="AI46" s="475">
        <f ca="1">IF(N($AH46)&gt;0,VLOOKUP($AH46,Body!$A$4:$F$259,5,0),"")</f>
        <v>553.40650000000005</v>
      </c>
      <c r="AJ46" s="476">
        <f ca="1">IF(N($AH46)&gt;0,VLOOKUP($AH46,Body!$A$4:$F$259,6,0),"")</f>
        <v>200</v>
      </c>
      <c r="AK46" s="475">
        <f ca="1">IF(N($AH46)&gt;0,VLOOKUP($AH46,Body!$A$4:$F$259,2,0),"")</f>
        <v>8</v>
      </c>
      <c r="AL46" s="477" t="str">
        <f t="shared" ca="1" si="28"/>
        <v>36 HRODE KRUMSÍN - Pírek Martin</v>
      </c>
      <c r="AM46" s="478">
        <f t="shared" ca="1" si="29"/>
        <v>28.312999999999999</v>
      </c>
      <c r="AN46" s="408">
        <f ca="1">IF(OR(TYPE(I46)&gt;1,TYPE(MATCH(I46,I47:I$267,0))&gt;1),0,MATCH(I46,I47:I$267,0))+IF(OR(TYPE(I46)&gt;1,TYPE(MATCH(I46,O$11:O$267,0))&gt;1),0,MATCH(I46,O$11:O$267,0))+IF(OR(TYPE(I46)&gt;1,TYPE(MATCH(I46,U$11:U$267,0))&gt;1),0,MATCH(I46,U$11:U$267,0))+IF(OR(TYPE(I46)&gt;1,TYPE(MATCH(I46,AA$11:AA$267,0))&gt;1),0,MATCH(I46,AA$11:AA$267,0))</f>
        <v>0</v>
      </c>
      <c r="AO46" s="408">
        <f ca="1">IF(OR(TYPE(O46)&gt;1,TYPE(MATCH(O46,I$11:I$267,0))&gt;1),0,MATCH(O46,I$11:I$267,0))+IF(OR(TYPE(O46)&gt;1,TYPE(MATCH(O46,O47:O$267,0))&gt;1),0,MATCH(O46,O47:O$267,0))+IF(OR(TYPE(O46)&gt;1,TYPE(MATCH(O46,U$11:U$267,0))&gt;1),0,MATCH(O46,U$11:U$267,0))+IF(OR(TYPE(O46)&gt;1,TYPE(MATCH(O46,AA$11:AA$267,0))&gt;1),0,MATCH(O46,AA$11:AA$267,0))</f>
        <v>0</v>
      </c>
      <c r="AP46" s="408">
        <f ca="1">IF(OR(TYPE(U46)&gt;1,TYPE(MATCH(U46,I$11:I$267,0))&gt;1),0,MATCH(U46,I$11:I$267,0))+IF(OR(TYPE(U46)&gt;1,TYPE(MATCH(U46,O$11:O$267,0))&gt;1),0,MATCH(U46,O$11:O$267,0))+IF(OR(TYPE(U46)&gt;1,TYPE(MATCH(U46,U47:U$267,0))&gt;1),0,MATCH(U46,U47:U$267,0))+IF(OR(TYPE(U46)&gt;1,TYPE(MATCH(U46,AA$11:AA$267,0))&gt;1),0,MATCH(U46,AA$11:AA$267,0))</f>
        <v>0</v>
      </c>
      <c r="AQ46" s="408">
        <f ca="1">IF(OR(TYPE(AA46)&gt;1,TYPE(MATCH(AA46,I$11:I$267,0))&gt;1),0,MATCH(AA46,I$11:I$267,0))+IF(OR(TYPE(AA46)&gt;1,TYPE(MATCH(AA46,O$11:O$267,0))&gt;1),0,MATCH(AA46,O$11:O$267,0))+IF(OR(TYPE(AA46)&gt;1,TYPE(MATCH(AA46,U$11:U$267,0))&gt;1),0,MATCH(U46,U$11:U$267,0))+IF(OR(TYPE(AA46)&gt;1,TYPE(MATCH(AA46,AA47:AA$267,0))&gt;1),0,MATCH(AA46,AA47:AA$267,0))</f>
        <v>0</v>
      </c>
      <c r="AR46" s="408">
        <f t="shared" ca="1" si="14"/>
        <v>0</v>
      </c>
      <c r="BF46" s="408">
        <f t="shared" si="15"/>
        <v>36</v>
      </c>
    </row>
    <row r="47" spans="1:58" ht="14.25">
      <c r="A47" s="430">
        <f t="shared" ca="1" si="16"/>
        <v>1</v>
      </c>
      <c r="B47" s="430">
        <f t="shared" ca="1" si="17"/>
        <v>1</v>
      </c>
      <c r="C47" s="430">
        <f t="shared" ca="1" si="18"/>
        <v>28.189</v>
      </c>
      <c r="D47" s="430">
        <f t="shared" ca="1" si="19"/>
        <v>20045</v>
      </c>
      <c r="E47" s="430">
        <f t="shared" ca="1" si="20"/>
        <v>47</v>
      </c>
      <c r="F47" s="431" t="str">
        <f t="shared" ca="1" si="21"/>
        <v>91028189979954999952147828</v>
      </c>
      <c r="G47" s="467" t="b">
        <f t="shared" ca="1" si="22"/>
        <v>0</v>
      </c>
      <c r="H47" s="468">
        <f t="shared" si="23"/>
        <v>37</v>
      </c>
      <c r="I47" s="469">
        <f t="shared" ca="1" si="24"/>
        <v>26010</v>
      </c>
      <c r="J47" s="470" t="str">
        <f ca="1">IF(N(I47)&gt;0,VLOOKUP(I47,Hraci!$A$1:$I$1500,2,0),IF(TYPE(INDIRECT(ADDRESS(ROW() + $A$9-9 + (ROW()-11)*4,2,1,1,"Internet")))&gt;1,INDIRECT(ADDRESS(ROW() + $A$9-9 + (ROW()-11)*4,2,1,1,"Internet"))," "))</f>
        <v>Řezníček</v>
      </c>
      <c r="K47" s="471" t="str">
        <f ca="1">IF(N(I47)&gt;0,VLOOKUP(I47,Hraci!$A$1:$I$1500,3,0)," ")</f>
        <v>Jiří</v>
      </c>
      <c r="L47" s="471" t="str">
        <f ca="1">IF(N(I47)&gt;0,VLOOKUP(I47,Hraci!$A$1:$I$1500,5,0),IF(TYPE(INDIRECT(ADDRESS(ROW() + $A$9-9 + (ROW()-11)*4,3,1,1,"Internet")))&gt;1,INDIRECT(ADDRESS(ROW() + $A$9-9 + (ROW()-11)*4,3,1,1,"Internet"))," "))</f>
        <v>1. KPK Vrchlabí</v>
      </c>
      <c r="M47" s="472">
        <f ca="1">IF(N(I47)=0,9999,VLOOKUP(I47,Hraci!$A$1:$I$1500,8,0))</f>
        <v>47</v>
      </c>
      <c r="N47" s="473">
        <f ca="1">IF(N(I47)=0,0,VLOOKUP(I47,Hraci!$A$1:$I$1500,9,0))</f>
        <v>28.189</v>
      </c>
      <c r="O47" s="469" t="str">
        <f t="shared" ca="1" si="25"/>
        <v/>
      </c>
      <c r="P47" s="470" t="str">
        <f ca="1">IF(N(O47)&gt;0,VLOOKUP(O47,Hraci!$A$1:$I$1500,2,0),IF(TYPE(INDIRECT(ADDRESS(ROW() + $A$9-8 + (ROW()-11)*4,2,1,1,"Internet")))&gt;1,INDIRECT(ADDRESS(ROW() + $A$9-8 + (ROW()-11)*4,2,1,1,"Internet"))," "))</f>
        <v xml:space="preserve"> </v>
      </c>
      <c r="Q47" s="471" t="str">
        <f ca="1">IF(N(O47)&gt;0,VLOOKUP(O47,Hraci!$A$1:$I$1500,3,0)," ")</f>
        <v xml:space="preserve"> </v>
      </c>
      <c r="R47" s="471" t="str">
        <f ca="1">IF(N(O47)&gt;0,VLOOKUP(O47,Hraci!$A$1:$I$1500,5,0),IF(TYPE(INDIRECT(ADDRESS(ROW() + $A$9-8 + (ROW()-11)*4,3,1,1,"Internet")))&gt;1,INDIRECT(ADDRESS(ROW() + $A$9-8 + (ROW()-11)*4,3,1,1,"Internet"))," "))</f>
        <v xml:space="preserve"> </v>
      </c>
      <c r="S47" s="472">
        <f ca="1">IF(N(O47)=0,9999,VLOOKUP(O47,Hraci!$A$1:$I$1500,8,0))</f>
        <v>9999</v>
      </c>
      <c r="T47" s="473">
        <f ca="1">IF(N(O47)=0,0,VLOOKUP(O47,Hraci!$A$1:$I$1500,9,0))</f>
        <v>0</v>
      </c>
      <c r="U47" s="469" t="str">
        <f t="shared" ca="1" si="26"/>
        <v/>
      </c>
      <c r="V47" s="470" t="str">
        <f ca="1">IF(N(U47)&gt;0,VLOOKUP(U47,Hraci!$A$1:$I$1500,2,0),IF(TYPE(INDIRECT(ADDRESS(ROW() + $A$9-7 + (ROW()-11)*4,2,1,1,"Internet")))&gt;1,INDIRECT(ADDRESS(ROW() + $A$9-7 + (ROW()-11)*4,2,1,1,"Internet"))," "))</f>
        <v xml:space="preserve"> </v>
      </c>
      <c r="W47" s="471" t="str">
        <f ca="1">IF(N(U47)&gt;0,VLOOKUP(U47,Hraci!$A$1:$I$1500,3,0)," ")</f>
        <v xml:space="preserve"> </v>
      </c>
      <c r="X47" s="471" t="str">
        <f ca="1">IF(N(U47)&gt;0,VLOOKUP(U47,Hraci!$A$1:$I$1500,5,0),IF(TYPE(INDIRECT(ADDRESS(ROW() + $A$9-7 + (ROW()-11)*4,3,1,1,"Internet")))&gt;1,INDIRECT(ADDRESS(ROW() + $A$9-7 + (ROW()-11)*4,3,1,1,"Internet"))," "))</f>
        <v xml:space="preserve"> </v>
      </c>
      <c r="Y47" s="472">
        <f ca="1">IF(N(U47)=0,9999,VLOOKUP(U47,Hraci!$A$1:$I$1500,8,0))</f>
        <v>9999</v>
      </c>
      <c r="Z47" s="473">
        <f ca="1">IF(N(U47)=0,0,VLOOKUP(U47,Hraci!$A$1:$I$1500,9,0))</f>
        <v>0</v>
      </c>
      <c r="AA47" s="469" t="str">
        <f t="shared" ca="1" si="27"/>
        <v/>
      </c>
      <c r="AB47" s="470" t="str">
        <f ca="1">IF(N(AA47)&gt;0,VLOOKUP(AA47,Hraci!$A$1:$I$1500,2,0)," ")</f>
        <v xml:space="preserve"> </v>
      </c>
      <c r="AC47" s="471" t="str">
        <f ca="1">IF(N(AA47)&gt;0,VLOOKUP(AA47,Hraci!$A$1:$I$1500,3,0)," ")</f>
        <v xml:space="preserve"> </v>
      </c>
      <c r="AD47" s="471" t="str">
        <f ca="1">IF(N(AA47)&gt;0,VLOOKUP(AA47,Hraci!$A$1:$I$1500,5,0)," ")</f>
        <v xml:space="preserve"> </v>
      </c>
      <c r="AE47" s="472">
        <f ca="1">IF(N(AA47)=0,9999,VLOOKUP(AA47,Hraci!$A$1:$I$1500,8,0))</f>
        <v>9999</v>
      </c>
      <c r="AF47" s="473">
        <f ca="1">IF(N(AA47)=0,0,VLOOKUP(AA47,Hraci!$A$1:$I$1500,9,0))</f>
        <v>0</v>
      </c>
      <c r="AG47" s="474"/>
      <c r="AH47" s="480">
        <v>32</v>
      </c>
      <c r="AI47" s="475">
        <f ca="1">IF(N($AH47)&gt;0,VLOOKUP($AH47,Body!$A$4:$F$259,5,0),"")</f>
        <v>332.52743750000002</v>
      </c>
      <c r="AJ47" s="476">
        <f ca="1">IF(N($AH47)&gt;0,VLOOKUP($AH47,Body!$A$4:$F$259,6,0),"")</f>
        <v>200</v>
      </c>
      <c r="AK47" s="475">
        <f ca="1">IF(N($AH47)&gt;0,VLOOKUP($AH47,Body!$A$4:$F$259,2,0),"")</f>
        <v>3</v>
      </c>
      <c r="AL47" s="477" t="str">
        <f t="shared" ca="1" si="28"/>
        <v>37 1. KPK Vrchlabí - Řezníček Jiří</v>
      </c>
      <c r="AM47" s="478">
        <f t="shared" ca="1" si="29"/>
        <v>28.189</v>
      </c>
      <c r="AN47" s="408">
        <f ca="1">IF(OR(TYPE(I47)&gt;1,TYPE(MATCH(I47,I48:I$267,0))&gt;1),0,MATCH(I47,I48:I$267,0))+IF(OR(TYPE(I47)&gt;1,TYPE(MATCH(I47,O$11:O$267,0))&gt;1),0,MATCH(I47,O$11:O$267,0))+IF(OR(TYPE(I47)&gt;1,TYPE(MATCH(I47,U$11:U$267,0))&gt;1),0,MATCH(I47,U$11:U$267,0))+IF(OR(TYPE(I47)&gt;1,TYPE(MATCH(I47,AA$11:AA$267,0))&gt;1),0,MATCH(I47,AA$11:AA$267,0))</f>
        <v>0</v>
      </c>
      <c r="AO47" s="408">
        <f ca="1">IF(OR(TYPE(O47)&gt;1,TYPE(MATCH(O47,I$11:I$267,0))&gt;1),0,MATCH(O47,I$11:I$267,0))+IF(OR(TYPE(O47)&gt;1,TYPE(MATCH(O47,O48:O$267,0))&gt;1),0,MATCH(O47,O48:O$267,0))+IF(OR(TYPE(O47)&gt;1,TYPE(MATCH(O47,U$11:U$267,0))&gt;1),0,MATCH(O47,U$11:U$267,0))+IF(OR(TYPE(O47)&gt;1,TYPE(MATCH(O47,AA$11:AA$267,0))&gt;1),0,MATCH(O47,AA$11:AA$267,0))</f>
        <v>0</v>
      </c>
      <c r="AP47" s="408">
        <f ca="1">IF(OR(TYPE(U47)&gt;1,TYPE(MATCH(U47,I$11:I$267,0))&gt;1),0,MATCH(U47,I$11:I$267,0))+IF(OR(TYPE(U47)&gt;1,TYPE(MATCH(U47,O$11:O$267,0))&gt;1),0,MATCH(U47,O$11:O$267,0))+IF(OR(TYPE(U47)&gt;1,TYPE(MATCH(U47,U48:U$267,0))&gt;1),0,MATCH(U47,U48:U$267,0))+IF(OR(TYPE(U47)&gt;1,TYPE(MATCH(U47,AA$11:AA$267,0))&gt;1),0,MATCH(U47,AA$11:AA$267,0))</f>
        <v>0</v>
      </c>
      <c r="AQ47" s="408">
        <f ca="1">IF(OR(TYPE(AA47)&gt;1,TYPE(MATCH(AA47,I$11:I$267,0))&gt;1),0,MATCH(AA47,I$11:I$267,0))+IF(OR(TYPE(AA47)&gt;1,TYPE(MATCH(AA47,O$11:O$267,0))&gt;1),0,MATCH(AA47,O$11:O$267,0))+IF(OR(TYPE(AA47)&gt;1,TYPE(MATCH(AA47,U$11:U$267,0))&gt;1),0,MATCH(U47,U$11:U$267,0))+IF(OR(TYPE(AA47)&gt;1,TYPE(MATCH(AA47,AA48:AA$267,0))&gt;1),0,MATCH(AA47,AA48:AA$267,0))</f>
        <v>0</v>
      </c>
      <c r="AR47" s="408">
        <f t="shared" ca="1" si="14"/>
        <v>0</v>
      </c>
      <c r="BF47" s="408">
        <f t="shared" si="15"/>
        <v>37</v>
      </c>
    </row>
    <row r="48" spans="1:58" ht="14.25">
      <c r="A48" s="430">
        <f t="shared" ca="1" si="16"/>
        <v>1</v>
      </c>
      <c r="B48" s="430">
        <f t="shared" ca="1" si="17"/>
        <v>1</v>
      </c>
      <c r="C48" s="430">
        <f t="shared" ca="1" si="18"/>
        <v>27.875</v>
      </c>
      <c r="D48" s="430">
        <f t="shared" ca="1" si="19"/>
        <v>20132</v>
      </c>
      <c r="E48" s="430">
        <f t="shared" ca="1" si="20"/>
        <v>134</v>
      </c>
      <c r="F48" s="431" t="str">
        <f t="shared" ca="1" si="21"/>
        <v>91027875979867999865186559</v>
      </c>
      <c r="G48" s="467" t="b">
        <f t="shared" ca="1" si="22"/>
        <v>0</v>
      </c>
      <c r="H48" s="468">
        <f t="shared" si="23"/>
        <v>38</v>
      </c>
      <c r="I48" s="469">
        <f t="shared" ca="1" si="24"/>
        <v>26043</v>
      </c>
      <c r="J48" s="470" t="str">
        <f ca="1">IF(N(I48)&gt;0,VLOOKUP(I48,Hraci!$A$1:$I$1500,2,0),IF(TYPE(INDIRECT(ADDRESS(ROW() + $A$9-9 + (ROW()-11)*4,2,1,1,"Internet")))&gt;1,INDIRECT(ADDRESS(ROW() + $A$9-9 + (ROW()-11)*4,2,1,1,"Internet"))," "))</f>
        <v>Král</v>
      </c>
      <c r="K48" s="471" t="str">
        <f ca="1">IF(N(I48)&gt;0,VLOOKUP(I48,Hraci!$A$1:$I$1500,3,0)," ")</f>
        <v>Pavel</v>
      </c>
      <c r="L48" s="471" t="str">
        <f ca="1">IF(N(I48)&gt;0,VLOOKUP(I48,Hraci!$A$1:$I$1500,5,0),IF(TYPE(INDIRECT(ADDRESS(ROW() + $A$9-9 + (ROW()-11)*4,3,1,1,"Internet")))&gt;1,INDIRECT(ADDRESS(ROW() + $A$9-9 + (ROW()-11)*4,3,1,1,"Internet"))," "))</f>
        <v>FENYX Adamov</v>
      </c>
      <c r="M48" s="472">
        <f ca="1">IF(N(I48)=0,9999,VLOOKUP(I48,Hraci!$A$1:$I$1500,8,0))</f>
        <v>134</v>
      </c>
      <c r="N48" s="473">
        <f ca="1">IF(N(I48)=0,0,VLOOKUP(I48,Hraci!$A$1:$I$1500,9,0))</f>
        <v>27.875</v>
      </c>
      <c r="O48" s="469" t="str">
        <f t="shared" ca="1" si="25"/>
        <v/>
      </c>
      <c r="P48" s="470" t="str">
        <f ca="1">IF(N(O48)&gt;0,VLOOKUP(O48,Hraci!$A$1:$I$1500,2,0),IF(TYPE(INDIRECT(ADDRESS(ROW() + $A$9-8 + (ROW()-11)*4,2,1,1,"Internet")))&gt;1,INDIRECT(ADDRESS(ROW() + $A$9-8 + (ROW()-11)*4,2,1,1,"Internet"))," "))</f>
        <v xml:space="preserve"> </v>
      </c>
      <c r="Q48" s="471" t="str">
        <f ca="1">IF(N(O48)&gt;0,VLOOKUP(O48,Hraci!$A$1:$I$1500,3,0)," ")</f>
        <v xml:space="preserve"> </v>
      </c>
      <c r="R48" s="471" t="str">
        <f ca="1">IF(N(O48)&gt;0,VLOOKUP(O48,Hraci!$A$1:$I$1500,5,0),IF(TYPE(INDIRECT(ADDRESS(ROW() + $A$9-8 + (ROW()-11)*4,3,1,1,"Internet")))&gt;1,INDIRECT(ADDRESS(ROW() + $A$9-8 + (ROW()-11)*4,3,1,1,"Internet"))," "))</f>
        <v xml:space="preserve"> </v>
      </c>
      <c r="S48" s="472">
        <f ca="1">IF(N(O48)=0,9999,VLOOKUP(O48,Hraci!$A$1:$I$1500,8,0))</f>
        <v>9999</v>
      </c>
      <c r="T48" s="473">
        <f ca="1">IF(N(O48)=0,0,VLOOKUP(O48,Hraci!$A$1:$I$1500,9,0))</f>
        <v>0</v>
      </c>
      <c r="U48" s="469" t="str">
        <f t="shared" ca="1" si="26"/>
        <v/>
      </c>
      <c r="V48" s="470" t="str">
        <f ca="1">IF(N(U48)&gt;0,VLOOKUP(U48,Hraci!$A$1:$I$1500,2,0),IF(TYPE(INDIRECT(ADDRESS(ROW() + $A$9-7 + (ROW()-11)*4,2,1,1,"Internet")))&gt;1,INDIRECT(ADDRESS(ROW() + $A$9-7 + (ROW()-11)*4,2,1,1,"Internet"))," "))</f>
        <v xml:space="preserve"> </v>
      </c>
      <c r="W48" s="471" t="str">
        <f ca="1">IF(N(U48)&gt;0,VLOOKUP(U48,Hraci!$A$1:$I$1500,3,0)," ")</f>
        <v xml:space="preserve"> </v>
      </c>
      <c r="X48" s="471" t="str">
        <f ca="1">IF(N(U48)&gt;0,VLOOKUP(U48,Hraci!$A$1:$I$1500,5,0),IF(TYPE(INDIRECT(ADDRESS(ROW() + $A$9-7 + (ROW()-11)*4,3,1,1,"Internet")))&gt;1,INDIRECT(ADDRESS(ROW() + $A$9-7 + (ROW()-11)*4,3,1,1,"Internet"))," "))</f>
        <v xml:space="preserve"> </v>
      </c>
      <c r="Y48" s="472">
        <f ca="1">IF(N(U48)=0,9999,VLOOKUP(U48,Hraci!$A$1:$I$1500,8,0))</f>
        <v>9999</v>
      </c>
      <c r="Z48" s="473">
        <f ca="1">IF(N(U48)=0,0,VLOOKUP(U48,Hraci!$A$1:$I$1500,9,0))</f>
        <v>0</v>
      </c>
      <c r="AA48" s="469" t="str">
        <f t="shared" ca="1" si="27"/>
        <v/>
      </c>
      <c r="AB48" s="470" t="str">
        <f ca="1">IF(N(AA48)&gt;0,VLOOKUP(AA48,Hraci!$A$1:$I$1500,2,0)," ")</f>
        <v xml:space="preserve"> </v>
      </c>
      <c r="AC48" s="471" t="str">
        <f ca="1">IF(N(AA48)&gt;0,VLOOKUP(AA48,Hraci!$A$1:$I$1500,3,0)," ")</f>
        <v xml:space="preserve"> </v>
      </c>
      <c r="AD48" s="471" t="str">
        <f ca="1">IF(N(AA48)&gt;0,VLOOKUP(AA48,Hraci!$A$1:$I$1500,5,0)," ")</f>
        <v xml:space="preserve"> </v>
      </c>
      <c r="AE48" s="472">
        <f ca="1">IF(N(AA48)=0,9999,VLOOKUP(AA48,Hraci!$A$1:$I$1500,8,0))</f>
        <v>9999</v>
      </c>
      <c r="AF48" s="473">
        <f ca="1">IF(N(AA48)=0,0,VLOOKUP(AA48,Hraci!$A$1:$I$1500,9,0))</f>
        <v>0</v>
      </c>
      <c r="AG48" s="474"/>
      <c r="AH48" s="480">
        <f ca="1">IF(TYPE(VLOOKUP(H48,Nasazení!$A$3:$E$258,5,0))&lt;4,VLOOKUP(H48,Nasazení!$A$3:$E$258,5,0),0)</f>
        <v>64</v>
      </c>
      <c r="AI48" s="475">
        <f ca="1">IF(N($AH48)&gt;0,VLOOKUP($AH48,Body!$A$4:$F$259,5,0),"")</f>
        <v>288.35162500000001</v>
      </c>
      <c r="AJ48" s="476">
        <f ca="1">IF(N($AH48)&gt;0,VLOOKUP($AH48,Body!$A$4:$F$259,6,0),"")</f>
        <v>200</v>
      </c>
      <c r="AK48" s="475">
        <f ca="1">IF(N($AH48)&gt;0,VLOOKUP($AH48,Body!$A$4:$F$259,2,0),"")</f>
        <v>2</v>
      </c>
      <c r="AL48" s="477" t="str">
        <f t="shared" ca="1" si="28"/>
        <v>38 FENYX Adamov - Král Pavel</v>
      </c>
      <c r="AM48" s="478">
        <f t="shared" ca="1" si="29"/>
        <v>27.875</v>
      </c>
      <c r="AN48" s="408">
        <f ca="1">IF(OR(TYPE(I48)&gt;1,TYPE(MATCH(I48,I49:I$267,0))&gt;1),0,MATCH(I48,I49:I$267,0))+IF(OR(TYPE(I48)&gt;1,TYPE(MATCH(I48,O$11:O$267,0))&gt;1),0,MATCH(I48,O$11:O$267,0))+IF(OR(TYPE(I48)&gt;1,TYPE(MATCH(I48,U$11:U$267,0))&gt;1),0,MATCH(I48,U$11:U$267,0))+IF(OR(TYPE(I48)&gt;1,TYPE(MATCH(I48,AA$11:AA$267,0))&gt;1),0,MATCH(I48,AA$11:AA$267,0))</f>
        <v>0</v>
      </c>
      <c r="AO48" s="408">
        <f ca="1">IF(OR(TYPE(O48)&gt;1,TYPE(MATCH(O48,I$11:I$267,0))&gt;1),0,MATCH(O48,I$11:I$267,0))+IF(OR(TYPE(O48)&gt;1,TYPE(MATCH(O48,O49:O$267,0))&gt;1),0,MATCH(O48,O49:O$267,0))+IF(OR(TYPE(O48)&gt;1,TYPE(MATCH(O48,U$11:U$267,0))&gt;1),0,MATCH(O48,U$11:U$267,0))+IF(OR(TYPE(O48)&gt;1,TYPE(MATCH(O48,AA$11:AA$267,0))&gt;1),0,MATCH(O48,AA$11:AA$267,0))</f>
        <v>0</v>
      </c>
      <c r="AP48" s="408">
        <f ca="1">IF(OR(TYPE(U48)&gt;1,TYPE(MATCH(U48,I$11:I$267,0))&gt;1),0,MATCH(U48,I$11:I$267,0))+IF(OR(TYPE(U48)&gt;1,TYPE(MATCH(U48,O$11:O$267,0))&gt;1),0,MATCH(U48,O$11:O$267,0))+IF(OR(TYPE(U48)&gt;1,TYPE(MATCH(U48,U49:U$267,0))&gt;1),0,MATCH(U48,U49:U$267,0))+IF(OR(TYPE(U48)&gt;1,TYPE(MATCH(U48,AA$11:AA$267,0))&gt;1),0,MATCH(U48,AA$11:AA$267,0))</f>
        <v>0</v>
      </c>
      <c r="AQ48" s="408">
        <f ca="1">IF(OR(TYPE(AA48)&gt;1,TYPE(MATCH(AA48,I$11:I$267,0))&gt;1),0,MATCH(AA48,I$11:I$267,0))+IF(OR(TYPE(AA48)&gt;1,TYPE(MATCH(AA48,O$11:O$267,0))&gt;1),0,MATCH(AA48,O$11:O$267,0))+IF(OR(TYPE(AA48)&gt;1,TYPE(MATCH(AA48,U$11:U$267,0))&gt;1),0,MATCH(U48,U$11:U$267,0))+IF(OR(TYPE(AA48)&gt;1,TYPE(MATCH(AA48,AA49:AA$267,0))&gt;1),0,MATCH(AA48,AA49:AA$267,0))</f>
        <v>0</v>
      </c>
      <c r="AR48" s="408">
        <f t="shared" ca="1" si="14"/>
        <v>0</v>
      </c>
      <c r="BF48" s="408">
        <f t="shared" si="15"/>
        <v>38</v>
      </c>
    </row>
    <row r="49" spans="1:58" ht="14.25">
      <c r="A49" s="430">
        <f t="shared" ca="1" si="16"/>
        <v>1</v>
      </c>
      <c r="B49" s="430">
        <f t="shared" ca="1" si="17"/>
        <v>1</v>
      </c>
      <c r="C49" s="430">
        <f t="shared" ca="1" si="18"/>
        <v>27.5</v>
      </c>
      <c r="D49" s="430">
        <f t="shared" ca="1" si="19"/>
        <v>20058</v>
      </c>
      <c r="E49" s="430">
        <f t="shared" ca="1" si="20"/>
        <v>60</v>
      </c>
      <c r="F49" s="431" t="str">
        <f t="shared" ca="1" si="21"/>
        <v>91027500979941999939309087</v>
      </c>
      <c r="G49" s="467" t="b">
        <f t="shared" ca="1" si="22"/>
        <v>0</v>
      </c>
      <c r="H49" s="468">
        <f t="shared" si="23"/>
        <v>39</v>
      </c>
      <c r="I49" s="469">
        <f t="shared" ca="1" si="24"/>
        <v>23131</v>
      </c>
      <c r="J49" s="470" t="str">
        <f ca="1">IF(N(I49)&gt;0,VLOOKUP(I49,Hraci!$A$1:$I$1500,2,0),IF(TYPE(INDIRECT(ADDRESS(ROW() + $A$9-9 + (ROW()-11)*4,2,1,1,"Internet")))&gt;1,INDIRECT(ADDRESS(ROW() + $A$9-9 + (ROW()-11)*4,2,1,1,"Internet"))," "))</f>
        <v>Felčárek</v>
      </c>
      <c r="K49" s="471" t="str">
        <f ca="1">IF(N(I49)&gt;0,VLOOKUP(I49,Hraci!$A$1:$I$1500,3,0)," ")</f>
        <v>Jaroslav</v>
      </c>
      <c r="L49" s="471" t="str">
        <f ca="1">IF(N(I49)&gt;0,VLOOKUP(I49,Hraci!$A$1:$I$1500,5,0),IF(TYPE(INDIRECT(ADDRESS(ROW() + $A$9-9 + (ROW()-11)*4,3,1,1,"Internet")))&gt;1,INDIRECT(ADDRESS(ROW() + $A$9-9 + (ROW()-11)*4,3,1,1,"Internet"))," "))</f>
        <v>FRAPECO</v>
      </c>
      <c r="M49" s="472">
        <f ca="1">IF(N(I49)=0,9999,VLOOKUP(I49,Hraci!$A$1:$I$1500,8,0))</f>
        <v>60</v>
      </c>
      <c r="N49" s="473">
        <f ca="1">IF(N(I49)=0,0,VLOOKUP(I49,Hraci!$A$1:$I$1500,9,0))</f>
        <v>27.5</v>
      </c>
      <c r="O49" s="469" t="str">
        <f t="shared" ca="1" si="25"/>
        <v/>
      </c>
      <c r="P49" s="470" t="str">
        <f ca="1">IF(N(O49)&gt;0,VLOOKUP(O49,Hraci!$A$1:$I$1500,2,0),IF(TYPE(INDIRECT(ADDRESS(ROW() + $A$9-8 + (ROW()-11)*4,2,1,1,"Internet")))&gt;1,INDIRECT(ADDRESS(ROW() + $A$9-8 + (ROW()-11)*4,2,1,1,"Internet"))," "))</f>
        <v xml:space="preserve"> </v>
      </c>
      <c r="Q49" s="471" t="str">
        <f ca="1">IF(N(O49)&gt;0,VLOOKUP(O49,Hraci!$A$1:$I$1500,3,0)," ")</f>
        <v xml:space="preserve"> </v>
      </c>
      <c r="R49" s="471" t="str">
        <f ca="1">IF(N(O49)&gt;0,VLOOKUP(O49,Hraci!$A$1:$I$1500,5,0),IF(TYPE(INDIRECT(ADDRESS(ROW() + $A$9-8 + (ROW()-11)*4,3,1,1,"Internet")))&gt;1,INDIRECT(ADDRESS(ROW() + $A$9-8 + (ROW()-11)*4,3,1,1,"Internet"))," "))</f>
        <v xml:space="preserve"> </v>
      </c>
      <c r="S49" s="472">
        <f ca="1">IF(N(O49)=0,9999,VLOOKUP(O49,Hraci!$A$1:$I$1500,8,0))</f>
        <v>9999</v>
      </c>
      <c r="T49" s="473">
        <f ca="1">IF(N(O49)=0,0,VLOOKUP(O49,Hraci!$A$1:$I$1500,9,0))</f>
        <v>0</v>
      </c>
      <c r="U49" s="469" t="str">
        <f t="shared" ca="1" si="26"/>
        <v/>
      </c>
      <c r="V49" s="470" t="str">
        <f ca="1">IF(N(U49)&gt;0,VLOOKUP(U49,Hraci!$A$1:$I$1500,2,0),IF(TYPE(INDIRECT(ADDRESS(ROW() + $A$9-7 + (ROW()-11)*4,2,1,1,"Internet")))&gt;1,INDIRECT(ADDRESS(ROW() + $A$9-7 + (ROW()-11)*4,2,1,1,"Internet"))," "))</f>
        <v xml:space="preserve"> </v>
      </c>
      <c r="W49" s="471" t="str">
        <f ca="1">IF(N(U49)&gt;0,VLOOKUP(U49,Hraci!$A$1:$I$1500,3,0)," ")</f>
        <v xml:space="preserve"> </v>
      </c>
      <c r="X49" s="471" t="str">
        <f ca="1">IF(N(U49)&gt;0,VLOOKUP(U49,Hraci!$A$1:$I$1500,5,0),IF(TYPE(INDIRECT(ADDRESS(ROW() + $A$9-7 + (ROW()-11)*4,3,1,1,"Internet")))&gt;1,INDIRECT(ADDRESS(ROW() + $A$9-7 + (ROW()-11)*4,3,1,1,"Internet"))," "))</f>
        <v xml:space="preserve"> </v>
      </c>
      <c r="Y49" s="472">
        <f ca="1">IF(N(U49)=0,9999,VLOOKUP(U49,Hraci!$A$1:$I$1500,8,0))</f>
        <v>9999</v>
      </c>
      <c r="Z49" s="473">
        <f ca="1">IF(N(U49)=0,0,VLOOKUP(U49,Hraci!$A$1:$I$1500,9,0))</f>
        <v>0</v>
      </c>
      <c r="AA49" s="469" t="str">
        <f t="shared" ca="1" si="27"/>
        <v/>
      </c>
      <c r="AB49" s="470" t="str">
        <f ca="1">IF(N(AA49)&gt;0,VLOOKUP(AA49,Hraci!$A$1:$I$1500,2,0)," ")</f>
        <v xml:space="preserve"> </v>
      </c>
      <c r="AC49" s="471" t="str">
        <f ca="1">IF(N(AA49)&gt;0,VLOOKUP(AA49,Hraci!$A$1:$I$1500,3,0)," ")</f>
        <v xml:space="preserve"> </v>
      </c>
      <c r="AD49" s="471" t="str">
        <f ca="1">IF(N(AA49)&gt;0,VLOOKUP(AA49,Hraci!$A$1:$I$1500,5,0)," ")</f>
        <v xml:space="preserve"> </v>
      </c>
      <c r="AE49" s="472">
        <f ca="1">IF(N(AA49)=0,9999,VLOOKUP(AA49,Hraci!$A$1:$I$1500,8,0))</f>
        <v>9999</v>
      </c>
      <c r="AF49" s="473">
        <f ca="1">IF(N(AA49)=0,0,VLOOKUP(AA49,Hraci!$A$1:$I$1500,9,0))</f>
        <v>0</v>
      </c>
      <c r="AG49" s="474"/>
      <c r="AH49" s="480">
        <v>86</v>
      </c>
      <c r="AI49" s="475">
        <f ca="1">IF(N($AH49)&gt;0,VLOOKUP($AH49,Body!$A$4:$F$259,5,0),"")</f>
        <v>553.40650000000005</v>
      </c>
      <c r="AJ49" s="476">
        <f ca="1">IF(N($AH49)&gt;0,VLOOKUP($AH49,Body!$A$4:$F$259,6,0),"")</f>
        <v>200</v>
      </c>
      <c r="AK49" s="475">
        <f ca="1">IF(N($AH49)&gt;0,VLOOKUP($AH49,Body!$A$4:$F$259,2,0),"")</f>
        <v>8</v>
      </c>
      <c r="AL49" s="477" t="str">
        <f t="shared" ca="1" si="28"/>
        <v>39 FRAPECO - Felčárek Jaroslav</v>
      </c>
      <c r="AM49" s="478">
        <f t="shared" ca="1" si="29"/>
        <v>27.5</v>
      </c>
      <c r="AN49" s="408">
        <f ca="1">IF(OR(TYPE(I49)&gt;1,TYPE(MATCH(I49,I50:I$267,0))&gt;1),0,MATCH(I49,I50:I$267,0))+IF(OR(TYPE(I49)&gt;1,TYPE(MATCH(I49,O$11:O$267,0))&gt;1),0,MATCH(I49,O$11:O$267,0))+IF(OR(TYPE(I49)&gt;1,TYPE(MATCH(I49,U$11:U$267,0))&gt;1),0,MATCH(I49,U$11:U$267,0))+IF(OR(TYPE(I49)&gt;1,TYPE(MATCH(I49,AA$11:AA$267,0))&gt;1),0,MATCH(I49,AA$11:AA$267,0))</f>
        <v>0</v>
      </c>
      <c r="AO49" s="408">
        <f ca="1">IF(OR(TYPE(O49)&gt;1,TYPE(MATCH(O49,I$11:I$267,0))&gt;1),0,MATCH(O49,I$11:I$267,0))+IF(OR(TYPE(O49)&gt;1,TYPE(MATCH(O49,O50:O$267,0))&gt;1),0,MATCH(O49,O50:O$267,0))+IF(OR(TYPE(O49)&gt;1,TYPE(MATCH(O49,U$11:U$267,0))&gt;1),0,MATCH(O49,U$11:U$267,0))+IF(OR(TYPE(O49)&gt;1,TYPE(MATCH(O49,AA$11:AA$267,0))&gt;1),0,MATCH(O49,AA$11:AA$267,0))</f>
        <v>0</v>
      </c>
      <c r="AP49" s="408">
        <f ca="1">IF(OR(TYPE(U49)&gt;1,TYPE(MATCH(U49,I$11:I$267,0))&gt;1),0,MATCH(U49,I$11:I$267,0))+IF(OR(TYPE(U49)&gt;1,TYPE(MATCH(U49,O$11:O$267,0))&gt;1),0,MATCH(U49,O$11:O$267,0))+IF(OR(TYPE(U49)&gt;1,TYPE(MATCH(U49,U50:U$267,0))&gt;1),0,MATCH(U49,U50:U$267,0))+IF(OR(TYPE(U49)&gt;1,TYPE(MATCH(U49,AA$11:AA$267,0))&gt;1),0,MATCH(U49,AA$11:AA$267,0))</f>
        <v>0</v>
      </c>
      <c r="AQ49" s="408">
        <f ca="1">IF(OR(TYPE(AA49)&gt;1,TYPE(MATCH(AA49,I$11:I$267,0))&gt;1),0,MATCH(AA49,I$11:I$267,0))+IF(OR(TYPE(AA49)&gt;1,TYPE(MATCH(AA49,O$11:O$267,0))&gt;1),0,MATCH(AA49,O$11:O$267,0))+IF(OR(TYPE(AA49)&gt;1,TYPE(MATCH(AA49,U$11:U$267,0))&gt;1),0,MATCH(U49,U$11:U$267,0))+IF(OR(TYPE(AA49)&gt;1,TYPE(MATCH(AA49,AA50:AA$267,0))&gt;1),0,MATCH(AA49,AA50:AA$267,0))</f>
        <v>0</v>
      </c>
      <c r="AR49" s="408">
        <f t="shared" ca="1" si="14"/>
        <v>0</v>
      </c>
      <c r="BF49" s="408">
        <f t="shared" si="15"/>
        <v>39</v>
      </c>
    </row>
    <row r="50" spans="1:58" ht="14.25">
      <c r="A50" s="430">
        <f t="shared" ca="1" si="16"/>
        <v>1</v>
      </c>
      <c r="B50" s="430">
        <f t="shared" ca="1" si="17"/>
        <v>1</v>
      </c>
      <c r="C50" s="430">
        <f t="shared" ca="1" si="18"/>
        <v>27.312999999999999</v>
      </c>
      <c r="D50" s="430">
        <f t="shared" ca="1" si="19"/>
        <v>20078</v>
      </c>
      <c r="E50" s="430">
        <f t="shared" ca="1" si="20"/>
        <v>80</v>
      </c>
      <c r="F50" s="431" t="str">
        <f t="shared" ca="1" si="21"/>
        <v>91027313979921999919036501</v>
      </c>
      <c r="G50" s="467" t="b">
        <f t="shared" ca="1" si="22"/>
        <v>0</v>
      </c>
      <c r="H50" s="468">
        <f t="shared" si="23"/>
        <v>40</v>
      </c>
      <c r="I50" s="469">
        <f t="shared" ca="1" si="24"/>
        <v>13005</v>
      </c>
      <c r="J50" s="470" t="str">
        <f ca="1">IF(N(I50)&gt;0,VLOOKUP(I50,Hraci!$A$1:$I$1500,2,0),IF(TYPE(INDIRECT(ADDRESS(ROW() + $A$9-9 + (ROW()-11)*4,2,1,1,"Internet")))&gt;1,INDIRECT(ADDRESS(ROW() + $A$9-9 + (ROW()-11)*4,2,1,1,"Internet"))," "))</f>
        <v>Bureš</v>
      </c>
      <c r="K50" s="471" t="str">
        <f ca="1">IF(N(I50)&gt;0,VLOOKUP(I50,Hraci!$A$1:$I$1500,3,0)," ")</f>
        <v>Pavel st.</v>
      </c>
      <c r="L50" s="471" t="str">
        <f ca="1">IF(N(I50)&gt;0,VLOOKUP(I50,Hraci!$A$1:$I$1500,5,0),IF(TYPE(INDIRECT(ADDRESS(ROW() + $A$9-9 + (ROW()-11)*4,3,1,1,"Internet")))&gt;1,INDIRECT(ADDRESS(ROW() + $A$9-9 + (ROW()-11)*4,3,1,1,"Internet"))," "))</f>
        <v>HAPEK</v>
      </c>
      <c r="M50" s="472">
        <f ca="1">IF(N(I50)=0,9999,VLOOKUP(I50,Hraci!$A$1:$I$1500,8,0))</f>
        <v>80</v>
      </c>
      <c r="N50" s="473">
        <f ca="1">IF(N(I50)=0,0,VLOOKUP(I50,Hraci!$A$1:$I$1500,9,0))</f>
        <v>27.312999999999999</v>
      </c>
      <c r="O50" s="469" t="str">
        <f t="shared" ca="1" si="25"/>
        <v/>
      </c>
      <c r="P50" s="470" t="str">
        <f ca="1">IF(N(O50)&gt;0,VLOOKUP(O50,Hraci!$A$1:$I$1500,2,0),IF(TYPE(INDIRECT(ADDRESS(ROW() + $A$9-8 + (ROW()-11)*4,2,1,1,"Internet")))&gt;1,INDIRECT(ADDRESS(ROW() + $A$9-8 + (ROW()-11)*4,2,1,1,"Internet"))," "))</f>
        <v xml:space="preserve"> </v>
      </c>
      <c r="Q50" s="471" t="str">
        <f ca="1">IF(N(O50)&gt;0,VLOOKUP(O50,Hraci!$A$1:$I$1500,3,0)," ")</f>
        <v xml:space="preserve"> </v>
      </c>
      <c r="R50" s="471" t="str">
        <f ca="1">IF(N(O50)&gt;0,VLOOKUP(O50,Hraci!$A$1:$I$1500,5,0),IF(TYPE(INDIRECT(ADDRESS(ROW() + $A$9-8 + (ROW()-11)*4,3,1,1,"Internet")))&gt;1,INDIRECT(ADDRESS(ROW() + $A$9-8 + (ROW()-11)*4,3,1,1,"Internet"))," "))</f>
        <v xml:space="preserve"> </v>
      </c>
      <c r="S50" s="472">
        <f ca="1">IF(N(O50)=0,9999,VLOOKUP(O50,Hraci!$A$1:$I$1500,8,0))</f>
        <v>9999</v>
      </c>
      <c r="T50" s="473">
        <f ca="1">IF(N(O50)=0,0,VLOOKUP(O50,Hraci!$A$1:$I$1500,9,0))</f>
        <v>0</v>
      </c>
      <c r="U50" s="469" t="str">
        <f t="shared" ca="1" si="26"/>
        <v/>
      </c>
      <c r="V50" s="470" t="str">
        <f ca="1">IF(N(U50)&gt;0,VLOOKUP(U50,Hraci!$A$1:$I$1500,2,0),IF(TYPE(INDIRECT(ADDRESS(ROW() + $A$9-7 + (ROW()-11)*4,2,1,1,"Internet")))&gt;1,INDIRECT(ADDRESS(ROW() + $A$9-7 + (ROW()-11)*4,2,1,1,"Internet"))," "))</f>
        <v xml:space="preserve"> </v>
      </c>
      <c r="W50" s="471" t="str">
        <f ca="1">IF(N(U50)&gt;0,VLOOKUP(U50,Hraci!$A$1:$I$1500,3,0)," ")</f>
        <v xml:space="preserve"> </v>
      </c>
      <c r="X50" s="471" t="str">
        <f ca="1">IF(N(U50)&gt;0,VLOOKUP(U50,Hraci!$A$1:$I$1500,5,0),IF(TYPE(INDIRECT(ADDRESS(ROW() + $A$9-7 + (ROW()-11)*4,3,1,1,"Internet")))&gt;1,INDIRECT(ADDRESS(ROW() + $A$9-7 + (ROW()-11)*4,3,1,1,"Internet"))," "))</f>
        <v xml:space="preserve"> </v>
      </c>
      <c r="Y50" s="472">
        <f ca="1">IF(N(U50)=0,9999,VLOOKUP(U50,Hraci!$A$1:$I$1500,8,0))</f>
        <v>9999</v>
      </c>
      <c r="Z50" s="473">
        <f ca="1">IF(N(U50)=0,0,VLOOKUP(U50,Hraci!$A$1:$I$1500,9,0))</f>
        <v>0</v>
      </c>
      <c r="AA50" s="469" t="str">
        <f t="shared" ca="1" si="27"/>
        <v/>
      </c>
      <c r="AB50" s="470" t="str">
        <f ca="1">IF(N(AA50)&gt;0,VLOOKUP(AA50,Hraci!$A$1:$I$1500,2,0)," ")</f>
        <v xml:space="preserve"> </v>
      </c>
      <c r="AC50" s="471" t="str">
        <f ca="1">IF(N(AA50)&gt;0,VLOOKUP(AA50,Hraci!$A$1:$I$1500,3,0)," ")</f>
        <v xml:space="preserve"> </v>
      </c>
      <c r="AD50" s="471" t="str">
        <f ca="1">IF(N(AA50)&gt;0,VLOOKUP(AA50,Hraci!$A$1:$I$1500,5,0)," ")</f>
        <v xml:space="preserve"> </v>
      </c>
      <c r="AE50" s="472">
        <f ca="1">IF(N(AA50)=0,9999,VLOOKUP(AA50,Hraci!$A$1:$I$1500,8,0))</f>
        <v>9999</v>
      </c>
      <c r="AF50" s="473">
        <f ca="1">IF(N(AA50)=0,0,VLOOKUP(AA50,Hraci!$A$1:$I$1500,9,0))</f>
        <v>0</v>
      </c>
      <c r="AG50" s="474"/>
      <c r="AH50" s="480">
        <f ca="1">IF(TYPE(VLOOKUP(H50,Nasazení!$A$3:$E$258,5,0))&lt;4,VLOOKUP(H50,Nasazení!$A$3:$E$258,5,0),0)</f>
        <v>64</v>
      </c>
      <c r="AI50" s="475">
        <f ca="1">IF(N($AH50)&gt;0,VLOOKUP($AH50,Body!$A$4:$F$259,5,0),"")</f>
        <v>288.35162500000001</v>
      </c>
      <c r="AJ50" s="476">
        <f ca="1">IF(N($AH50)&gt;0,VLOOKUP($AH50,Body!$A$4:$F$259,6,0),"")</f>
        <v>200</v>
      </c>
      <c r="AK50" s="475">
        <f ca="1">IF(N($AH50)&gt;0,VLOOKUP($AH50,Body!$A$4:$F$259,2,0),"")</f>
        <v>2</v>
      </c>
      <c r="AL50" s="477" t="str">
        <f t="shared" ca="1" si="28"/>
        <v>40 HAPEK - Bureš Pavel st.</v>
      </c>
      <c r="AM50" s="478">
        <f t="shared" ca="1" si="29"/>
        <v>27.312999999999999</v>
      </c>
      <c r="AN50" s="408">
        <f ca="1">IF(OR(TYPE(I50)&gt;1,TYPE(MATCH(I50,I51:I$267,0))&gt;1),0,MATCH(I50,I51:I$267,0))+IF(OR(TYPE(I50)&gt;1,TYPE(MATCH(I50,O$11:O$267,0))&gt;1),0,MATCH(I50,O$11:O$267,0))+IF(OR(TYPE(I50)&gt;1,TYPE(MATCH(I50,U$11:U$267,0))&gt;1),0,MATCH(I50,U$11:U$267,0))+IF(OR(TYPE(I50)&gt;1,TYPE(MATCH(I50,AA$11:AA$267,0))&gt;1),0,MATCH(I50,AA$11:AA$267,0))</f>
        <v>0</v>
      </c>
      <c r="AO50" s="408">
        <f ca="1">IF(OR(TYPE(O50)&gt;1,TYPE(MATCH(O50,I$11:I$267,0))&gt;1),0,MATCH(O50,I$11:I$267,0))+IF(OR(TYPE(O50)&gt;1,TYPE(MATCH(O50,O51:O$267,0))&gt;1),0,MATCH(O50,O51:O$267,0))+IF(OR(TYPE(O50)&gt;1,TYPE(MATCH(O50,U$11:U$267,0))&gt;1),0,MATCH(O50,U$11:U$267,0))+IF(OR(TYPE(O50)&gt;1,TYPE(MATCH(O50,AA$11:AA$267,0))&gt;1),0,MATCH(O50,AA$11:AA$267,0))</f>
        <v>0</v>
      </c>
      <c r="AP50" s="408">
        <f ca="1">IF(OR(TYPE(U50)&gt;1,TYPE(MATCH(U50,I$11:I$267,0))&gt;1),0,MATCH(U50,I$11:I$267,0))+IF(OR(TYPE(U50)&gt;1,TYPE(MATCH(U50,O$11:O$267,0))&gt;1),0,MATCH(U50,O$11:O$267,0))+IF(OR(TYPE(U50)&gt;1,TYPE(MATCH(U50,U51:U$267,0))&gt;1),0,MATCH(U50,U51:U$267,0))+IF(OR(TYPE(U50)&gt;1,TYPE(MATCH(U50,AA$11:AA$267,0))&gt;1),0,MATCH(U50,AA$11:AA$267,0))</f>
        <v>0</v>
      </c>
      <c r="AQ50" s="408">
        <f ca="1">IF(OR(TYPE(AA50)&gt;1,TYPE(MATCH(AA50,I$11:I$267,0))&gt;1),0,MATCH(AA50,I$11:I$267,0))+IF(OR(TYPE(AA50)&gt;1,TYPE(MATCH(AA50,O$11:O$267,0))&gt;1),0,MATCH(AA50,O$11:O$267,0))+IF(OR(TYPE(AA50)&gt;1,TYPE(MATCH(AA50,U$11:U$267,0))&gt;1),0,MATCH(U50,U$11:U$267,0))+IF(OR(TYPE(AA50)&gt;1,TYPE(MATCH(AA50,AA51:AA$267,0))&gt;1),0,MATCH(AA50,AA51:AA$267,0))</f>
        <v>0</v>
      </c>
      <c r="AR50" s="408">
        <f t="shared" ca="1" si="14"/>
        <v>0</v>
      </c>
      <c r="BF50" s="408">
        <f t="shared" si="15"/>
        <v>40</v>
      </c>
    </row>
    <row r="51" spans="1:58" ht="14.25">
      <c r="A51" s="400">
        <f t="shared" ca="1" si="16"/>
        <v>1</v>
      </c>
      <c r="B51" s="400">
        <f t="shared" ca="1" si="17"/>
        <v>1</v>
      </c>
      <c r="C51" s="400">
        <f t="shared" ca="1" si="18"/>
        <v>26.97</v>
      </c>
      <c r="D51" s="400">
        <f t="shared" ca="1" si="19"/>
        <v>20076</v>
      </c>
      <c r="E51" s="430">
        <f t="shared" ca="1" si="20"/>
        <v>78</v>
      </c>
      <c r="F51" s="431" t="str">
        <f t="shared" ca="1" si="21"/>
        <v>91026970979923999921409705</v>
      </c>
      <c r="G51" s="467" t="b">
        <f t="shared" ca="1" si="22"/>
        <v>0</v>
      </c>
      <c r="H51" s="468">
        <f t="shared" si="23"/>
        <v>41</v>
      </c>
      <c r="I51" s="469">
        <f t="shared" ca="1" si="24"/>
        <v>12042</v>
      </c>
      <c r="J51" s="470" t="str">
        <f ca="1">IF(N(I51)&gt;0,VLOOKUP(I51,Hraci!$A$1:$I$1500,2,0),IF(TYPE(INDIRECT(ADDRESS(ROW() + $A$9-9 + (ROW()-11)*4,2,1,1,"Internet")))&gt;1,INDIRECT(ADDRESS(ROW() + $A$9-9 + (ROW()-11)*4,2,1,1,"Internet"))," "))</f>
        <v>Pilát</v>
      </c>
      <c r="K51" s="471" t="str">
        <f ca="1">IF(N(I51)&gt;0,VLOOKUP(I51,Hraci!$A$1:$I$1500,3,0)," ")</f>
        <v>Petr</v>
      </c>
      <c r="L51" s="471" t="str">
        <f ca="1">IF(N(I51)&gt;0,VLOOKUP(I51,Hraci!$A$1:$I$1500,5,0),IF(TYPE(INDIRECT(ADDRESS(ROW() + $A$9-9 + (ROW()-11)*4,3,1,1,"Internet")))&gt;1,INDIRECT(ADDRESS(ROW() + $A$9-9 + (ROW()-11)*4,3,1,1,"Internet"))," "))</f>
        <v>SKP Kulová osma</v>
      </c>
      <c r="M51" s="472">
        <f ca="1">IF(N(I51)=0,9999,VLOOKUP(I51,Hraci!$A$1:$I$1500,8,0))</f>
        <v>78</v>
      </c>
      <c r="N51" s="473">
        <f ca="1">IF(N(I51)=0,0,VLOOKUP(I51,Hraci!$A$1:$I$1500,9,0))</f>
        <v>26.97</v>
      </c>
      <c r="O51" s="469" t="str">
        <f t="shared" ca="1" si="25"/>
        <v/>
      </c>
      <c r="P51" s="470" t="str">
        <f ca="1">IF(N(O51)&gt;0,VLOOKUP(O51,Hraci!$A$1:$I$1500,2,0),IF(TYPE(INDIRECT(ADDRESS(ROW() + $A$9-8 + (ROW()-11)*4,2,1,1,"Internet")))&gt;1,INDIRECT(ADDRESS(ROW() + $A$9-8 + (ROW()-11)*4,2,1,1,"Internet"))," "))</f>
        <v xml:space="preserve"> </v>
      </c>
      <c r="Q51" s="471" t="str">
        <f ca="1">IF(N(O51)&gt;0,VLOOKUP(O51,Hraci!$A$1:$I$1500,3,0)," ")</f>
        <v xml:space="preserve"> </v>
      </c>
      <c r="R51" s="471" t="str">
        <f ca="1">IF(N(O51)&gt;0,VLOOKUP(O51,Hraci!$A$1:$I$1500,5,0),IF(TYPE(INDIRECT(ADDRESS(ROW() + $A$9-8 + (ROW()-11)*4,3,1,1,"Internet")))&gt;1,INDIRECT(ADDRESS(ROW() + $A$9-8 + (ROW()-11)*4,3,1,1,"Internet"))," "))</f>
        <v xml:space="preserve"> </v>
      </c>
      <c r="S51" s="472">
        <f ca="1">IF(N(O51)=0,9999,VLOOKUP(O51,Hraci!$A$1:$I$1500,8,0))</f>
        <v>9999</v>
      </c>
      <c r="T51" s="473">
        <f ca="1">IF(N(O51)=0,0,VLOOKUP(O51,Hraci!$A$1:$I$1500,9,0))</f>
        <v>0</v>
      </c>
      <c r="U51" s="469" t="str">
        <f t="shared" ca="1" si="26"/>
        <v/>
      </c>
      <c r="V51" s="470" t="str">
        <f ca="1">IF(N(U51)&gt;0,VLOOKUP(U51,Hraci!$A$1:$I$1500,2,0),IF(TYPE(INDIRECT(ADDRESS(ROW() + $A$9-7 + (ROW()-11)*4,2,1,1,"Internet")))&gt;1,INDIRECT(ADDRESS(ROW() + $A$9-7 + (ROW()-11)*4,2,1,1,"Internet"))," "))</f>
        <v xml:space="preserve"> </v>
      </c>
      <c r="W51" s="471" t="str">
        <f ca="1">IF(N(U51)&gt;0,VLOOKUP(U51,Hraci!$A$1:$I$1500,3,0)," ")</f>
        <v xml:space="preserve"> </v>
      </c>
      <c r="X51" s="471" t="str">
        <f ca="1">IF(N(U51)&gt;0,VLOOKUP(U51,Hraci!$A$1:$I$1500,5,0),IF(TYPE(INDIRECT(ADDRESS(ROW() + $A$9-7 + (ROW()-11)*4,3,1,1,"Internet")))&gt;1,INDIRECT(ADDRESS(ROW() + $A$9-7 + (ROW()-11)*4,3,1,1,"Internet"))," "))</f>
        <v xml:space="preserve"> </v>
      </c>
      <c r="Y51" s="472">
        <f ca="1">IF(N(U51)=0,9999,VLOOKUP(U51,Hraci!$A$1:$I$1500,8,0))</f>
        <v>9999</v>
      </c>
      <c r="Z51" s="473">
        <f ca="1">IF(N(U51)=0,0,VLOOKUP(U51,Hraci!$A$1:$I$1500,9,0))</f>
        <v>0</v>
      </c>
      <c r="AA51" s="469" t="str">
        <f t="shared" ca="1" si="27"/>
        <v/>
      </c>
      <c r="AB51" s="470" t="str">
        <f ca="1">IF(N(AA51)&gt;0,VLOOKUP(AA51,Hraci!$A$1:$I$1500,2,0)," ")</f>
        <v xml:space="preserve"> </v>
      </c>
      <c r="AC51" s="471" t="str">
        <f ca="1">IF(N(AA51)&gt;0,VLOOKUP(AA51,Hraci!$A$1:$I$1500,3,0)," ")</f>
        <v xml:space="preserve"> </v>
      </c>
      <c r="AD51" s="471" t="str">
        <f ca="1">IF(N(AA51)&gt;0,VLOOKUP(AA51,Hraci!$A$1:$I$1500,5,0)," ")</f>
        <v xml:space="preserve"> </v>
      </c>
      <c r="AE51" s="472">
        <f ca="1">IF(N(AA51)=0,9999,VLOOKUP(AA51,Hraci!$A$1:$I$1500,8,0))</f>
        <v>9999</v>
      </c>
      <c r="AF51" s="473">
        <f ca="1">IF(N(AA51)=0,0,VLOOKUP(AA51,Hraci!$A$1:$I$1500,9,0))</f>
        <v>0</v>
      </c>
      <c r="AG51" s="474"/>
      <c r="AH51" s="480">
        <f ca="1">IF(TYPE(VLOOKUP(H51,Nasazení!$A$3:$E$258,5,0))&lt;4,VLOOKUP(H51,Nasazení!$A$3:$E$258,5,0),0)</f>
        <v>64</v>
      </c>
      <c r="AI51" s="475">
        <f ca="1">IF(N($AH51)&gt;0,VLOOKUP($AH51,Body!$A$4:$F$259,5,0),"")</f>
        <v>288.35162500000001</v>
      </c>
      <c r="AJ51" s="476">
        <f ca="1">IF(N($AH51)&gt;0,VLOOKUP($AH51,Body!$A$4:$F$259,6,0),"")</f>
        <v>200</v>
      </c>
      <c r="AK51" s="475">
        <f ca="1">IF(N($AH51)&gt;0,VLOOKUP($AH51,Body!$A$4:$F$259,2,0),"")</f>
        <v>2</v>
      </c>
      <c r="AL51" s="477" t="str">
        <f t="shared" ca="1" si="28"/>
        <v>41 SKP Kulová osma - Pilát Petr</v>
      </c>
      <c r="AM51" s="478">
        <f t="shared" ca="1" si="29"/>
        <v>26.97</v>
      </c>
      <c r="AN51" s="408">
        <f ca="1">IF(OR(TYPE(I51)&gt;1,TYPE(MATCH(I51,I52:I$267,0))&gt;1),0,MATCH(I51,I52:I$267,0))+IF(OR(TYPE(I51)&gt;1,TYPE(MATCH(I51,O$11:O$267,0))&gt;1),0,MATCH(I51,O$11:O$267,0))+IF(OR(TYPE(I51)&gt;1,TYPE(MATCH(I51,U$11:U$267,0))&gt;1),0,MATCH(I51,U$11:U$267,0))+IF(OR(TYPE(I51)&gt;1,TYPE(MATCH(I51,AA$11:AA$267,0))&gt;1),0,MATCH(I51,AA$11:AA$267,0))</f>
        <v>0</v>
      </c>
      <c r="AO51" s="408">
        <f ca="1">IF(OR(TYPE(O51)&gt;1,TYPE(MATCH(O51,I$11:I$267,0))&gt;1),0,MATCH(O51,I$11:I$267,0))+IF(OR(TYPE(O51)&gt;1,TYPE(MATCH(O51,O52:O$267,0))&gt;1),0,MATCH(O51,O52:O$267,0))+IF(OR(TYPE(O51)&gt;1,TYPE(MATCH(O51,U$11:U$267,0))&gt;1),0,MATCH(O51,U$11:U$267,0))+IF(OR(TYPE(O51)&gt;1,TYPE(MATCH(O51,AA$11:AA$267,0))&gt;1),0,MATCH(O51,AA$11:AA$267,0))</f>
        <v>0</v>
      </c>
      <c r="AP51" s="408">
        <f ca="1">IF(OR(TYPE(U51)&gt;1,TYPE(MATCH(U51,I$11:I$267,0))&gt;1),0,MATCH(U51,I$11:I$267,0))+IF(OR(TYPE(U51)&gt;1,TYPE(MATCH(U51,O$11:O$267,0))&gt;1),0,MATCH(U51,O$11:O$267,0))+IF(OR(TYPE(U51)&gt;1,TYPE(MATCH(U51,U52:U$267,0))&gt;1),0,MATCH(U51,U52:U$267,0))+IF(OR(TYPE(U51)&gt;1,TYPE(MATCH(U51,AA$11:AA$267,0))&gt;1),0,MATCH(U51,AA$11:AA$267,0))</f>
        <v>0</v>
      </c>
      <c r="AQ51" s="408">
        <f ca="1">IF(OR(TYPE(AA51)&gt;1,TYPE(MATCH(AA51,I$11:I$267,0))&gt;1),0,MATCH(AA51,I$11:I$267,0))+IF(OR(TYPE(AA51)&gt;1,TYPE(MATCH(AA51,O$11:O$267,0))&gt;1),0,MATCH(AA51,O$11:O$267,0))+IF(OR(TYPE(AA51)&gt;1,TYPE(MATCH(AA51,U$11:U$267,0))&gt;1),0,MATCH(U51,U$11:U$267,0))+IF(OR(TYPE(AA51)&gt;1,TYPE(MATCH(AA51,AA52:AA$267,0))&gt;1),0,MATCH(AA51,AA52:AA$267,0))</f>
        <v>0</v>
      </c>
      <c r="AR51" s="408">
        <f t="shared" ca="1" si="14"/>
        <v>0</v>
      </c>
      <c r="BF51" s="408">
        <f t="shared" si="15"/>
        <v>41</v>
      </c>
    </row>
    <row r="52" spans="1:58" ht="14.25">
      <c r="A52" s="430">
        <f t="shared" ca="1" si="16"/>
        <v>1</v>
      </c>
      <c r="B52" s="430">
        <f t="shared" ca="1" si="17"/>
        <v>1</v>
      </c>
      <c r="C52" s="430">
        <f t="shared" ca="1" si="18"/>
        <v>26.376999999999999</v>
      </c>
      <c r="D52" s="430">
        <f t="shared" ca="1" si="19"/>
        <v>20063</v>
      </c>
      <c r="E52" s="430">
        <f t="shared" ca="1" si="20"/>
        <v>65</v>
      </c>
      <c r="F52" s="431" t="str">
        <f t="shared" ca="1" si="21"/>
        <v>91026377979936999934691804</v>
      </c>
      <c r="G52" s="467" t="b">
        <f t="shared" ca="1" si="22"/>
        <v>0</v>
      </c>
      <c r="H52" s="468">
        <f t="shared" si="23"/>
        <v>42</v>
      </c>
      <c r="I52" s="469">
        <f t="shared" ca="1" si="24"/>
        <v>14094</v>
      </c>
      <c r="J52" s="470" t="str">
        <f ca="1">IF(N(I52)&gt;0,VLOOKUP(I52,Hraci!$A$1:$I$1500,2,0),IF(TYPE(INDIRECT(ADDRESS(ROW() + $A$9-9 + (ROW()-11)*4,2,1,1,"Internet")))&gt;1,INDIRECT(ADDRESS(ROW() + $A$9-9 + (ROW()-11)*4,2,1,1,"Internet"))," "))</f>
        <v>Šedivý</v>
      </c>
      <c r="K52" s="471" t="str">
        <f ca="1">IF(N(I52)&gt;0,VLOOKUP(I52,Hraci!$A$1:$I$1500,3,0)," ")</f>
        <v>Zdeněk</v>
      </c>
      <c r="L52" s="471" t="str">
        <f ca="1">IF(N(I52)&gt;0,VLOOKUP(I52,Hraci!$A$1:$I$1500,5,0),IF(TYPE(INDIRECT(ADDRESS(ROW() + $A$9-9 + (ROW()-11)*4,3,1,1,"Internet")))&gt;1,INDIRECT(ADDRESS(ROW() + $A$9-9 + (ROW()-11)*4,3,1,1,"Internet"))," "))</f>
        <v>FRAPECO</v>
      </c>
      <c r="M52" s="472">
        <f ca="1">IF(N(I52)=0,9999,VLOOKUP(I52,Hraci!$A$1:$I$1500,8,0))</f>
        <v>65</v>
      </c>
      <c r="N52" s="473">
        <f ca="1">IF(N(I52)=0,0,VLOOKUP(I52,Hraci!$A$1:$I$1500,9,0))</f>
        <v>26.376999999999999</v>
      </c>
      <c r="O52" s="469" t="str">
        <f t="shared" ca="1" si="25"/>
        <v/>
      </c>
      <c r="P52" s="470" t="str">
        <f ca="1">IF(N(O52)&gt;0,VLOOKUP(O52,Hraci!$A$1:$I$1500,2,0),IF(TYPE(INDIRECT(ADDRESS(ROW() + $A$9-8 + (ROW()-11)*4,2,1,1,"Internet")))&gt;1,INDIRECT(ADDRESS(ROW() + $A$9-8 + (ROW()-11)*4,2,1,1,"Internet"))," "))</f>
        <v xml:space="preserve"> </v>
      </c>
      <c r="Q52" s="471" t="str">
        <f ca="1">IF(N(O52)&gt;0,VLOOKUP(O52,Hraci!$A$1:$I$1500,3,0)," ")</f>
        <v xml:space="preserve"> </v>
      </c>
      <c r="R52" s="471" t="str">
        <f ca="1">IF(N(O52)&gt;0,VLOOKUP(O52,Hraci!$A$1:$I$1500,5,0),IF(TYPE(INDIRECT(ADDRESS(ROW() + $A$9-8 + (ROW()-11)*4,3,1,1,"Internet")))&gt;1,INDIRECT(ADDRESS(ROW() + $A$9-8 + (ROW()-11)*4,3,1,1,"Internet"))," "))</f>
        <v xml:space="preserve"> </v>
      </c>
      <c r="S52" s="472">
        <f ca="1">IF(N(O52)=0,9999,VLOOKUP(O52,Hraci!$A$1:$I$1500,8,0))</f>
        <v>9999</v>
      </c>
      <c r="T52" s="473">
        <f ca="1">IF(N(O52)=0,0,VLOOKUP(O52,Hraci!$A$1:$I$1500,9,0))</f>
        <v>0</v>
      </c>
      <c r="U52" s="469" t="str">
        <f t="shared" ca="1" si="26"/>
        <v/>
      </c>
      <c r="V52" s="470" t="str">
        <f ca="1">IF(N(U52)&gt;0,VLOOKUP(U52,Hraci!$A$1:$I$1500,2,0),IF(TYPE(INDIRECT(ADDRESS(ROW() + $A$9-7 + (ROW()-11)*4,2,1,1,"Internet")))&gt;1,INDIRECT(ADDRESS(ROW() + $A$9-7 + (ROW()-11)*4,2,1,1,"Internet"))," "))</f>
        <v xml:space="preserve"> </v>
      </c>
      <c r="W52" s="471" t="str">
        <f ca="1">IF(N(U52)&gt;0,VLOOKUP(U52,Hraci!$A$1:$I$1500,3,0)," ")</f>
        <v xml:space="preserve"> </v>
      </c>
      <c r="X52" s="471" t="str">
        <f ca="1">IF(N(U52)&gt;0,VLOOKUP(U52,Hraci!$A$1:$I$1500,5,0),IF(TYPE(INDIRECT(ADDRESS(ROW() + $A$9-7 + (ROW()-11)*4,3,1,1,"Internet")))&gt;1,INDIRECT(ADDRESS(ROW() + $A$9-7 + (ROW()-11)*4,3,1,1,"Internet"))," "))</f>
        <v xml:space="preserve"> </v>
      </c>
      <c r="Y52" s="472">
        <f ca="1">IF(N(U52)=0,9999,VLOOKUP(U52,Hraci!$A$1:$I$1500,8,0))</f>
        <v>9999</v>
      </c>
      <c r="Z52" s="473">
        <f ca="1">IF(N(U52)=0,0,VLOOKUP(U52,Hraci!$A$1:$I$1500,9,0))</f>
        <v>0</v>
      </c>
      <c r="AA52" s="469" t="str">
        <f t="shared" ca="1" si="27"/>
        <v/>
      </c>
      <c r="AB52" s="470" t="str">
        <f ca="1">IF(N(AA52)&gt;0,VLOOKUP(AA52,Hraci!$A$1:$I$1500,2,0)," ")</f>
        <v xml:space="preserve"> </v>
      </c>
      <c r="AC52" s="471" t="str">
        <f ca="1">IF(N(AA52)&gt;0,VLOOKUP(AA52,Hraci!$A$1:$I$1500,3,0)," ")</f>
        <v xml:space="preserve"> </v>
      </c>
      <c r="AD52" s="471" t="str">
        <f ca="1">IF(N(AA52)&gt;0,VLOOKUP(AA52,Hraci!$A$1:$I$1500,5,0)," ")</f>
        <v xml:space="preserve"> </v>
      </c>
      <c r="AE52" s="472">
        <f ca="1">IF(N(AA52)=0,9999,VLOOKUP(AA52,Hraci!$A$1:$I$1500,8,0))</f>
        <v>9999</v>
      </c>
      <c r="AF52" s="473">
        <f ca="1">IF(N(AA52)=0,0,VLOOKUP(AA52,Hraci!$A$1:$I$1500,9,0))</f>
        <v>0</v>
      </c>
      <c r="AG52" s="474"/>
      <c r="AH52" s="480">
        <v>129</v>
      </c>
      <c r="AI52" s="475">
        <f ca="1">IF(N($AH52)&gt;0,VLOOKUP($AH52,Body!$A$4:$F$259,5,0),"")</f>
        <v>553.40650000000005</v>
      </c>
      <c r="AJ52" s="476">
        <f ca="1">IF(N($AH52)&gt;0,VLOOKUP($AH52,Body!$A$4:$F$259,6,0),"")</f>
        <v>200</v>
      </c>
      <c r="AK52" s="475">
        <f ca="1">IF(N($AH52)&gt;0,VLOOKUP($AH52,Body!$A$4:$F$259,2,0),"")</f>
        <v>8</v>
      </c>
      <c r="AL52" s="477" t="str">
        <f t="shared" ca="1" si="28"/>
        <v>42 FRAPECO - Šedivý Zdeněk</v>
      </c>
      <c r="AM52" s="478">
        <f t="shared" ca="1" si="29"/>
        <v>26.376999999999999</v>
      </c>
      <c r="AN52" s="408">
        <f ca="1">IF(OR(TYPE(I52)&gt;1,TYPE(MATCH(I52,I53:I$267,0))&gt;1),0,MATCH(I52,I53:I$267,0))+IF(OR(TYPE(I52)&gt;1,TYPE(MATCH(I52,O$11:O$267,0))&gt;1),0,MATCH(I52,O$11:O$267,0))+IF(OR(TYPE(I52)&gt;1,TYPE(MATCH(I52,U$11:U$267,0))&gt;1),0,MATCH(I52,U$11:U$267,0))+IF(OR(TYPE(I52)&gt;1,TYPE(MATCH(I52,AA$11:AA$267,0))&gt;1),0,MATCH(I52,AA$11:AA$267,0))</f>
        <v>0</v>
      </c>
      <c r="AO52" s="408">
        <f ca="1">IF(OR(TYPE(O52)&gt;1,TYPE(MATCH(O52,I$11:I$267,0))&gt;1),0,MATCH(O52,I$11:I$267,0))+IF(OR(TYPE(O52)&gt;1,TYPE(MATCH(O52,O53:O$267,0))&gt;1),0,MATCH(O52,O53:O$267,0))+IF(OR(TYPE(O52)&gt;1,TYPE(MATCH(O52,U$11:U$267,0))&gt;1),0,MATCH(O52,U$11:U$267,0))+IF(OR(TYPE(O52)&gt;1,TYPE(MATCH(O52,AA$11:AA$267,0))&gt;1),0,MATCH(O52,AA$11:AA$267,0))</f>
        <v>0</v>
      </c>
      <c r="AP52" s="408">
        <f ca="1">IF(OR(TYPE(U52)&gt;1,TYPE(MATCH(U52,I$11:I$267,0))&gt;1),0,MATCH(U52,I$11:I$267,0))+IF(OR(TYPE(U52)&gt;1,TYPE(MATCH(U52,O$11:O$267,0))&gt;1),0,MATCH(U52,O$11:O$267,0))+IF(OR(TYPE(U52)&gt;1,TYPE(MATCH(U52,U53:U$267,0))&gt;1),0,MATCH(U52,U53:U$267,0))+IF(OR(TYPE(U52)&gt;1,TYPE(MATCH(U52,AA$11:AA$267,0))&gt;1),0,MATCH(U52,AA$11:AA$267,0))</f>
        <v>0</v>
      </c>
      <c r="AQ52" s="408">
        <f ca="1">IF(OR(TYPE(AA52)&gt;1,TYPE(MATCH(AA52,I$11:I$267,0))&gt;1),0,MATCH(AA52,I$11:I$267,0))+IF(OR(TYPE(AA52)&gt;1,TYPE(MATCH(AA52,O$11:O$267,0))&gt;1),0,MATCH(AA52,O$11:O$267,0))+IF(OR(TYPE(AA52)&gt;1,TYPE(MATCH(AA52,U$11:U$267,0))&gt;1),0,MATCH(U52,U$11:U$267,0))+IF(OR(TYPE(AA52)&gt;1,TYPE(MATCH(AA52,AA53:AA$267,0))&gt;1),0,MATCH(AA52,AA53:AA$267,0))</f>
        <v>0</v>
      </c>
      <c r="AR52" s="408">
        <f t="shared" ca="1" si="14"/>
        <v>0</v>
      </c>
      <c r="BF52" s="408">
        <f t="shared" si="15"/>
        <v>42</v>
      </c>
    </row>
    <row r="53" spans="1:58" ht="14.25">
      <c r="A53" s="430">
        <f t="shared" ca="1" si="16"/>
        <v>1</v>
      </c>
      <c r="B53" s="430">
        <f t="shared" ca="1" si="17"/>
        <v>1</v>
      </c>
      <c r="C53" s="430">
        <f t="shared" ca="1" si="18"/>
        <v>26.312999999999999</v>
      </c>
      <c r="D53" s="430">
        <f t="shared" ca="1" si="19"/>
        <v>20039</v>
      </c>
      <c r="E53" s="430">
        <f t="shared" ca="1" si="20"/>
        <v>41</v>
      </c>
      <c r="F53" s="431" t="str">
        <f t="shared" ca="1" si="21"/>
        <v>91026313979960999958990925</v>
      </c>
      <c r="G53" s="467" t="b">
        <f t="shared" ca="1" si="22"/>
        <v>0</v>
      </c>
      <c r="H53" s="468">
        <f t="shared" si="23"/>
        <v>43</v>
      </c>
      <c r="I53" s="469">
        <f t="shared" ca="1" si="24"/>
        <v>15023</v>
      </c>
      <c r="J53" s="470" t="str">
        <f ca="1">IF(N(I53)&gt;0,VLOOKUP(I53,Hraci!$A$1:$I$1500,2,0),IF(TYPE(INDIRECT(ADDRESS(ROW() + $A$9-9 + (ROW()-11)*4,2,1,1,"Internet")))&gt;1,INDIRECT(ADDRESS(ROW() + $A$9-9 + (ROW()-11)*4,2,1,1,"Internet"))," "))</f>
        <v>Přibyl</v>
      </c>
      <c r="K53" s="471" t="str">
        <f ca="1">IF(N(I53)&gt;0,VLOOKUP(I53,Hraci!$A$1:$I$1500,3,0)," ")</f>
        <v>Miloš</v>
      </c>
      <c r="L53" s="471" t="str">
        <f ca="1">IF(N(I53)&gt;0,VLOOKUP(I53,Hraci!$A$1:$I$1500,5,0),IF(TYPE(INDIRECT(ADDRESS(ROW() + $A$9-9 + (ROW()-11)*4,3,1,1,"Internet")))&gt;1,INDIRECT(ADDRESS(ROW() + $A$9-9 + (ROW()-11)*4,3,1,1,"Internet"))," "))</f>
        <v>SK Sahara Vědomice</v>
      </c>
      <c r="M53" s="472">
        <f ca="1">IF(N(I53)=0,9999,VLOOKUP(I53,Hraci!$A$1:$I$1500,8,0))</f>
        <v>41</v>
      </c>
      <c r="N53" s="473">
        <f ca="1">IF(N(I53)=0,0,VLOOKUP(I53,Hraci!$A$1:$I$1500,9,0))</f>
        <v>26.312999999999999</v>
      </c>
      <c r="O53" s="469" t="str">
        <f t="shared" ca="1" si="25"/>
        <v/>
      </c>
      <c r="P53" s="470" t="str">
        <f ca="1">IF(N(O53)&gt;0,VLOOKUP(O53,Hraci!$A$1:$I$1500,2,0),IF(TYPE(INDIRECT(ADDRESS(ROW() + $A$9-8 + (ROW()-11)*4,2,1,1,"Internet")))&gt;1,INDIRECT(ADDRESS(ROW() + $A$9-8 + (ROW()-11)*4,2,1,1,"Internet"))," "))</f>
        <v xml:space="preserve"> </v>
      </c>
      <c r="Q53" s="471" t="str">
        <f ca="1">IF(N(O53)&gt;0,VLOOKUP(O53,Hraci!$A$1:$I$1500,3,0)," ")</f>
        <v xml:space="preserve"> </v>
      </c>
      <c r="R53" s="471" t="str">
        <f ca="1">IF(N(O53)&gt;0,VLOOKUP(O53,Hraci!$A$1:$I$1500,5,0),IF(TYPE(INDIRECT(ADDRESS(ROW() + $A$9-8 + (ROW()-11)*4,3,1,1,"Internet")))&gt;1,INDIRECT(ADDRESS(ROW() + $A$9-8 + (ROW()-11)*4,3,1,1,"Internet"))," "))</f>
        <v xml:space="preserve"> </v>
      </c>
      <c r="S53" s="472">
        <f ca="1">IF(N(O53)=0,9999,VLOOKUP(O53,Hraci!$A$1:$I$1500,8,0))</f>
        <v>9999</v>
      </c>
      <c r="T53" s="473">
        <f ca="1">IF(N(O53)=0,0,VLOOKUP(O53,Hraci!$A$1:$I$1500,9,0))</f>
        <v>0</v>
      </c>
      <c r="U53" s="469" t="str">
        <f t="shared" ca="1" si="26"/>
        <v/>
      </c>
      <c r="V53" s="470" t="str">
        <f ca="1">IF(N(U53)&gt;0,VLOOKUP(U53,Hraci!$A$1:$I$1500,2,0),IF(TYPE(INDIRECT(ADDRESS(ROW() + $A$9-7 + (ROW()-11)*4,2,1,1,"Internet")))&gt;1,INDIRECT(ADDRESS(ROW() + $A$9-7 + (ROW()-11)*4,2,1,1,"Internet"))," "))</f>
        <v xml:space="preserve"> </v>
      </c>
      <c r="W53" s="471" t="str">
        <f ca="1">IF(N(U53)&gt;0,VLOOKUP(U53,Hraci!$A$1:$I$1500,3,0)," ")</f>
        <v xml:space="preserve"> </v>
      </c>
      <c r="X53" s="471" t="str">
        <f ca="1">IF(N(U53)&gt;0,VLOOKUP(U53,Hraci!$A$1:$I$1500,5,0),IF(TYPE(INDIRECT(ADDRESS(ROW() + $A$9-7 + (ROW()-11)*4,3,1,1,"Internet")))&gt;1,INDIRECT(ADDRESS(ROW() + $A$9-7 + (ROW()-11)*4,3,1,1,"Internet"))," "))</f>
        <v xml:space="preserve"> </v>
      </c>
      <c r="Y53" s="472">
        <f ca="1">IF(N(U53)=0,9999,VLOOKUP(U53,Hraci!$A$1:$I$1500,8,0))</f>
        <v>9999</v>
      </c>
      <c r="Z53" s="473">
        <f ca="1">IF(N(U53)=0,0,VLOOKUP(U53,Hraci!$A$1:$I$1500,9,0))</f>
        <v>0</v>
      </c>
      <c r="AA53" s="469" t="str">
        <f t="shared" ca="1" si="27"/>
        <v/>
      </c>
      <c r="AB53" s="470" t="str">
        <f ca="1">IF(N(AA53)&gt;0,VLOOKUP(AA53,Hraci!$A$1:$I$1500,2,0)," ")</f>
        <v xml:space="preserve"> </v>
      </c>
      <c r="AC53" s="471" t="str">
        <f ca="1">IF(N(AA53)&gt;0,VLOOKUP(AA53,Hraci!$A$1:$I$1500,3,0)," ")</f>
        <v xml:space="preserve"> </v>
      </c>
      <c r="AD53" s="471" t="str">
        <f ca="1">IF(N(AA53)&gt;0,VLOOKUP(AA53,Hraci!$A$1:$I$1500,5,0)," ")</f>
        <v xml:space="preserve"> </v>
      </c>
      <c r="AE53" s="472">
        <f ca="1">IF(N(AA53)=0,9999,VLOOKUP(AA53,Hraci!$A$1:$I$1500,8,0))</f>
        <v>9999</v>
      </c>
      <c r="AF53" s="473">
        <f ca="1">IF(N(AA53)=0,0,VLOOKUP(AA53,Hraci!$A$1:$I$1500,9,0))</f>
        <v>0</v>
      </c>
      <c r="AG53" s="474"/>
      <c r="AH53" s="480">
        <f ca="1">IF(TYPE(VLOOKUP(H53,Nasazení!$A$3:$E$258,5,0))&lt;4,VLOOKUP(H53,Nasazení!$A$3:$E$258,5,0),0)</f>
        <v>64</v>
      </c>
      <c r="AI53" s="475">
        <f ca="1">IF(N($AH53)&gt;0,VLOOKUP($AH53,Body!$A$4:$F$259,5,0),"")</f>
        <v>288.35162500000001</v>
      </c>
      <c r="AJ53" s="476">
        <f ca="1">IF(N($AH53)&gt;0,VLOOKUP($AH53,Body!$A$4:$F$259,6,0),"")</f>
        <v>200</v>
      </c>
      <c r="AK53" s="475">
        <f ca="1">IF(N($AH53)&gt;0,VLOOKUP($AH53,Body!$A$4:$F$259,2,0),"")</f>
        <v>2</v>
      </c>
      <c r="AL53" s="477" t="str">
        <f t="shared" ca="1" si="28"/>
        <v>43 SK Sahara Vědomice - Přibyl Miloš</v>
      </c>
      <c r="AM53" s="478">
        <f t="shared" ca="1" si="29"/>
        <v>26.312999999999999</v>
      </c>
      <c r="AN53" s="408">
        <f ca="1">IF(OR(TYPE(I53)&gt;1,TYPE(MATCH(I53,I54:I$267,0))&gt;1),0,MATCH(I53,I54:I$267,0))+IF(OR(TYPE(I53)&gt;1,TYPE(MATCH(I53,O$11:O$267,0))&gt;1),0,MATCH(I53,O$11:O$267,0))+IF(OR(TYPE(I53)&gt;1,TYPE(MATCH(I53,U$11:U$267,0))&gt;1),0,MATCH(I53,U$11:U$267,0))+IF(OR(TYPE(I53)&gt;1,TYPE(MATCH(I53,AA$11:AA$267,0))&gt;1),0,MATCH(I53,AA$11:AA$267,0))</f>
        <v>0</v>
      </c>
      <c r="AO53" s="408">
        <f ca="1">IF(OR(TYPE(O53)&gt;1,TYPE(MATCH(O53,I$11:I$267,0))&gt;1),0,MATCH(O53,I$11:I$267,0))+IF(OR(TYPE(O53)&gt;1,TYPE(MATCH(O53,O54:O$267,0))&gt;1),0,MATCH(O53,O54:O$267,0))+IF(OR(TYPE(O53)&gt;1,TYPE(MATCH(O53,U$11:U$267,0))&gt;1),0,MATCH(O53,U$11:U$267,0))+IF(OR(TYPE(O53)&gt;1,TYPE(MATCH(O53,AA$11:AA$267,0))&gt;1),0,MATCH(O53,AA$11:AA$267,0))</f>
        <v>0</v>
      </c>
      <c r="AP53" s="408">
        <f ca="1">IF(OR(TYPE(U53)&gt;1,TYPE(MATCH(U53,I$11:I$267,0))&gt;1),0,MATCH(U53,I$11:I$267,0))+IF(OR(TYPE(U53)&gt;1,TYPE(MATCH(U53,O$11:O$267,0))&gt;1),0,MATCH(U53,O$11:O$267,0))+IF(OR(TYPE(U53)&gt;1,TYPE(MATCH(U53,U54:U$267,0))&gt;1),0,MATCH(U53,U54:U$267,0))+IF(OR(TYPE(U53)&gt;1,TYPE(MATCH(U53,AA$11:AA$267,0))&gt;1),0,MATCH(U53,AA$11:AA$267,0))</f>
        <v>0</v>
      </c>
      <c r="AQ53" s="408">
        <f ca="1">IF(OR(TYPE(AA53)&gt;1,TYPE(MATCH(AA53,I$11:I$267,0))&gt;1),0,MATCH(AA53,I$11:I$267,0))+IF(OR(TYPE(AA53)&gt;1,TYPE(MATCH(AA53,O$11:O$267,0))&gt;1),0,MATCH(AA53,O$11:O$267,0))+IF(OR(TYPE(AA53)&gt;1,TYPE(MATCH(AA53,U$11:U$267,0))&gt;1),0,MATCH(U53,U$11:U$267,0))+IF(OR(TYPE(AA53)&gt;1,TYPE(MATCH(AA53,AA54:AA$267,0))&gt;1),0,MATCH(AA53,AA54:AA$267,0))</f>
        <v>0</v>
      </c>
      <c r="AR53" s="408">
        <f t="shared" ca="1" si="14"/>
        <v>0</v>
      </c>
      <c r="BF53" s="408">
        <f t="shared" si="15"/>
        <v>43</v>
      </c>
    </row>
    <row r="54" spans="1:58" ht="14.25">
      <c r="A54" s="430">
        <f t="shared" ca="1" si="16"/>
        <v>1</v>
      </c>
      <c r="B54" s="430">
        <f t="shared" ca="1" si="17"/>
        <v>1</v>
      </c>
      <c r="C54" s="430">
        <f t="shared" ca="1" si="18"/>
        <v>26.126999999999999</v>
      </c>
      <c r="D54" s="430">
        <f t="shared" ca="1" si="19"/>
        <v>20050</v>
      </c>
      <c r="E54" s="430">
        <f t="shared" ca="1" si="20"/>
        <v>52</v>
      </c>
      <c r="F54" s="431" t="str">
        <f t="shared" ca="1" si="21"/>
        <v>91026127979949999947462608</v>
      </c>
      <c r="G54" s="467" t="b">
        <f t="shared" ca="1" si="22"/>
        <v>0</v>
      </c>
      <c r="H54" s="468">
        <f t="shared" si="23"/>
        <v>44</v>
      </c>
      <c r="I54" s="469">
        <f t="shared" ca="1" si="24"/>
        <v>14079</v>
      </c>
      <c r="J54" s="470" t="str">
        <f ca="1">IF(N(I54)&gt;0,VLOOKUP(I54,Hraci!$A$1:$I$1500,2,0),IF(TYPE(INDIRECT(ADDRESS(ROW() + $A$9-9 + (ROW()-11)*4,2,1,1,"Internet")))&gt;1,INDIRECT(ADDRESS(ROW() + $A$9-9 + (ROW()-11)*4,2,1,1,"Internet"))," "))</f>
        <v>Vorel</v>
      </c>
      <c r="K54" s="471" t="str">
        <f ca="1">IF(N(I54)&gt;0,VLOOKUP(I54,Hraci!$A$1:$I$1500,3,0)," ")</f>
        <v>Jan</v>
      </c>
      <c r="L54" s="471" t="str">
        <f ca="1">IF(N(I54)&gt;0,VLOOKUP(I54,Hraci!$A$1:$I$1500,5,0),IF(TYPE(INDIRECT(ADDRESS(ROW() + $A$9-9 + (ROW()-11)*4,3,1,1,"Internet")))&gt;1,INDIRECT(ADDRESS(ROW() + $A$9-9 + (ROW()-11)*4,3,1,1,"Internet"))," "))</f>
        <v>Petank Club Praha</v>
      </c>
      <c r="M54" s="472">
        <f ca="1">IF(N(I54)=0,9999,VLOOKUP(I54,Hraci!$A$1:$I$1500,8,0))</f>
        <v>52</v>
      </c>
      <c r="N54" s="473">
        <f ca="1">IF(N(I54)=0,0,VLOOKUP(I54,Hraci!$A$1:$I$1500,9,0))</f>
        <v>26.126999999999999</v>
      </c>
      <c r="O54" s="469" t="str">
        <f t="shared" ca="1" si="25"/>
        <v/>
      </c>
      <c r="P54" s="470" t="str">
        <f ca="1">IF(N(O54)&gt;0,VLOOKUP(O54,Hraci!$A$1:$I$1500,2,0),IF(TYPE(INDIRECT(ADDRESS(ROW() + $A$9-8 + (ROW()-11)*4,2,1,1,"Internet")))&gt;1,INDIRECT(ADDRESS(ROW() + $A$9-8 + (ROW()-11)*4,2,1,1,"Internet"))," "))</f>
        <v xml:space="preserve"> </v>
      </c>
      <c r="Q54" s="471" t="str">
        <f ca="1">IF(N(O54)&gt;0,VLOOKUP(O54,Hraci!$A$1:$I$1500,3,0)," ")</f>
        <v xml:space="preserve"> </v>
      </c>
      <c r="R54" s="471" t="str">
        <f ca="1">IF(N(O54)&gt;0,VLOOKUP(O54,Hraci!$A$1:$I$1500,5,0),IF(TYPE(INDIRECT(ADDRESS(ROW() + $A$9-8 + (ROW()-11)*4,3,1,1,"Internet")))&gt;1,INDIRECT(ADDRESS(ROW() + $A$9-8 + (ROW()-11)*4,3,1,1,"Internet"))," "))</f>
        <v xml:space="preserve"> </v>
      </c>
      <c r="S54" s="472">
        <f ca="1">IF(N(O54)=0,9999,VLOOKUP(O54,Hraci!$A$1:$I$1500,8,0))</f>
        <v>9999</v>
      </c>
      <c r="T54" s="473">
        <f ca="1">IF(N(O54)=0,0,VLOOKUP(O54,Hraci!$A$1:$I$1500,9,0))</f>
        <v>0</v>
      </c>
      <c r="U54" s="469" t="str">
        <f t="shared" ca="1" si="26"/>
        <v/>
      </c>
      <c r="V54" s="470" t="str">
        <f ca="1">IF(N(U54)&gt;0,VLOOKUP(U54,Hraci!$A$1:$I$1500,2,0),IF(TYPE(INDIRECT(ADDRESS(ROW() + $A$9-7 + (ROW()-11)*4,2,1,1,"Internet")))&gt;1,INDIRECT(ADDRESS(ROW() + $A$9-7 + (ROW()-11)*4,2,1,1,"Internet"))," "))</f>
        <v xml:space="preserve"> </v>
      </c>
      <c r="W54" s="471" t="str">
        <f ca="1">IF(N(U54)&gt;0,VLOOKUP(U54,Hraci!$A$1:$I$1500,3,0)," ")</f>
        <v xml:space="preserve"> </v>
      </c>
      <c r="X54" s="471" t="str">
        <f ca="1">IF(N(U54)&gt;0,VLOOKUP(U54,Hraci!$A$1:$I$1500,5,0),IF(TYPE(INDIRECT(ADDRESS(ROW() + $A$9-7 + (ROW()-11)*4,3,1,1,"Internet")))&gt;1,INDIRECT(ADDRESS(ROW() + $A$9-7 + (ROW()-11)*4,3,1,1,"Internet"))," "))</f>
        <v xml:space="preserve"> </v>
      </c>
      <c r="Y54" s="472">
        <f ca="1">IF(N(U54)=0,9999,VLOOKUP(U54,Hraci!$A$1:$I$1500,8,0))</f>
        <v>9999</v>
      </c>
      <c r="Z54" s="473">
        <f ca="1">IF(N(U54)=0,0,VLOOKUP(U54,Hraci!$A$1:$I$1500,9,0))</f>
        <v>0</v>
      </c>
      <c r="AA54" s="469" t="str">
        <f t="shared" ca="1" si="27"/>
        <v/>
      </c>
      <c r="AB54" s="470" t="str">
        <f ca="1">IF(N(AA54)&gt;0,VLOOKUP(AA54,Hraci!$A$1:$I$1500,2,0)," ")</f>
        <v xml:space="preserve"> </v>
      </c>
      <c r="AC54" s="471" t="str">
        <f ca="1">IF(N(AA54)&gt;0,VLOOKUP(AA54,Hraci!$A$1:$I$1500,3,0)," ")</f>
        <v xml:space="preserve"> </v>
      </c>
      <c r="AD54" s="471" t="str">
        <f ca="1">IF(N(AA54)&gt;0,VLOOKUP(AA54,Hraci!$A$1:$I$1500,5,0)," ")</f>
        <v xml:space="preserve"> </v>
      </c>
      <c r="AE54" s="472">
        <f ca="1">IF(N(AA54)=0,9999,VLOOKUP(AA54,Hraci!$A$1:$I$1500,8,0))</f>
        <v>9999</v>
      </c>
      <c r="AF54" s="473">
        <f ca="1">IF(N(AA54)=0,0,VLOOKUP(AA54,Hraci!$A$1:$I$1500,9,0))</f>
        <v>0</v>
      </c>
      <c r="AG54" s="474"/>
      <c r="AH54" s="480">
        <f ca="1">IF(TYPE(VLOOKUP(H54,Nasazení!$A$3:$E$258,5,0))&lt;4,VLOOKUP(H54,Nasazení!$A$3:$E$258,5,0),0)</f>
        <v>64</v>
      </c>
      <c r="AI54" s="475">
        <f ca="1">IF(N($AH54)&gt;0,VLOOKUP($AH54,Body!$A$4:$F$259,5,0),"")</f>
        <v>288.35162500000001</v>
      </c>
      <c r="AJ54" s="476">
        <f ca="1">IF(N($AH54)&gt;0,VLOOKUP($AH54,Body!$A$4:$F$259,6,0),"")</f>
        <v>200</v>
      </c>
      <c r="AK54" s="475">
        <f ca="1">IF(N($AH54)&gt;0,VLOOKUP($AH54,Body!$A$4:$F$259,2,0),"")</f>
        <v>2</v>
      </c>
      <c r="AL54" s="477" t="str">
        <f t="shared" ca="1" si="28"/>
        <v>44 Petank Club Praha - Vorel Jan</v>
      </c>
      <c r="AM54" s="478">
        <f t="shared" ca="1" si="29"/>
        <v>26.126999999999999</v>
      </c>
      <c r="AN54" s="408">
        <f ca="1">IF(OR(TYPE(I54)&gt;1,TYPE(MATCH(I54,I55:I$267,0))&gt;1),0,MATCH(I54,I55:I$267,0))+IF(OR(TYPE(I54)&gt;1,TYPE(MATCH(I54,O$11:O$267,0))&gt;1),0,MATCH(I54,O$11:O$267,0))+IF(OR(TYPE(I54)&gt;1,TYPE(MATCH(I54,U$11:U$267,0))&gt;1),0,MATCH(I54,U$11:U$267,0))+IF(OR(TYPE(I54)&gt;1,TYPE(MATCH(I54,AA$11:AA$267,0))&gt;1),0,MATCH(I54,AA$11:AA$267,0))</f>
        <v>0</v>
      </c>
      <c r="AO54" s="408">
        <f ca="1">IF(OR(TYPE(O54)&gt;1,TYPE(MATCH(O54,I$11:I$267,0))&gt;1),0,MATCH(O54,I$11:I$267,0))+IF(OR(TYPE(O54)&gt;1,TYPE(MATCH(O54,O55:O$267,0))&gt;1),0,MATCH(O54,O55:O$267,0))+IF(OR(TYPE(O54)&gt;1,TYPE(MATCH(O54,U$11:U$267,0))&gt;1),0,MATCH(O54,U$11:U$267,0))+IF(OR(TYPE(O54)&gt;1,TYPE(MATCH(O54,AA$11:AA$267,0))&gt;1),0,MATCH(O54,AA$11:AA$267,0))</f>
        <v>0</v>
      </c>
      <c r="AP54" s="408">
        <f ca="1">IF(OR(TYPE(U54)&gt;1,TYPE(MATCH(U54,I$11:I$267,0))&gt;1),0,MATCH(U54,I$11:I$267,0))+IF(OR(TYPE(U54)&gt;1,TYPE(MATCH(U54,O$11:O$267,0))&gt;1),0,MATCH(U54,O$11:O$267,0))+IF(OR(TYPE(U54)&gt;1,TYPE(MATCH(U54,U55:U$267,0))&gt;1),0,MATCH(U54,U55:U$267,0))+IF(OR(TYPE(U54)&gt;1,TYPE(MATCH(U54,AA$11:AA$267,0))&gt;1),0,MATCH(U54,AA$11:AA$267,0))</f>
        <v>0</v>
      </c>
      <c r="AQ54" s="408">
        <f ca="1">IF(OR(TYPE(AA54)&gt;1,TYPE(MATCH(AA54,I$11:I$267,0))&gt;1),0,MATCH(AA54,I$11:I$267,0))+IF(OR(TYPE(AA54)&gt;1,TYPE(MATCH(AA54,O$11:O$267,0))&gt;1),0,MATCH(AA54,O$11:O$267,0))+IF(OR(TYPE(AA54)&gt;1,TYPE(MATCH(AA54,U$11:U$267,0))&gt;1),0,MATCH(U54,U$11:U$267,0))+IF(OR(TYPE(AA54)&gt;1,TYPE(MATCH(AA54,AA55:AA$267,0))&gt;1),0,MATCH(AA54,AA55:AA$267,0))</f>
        <v>0</v>
      </c>
      <c r="AR54" s="408">
        <f t="shared" ca="1" si="14"/>
        <v>0</v>
      </c>
      <c r="BF54" s="408">
        <f t="shared" si="15"/>
        <v>44</v>
      </c>
    </row>
    <row r="55" spans="1:58" ht="14.25">
      <c r="A55" s="430">
        <f t="shared" ca="1" si="16"/>
        <v>1</v>
      </c>
      <c r="B55" s="430">
        <f t="shared" ca="1" si="17"/>
        <v>1</v>
      </c>
      <c r="C55" s="430">
        <f t="shared" ca="1" si="18"/>
        <v>26.094000000000001</v>
      </c>
      <c r="D55" s="430">
        <f t="shared" ca="1" si="19"/>
        <v>20052</v>
      </c>
      <c r="E55" s="430">
        <f t="shared" ca="1" si="20"/>
        <v>54</v>
      </c>
      <c r="F55" s="431" t="str">
        <f t="shared" ca="1" si="21"/>
        <v>91026094979947999945472147</v>
      </c>
      <c r="G55" s="467" t="b">
        <f t="shared" ca="1" si="22"/>
        <v>0</v>
      </c>
      <c r="H55" s="468">
        <f t="shared" si="23"/>
        <v>45</v>
      </c>
      <c r="I55" s="469">
        <f t="shared" ca="1" si="24"/>
        <v>28004</v>
      </c>
      <c r="J55" s="470" t="str">
        <f ca="1">IF(N(I55)&gt;0,VLOOKUP(I55,Hraci!$A$1:$I$1500,2,0),IF(TYPE(INDIRECT(ADDRESS(ROW() + $A$9-9 + (ROW()-11)*4,2,1,1,"Internet")))&gt;1,INDIRECT(ADDRESS(ROW() + $A$9-9 + (ROW()-11)*4,2,1,1,"Internet"))," "))</f>
        <v>Tománek</v>
      </c>
      <c r="K55" s="471" t="str">
        <f ca="1">IF(N(I55)&gt;0,VLOOKUP(I55,Hraci!$A$1:$I$1500,3,0)," ")</f>
        <v>Petr</v>
      </c>
      <c r="L55" s="471" t="str">
        <f ca="1">IF(N(I55)&gt;0,VLOOKUP(I55,Hraci!$A$1:$I$1500,5,0),IF(TYPE(INDIRECT(ADDRESS(ROW() + $A$9-9 + (ROW()-11)*4,3,1,1,"Internet")))&gt;1,INDIRECT(ADDRESS(ROW() + $A$9-9 + (ROW()-11)*4,3,1,1,"Internet"))," "))</f>
        <v>SKP Hranice VI-Valšovice</v>
      </c>
      <c r="M55" s="472">
        <f ca="1">IF(N(I55)=0,9999,VLOOKUP(I55,Hraci!$A$1:$I$1500,8,0))</f>
        <v>54</v>
      </c>
      <c r="N55" s="473">
        <f ca="1">IF(N(I55)=0,0,VLOOKUP(I55,Hraci!$A$1:$I$1500,9,0))</f>
        <v>26.094000000000001</v>
      </c>
      <c r="O55" s="469" t="str">
        <f t="shared" ca="1" si="25"/>
        <v/>
      </c>
      <c r="P55" s="470" t="str">
        <f ca="1">IF(N(O55)&gt;0,VLOOKUP(O55,Hraci!$A$1:$I$1500,2,0),IF(TYPE(INDIRECT(ADDRESS(ROW() + $A$9-8 + (ROW()-11)*4,2,1,1,"Internet")))&gt;1,INDIRECT(ADDRESS(ROW() + $A$9-8 + (ROW()-11)*4,2,1,1,"Internet"))," "))</f>
        <v xml:space="preserve"> </v>
      </c>
      <c r="Q55" s="471" t="str">
        <f ca="1">IF(N(O55)&gt;0,VLOOKUP(O55,Hraci!$A$1:$I$1500,3,0)," ")</f>
        <v xml:space="preserve"> </v>
      </c>
      <c r="R55" s="471" t="str">
        <f ca="1">IF(N(O55)&gt;0,VLOOKUP(O55,Hraci!$A$1:$I$1500,5,0),IF(TYPE(INDIRECT(ADDRESS(ROW() + $A$9-8 + (ROW()-11)*4,3,1,1,"Internet")))&gt;1,INDIRECT(ADDRESS(ROW() + $A$9-8 + (ROW()-11)*4,3,1,1,"Internet"))," "))</f>
        <v xml:space="preserve"> </v>
      </c>
      <c r="S55" s="472">
        <f ca="1">IF(N(O55)=0,9999,VLOOKUP(O55,Hraci!$A$1:$I$1500,8,0))</f>
        <v>9999</v>
      </c>
      <c r="T55" s="473">
        <f ca="1">IF(N(O55)=0,0,VLOOKUP(O55,Hraci!$A$1:$I$1500,9,0))</f>
        <v>0</v>
      </c>
      <c r="U55" s="469" t="str">
        <f t="shared" ca="1" si="26"/>
        <v/>
      </c>
      <c r="V55" s="470" t="str">
        <f ca="1">IF(N(U55)&gt;0,VLOOKUP(U55,Hraci!$A$1:$I$1500,2,0),IF(TYPE(INDIRECT(ADDRESS(ROW() + $A$9-7 + (ROW()-11)*4,2,1,1,"Internet")))&gt;1,INDIRECT(ADDRESS(ROW() + $A$9-7 + (ROW()-11)*4,2,1,1,"Internet"))," "))</f>
        <v xml:space="preserve"> </v>
      </c>
      <c r="W55" s="471" t="str">
        <f ca="1">IF(N(U55)&gt;0,VLOOKUP(U55,Hraci!$A$1:$I$1500,3,0)," ")</f>
        <v xml:space="preserve"> </v>
      </c>
      <c r="X55" s="471" t="str">
        <f ca="1">IF(N(U55)&gt;0,VLOOKUP(U55,Hraci!$A$1:$I$1500,5,0),IF(TYPE(INDIRECT(ADDRESS(ROW() + $A$9-7 + (ROW()-11)*4,3,1,1,"Internet")))&gt;1,INDIRECT(ADDRESS(ROW() + $A$9-7 + (ROW()-11)*4,3,1,1,"Internet"))," "))</f>
        <v xml:space="preserve"> </v>
      </c>
      <c r="Y55" s="472">
        <f ca="1">IF(N(U55)=0,9999,VLOOKUP(U55,Hraci!$A$1:$I$1500,8,0))</f>
        <v>9999</v>
      </c>
      <c r="Z55" s="473">
        <f ca="1">IF(N(U55)=0,0,VLOOKUP(U55,Hraci!$A$1:$I$1500,9,0))</f>
        <v>0</v>
      </c>
      <c r="AA55" s="469" t="str">
        <f t="shared" ca="1" si="27"/>
        <v/>
      </c>
      <c r="AB55" s="470" t="str">
        <f ca="1">IF(N(AA55)&gt;0,VLOOKUP(AA55,Hraci!$A$1:$I$1500,2,0)," ")</f>
        <v xml:space="preserve"> </v>
      </c>
      <c r="AC55" s="471" t="str">
        <f ca="1">IF(N(AA55)&gt;0,VLOOKUP(AA55,Hraci!$A$1:$I$1500,3,0)," ")</f>
        <v xml:space="preserve"> </v>
      </c>
      <c r="AD55" s="471" t="str">
        <f ca="1">IF(N(AA55)&gt;0,VLOOKUP(AA55,Hraci!$A$1:$I$1500,5,0)," ")</f>
        <v xml:space="preserve"> </v>
      </c>
      <c r="AE55" s="472">
        <f ca="1">IF(N(AA55)=0,9999,VLOOKUP(AA55,Hraci!$A$1:$I$1500,8,0))</f>
        <v>9999</v>
      </c>
      <c r="AF55" s="473">
        <f ca="1">IF(N(AA55)=0,0,VLOOKUP(AA55,Hraci!$A$1:$I$1500,9,0))</f>
        <v>0</v>
      </c>
      <c r="AG55" s="474"/>
      <c r="AH55" s="480">
        <v>7</v>
      </c>
      <c r="AI55" s="475">
        <f ca="1">IF(N($AH55)&gt;0,VLOOKUP($AH55,Body!$A$4:$F$259,5,0),"")</f>
        <v>431.92301562500001</v>
      </c>
      <c r="AJ55" s="476">
        <f ca="1">IF(N($AH55)&gt;0,VLOOKUP($AH55,Body!$A$4:$F$259,6,0),"")</f>
        <v>200</v>
      </c>
      <c r="AK55" s="475">
        <f ca="1">IF(N($AH55)&gt;0,VLOOKUP($AH55,Body!$A$4:$F$259,2,0),"")</f>
        <v>5.25</v>
      </c>
      <c r="AL55" s="477" t="str">
        <f t="shared" ca="1" si="28"/>
        <v>45 SKP Hranice VI-Valšovice - Tománek Petr</v>
      </c>
      <c r="AM55" s="478">
        <f t="shared" ca="1" si="29"/>
        <v>26.094000000000001</v>
      </c>
      <c r="AN55" s="408">
        <f ca="1">IF(OR(TYPE(I55)&gt;1,TYPE(MATCH(I55,I56:I$267,0))&gt;1),0,MATCH(I55,I56:I$267,0))+IF(OR(TYPE(I55)&gt;1,TYPE(MATCH(I55,O$11:O$267,0))&gt;1),0,MATCH(I55,O$11:O$267,0))+IF(OR(TYPE(I55)&gt;1,TYPE(MATCH(I55,U$11:U$267,0))&gt;1),0,MATCH(I55,U$11:U$267,0))+IF(OR(TYPE(I55)&gt;1,TYPE(MATCH(I55,AA$11:AA$267,0))&gt;1),0,MATCH(I55,AA$11:AA$267,0))</f>
        <v>0</v>
      </c>
      <c r="AO55" s="408">
        <f ca="1">IF(OR(TYPE(O55)&gt;1,TYPE(MATCH(O55,I$11:I$267,0))&gt;1),0,MATCH(O55,I$11:I$267,0))+IF(OR(TYPE(O55)&gt;1,TYPE(MATCH(O55,O56:O$267,0))&gt;1),0,MATCH(O55,O56:O$267,0))+IF(OR(TYPE(O55)&gt;1,TYPE(MATCH(O55,U$11:U$267,0))&gt;1),0,MATCH(O55,U$11:U$267,0))+IF(OR(TYPE(O55)&gt;1,TYPE(MATCH(O55,AA$11:AA$267,0))&gt;1),0,MATCH(O55,AA$11:AA$267,0))</f>
        <v>0</v>
      </c>
      <c r="AP55" s="408">
        <f ca="1">IF(OR(TYPE(U55)&gt;1,TYPE(MATCH(U55,I$11:I$267,0))&gt;1),0,MATCH(U55,I$11:I$267,0))+IF(OR(TYPE(U55)&gt;1,TYPE(MATCH(U55,O$11:O$267,0))&gt;1),0,MATCH(U55,O$11:O$267,0))+IF(OR(TYPE(U55)&gt;1,TYPE(MATCH(U55,U56:U$267,0))&gt;1),0,MATCH(U55,U56:U$267,0))+IF(OR(TYPE(U55)&gt;1,TYPE(MATCH(U55,AA$11:AA$267,0))&gt;1),0,MATCH(U55,AA$11:AA$267,0))</f>
        <v>0</v>
      </c>
      <c r="AQ55" s="408">
        <f ca="1">IF(OR(TYPE(AA55)&gt;1,TYPE(MATCH(AA55,I$11:I$267,0))&gt;1),0,MATCH(AA55,I$11:I$267,0))+IF(OR(TYPE(AA55)&gt;1,TYPE(MATCH(AA55,O$11:O$267,0))&gt;1),0,MATCH(AA55,O$11:O$267,0))+IF(OR(TYPE(AA55)&gt;1,TYPE(MATCH(AA55,U$11:U$267,0))&gt;1),0,MATCH(U55,U$11:U$267,0))+IF(OR(TYPE(AA55)&gt;1,TYPE(MATCH(AA55,AA56:AA$267,0))&gt;1),0,MATCH(AA55,AA56:AA$267,0))</f>
        <v>0</v>
      </c>
      <c r="AR55" s="408">
        <f t="shared" ca="1" si="14"/>
        <v>0</v>
      </c>
      <c r="BF55" s="408">
        <f t="shared" si="15"/>
        <v>45</v>
      </c>
    </row>
    <row r="56" spans="1:58" ht="14.25">
      <c r="A56" s="430">
        <f t="shared" ca="1" si="16"/>
        <v>1</v>
      </c>
      <c r="B56" s="430">
        <f t="shared" ca="1" si="17"/>
        <v>1</v>
      </c>
      <c r="C56" s="430">
        <f t="shared" ca="1" si="18"/>
        <v>25.937999999999999</v>
      </c>
      <c r="D56" s="430">
        <f t="shared" ca="1" si="19"/>
        <v>20035</v>
      </c>
      <c r="E56" s="430">
        <f t="shared" ca="1" si="20"/>
        <v>37</v>
      </c>
      <c r="F56" s="431" t="str">
        <f t="shared" ca="1" si="21"/>
        <v>91025938979964999962942453</v>
      </c>
      <c r="G56" s="467" t="b">
        <f t="shared" ca="1" si="22"/>
        <v>0</v>
      </c>
      <c r="H56" s="468">
        <f t="shared" si="23"/>
        <v>46</v>
      </c>
      <c r="I56" s="469">
        <f t="shared" ca="1" si="24"/>
        <v>25017</v>
      </c>
      <c r="J56" s="470" t="str">
        <f ca="1">IF(N(I56)&gt;0,VLOOKUP(I56,Hraci!$A$1:$I$1500,2,0),IF(TYPE(INDIRECT(ADDRESS(ROW() + $A$9-9 + (ROW()-11)*4,2,1,1,"Internet")))&gt;1,INDIRECT(ADDRESS(ROW() + $A$9-9 + (ROW()-11)*4,2,1,1,"Internet"))," "))</f>
        <v>Radoušová</v>
      </c>
      <c r="K56" s="471" t="str">
        <f ca="1">IF(N(I56)&gt;0,VLOOKUP(I56,Hraci!$A$1:$I$1500,3,0)," ")</f>
        <v>Jana</v>
      </c>
      <c r="L56" s="471" t="str">
        <f ca="1">IF(N(I56)&gt;0,VLOOKUP(I56,Hraci!$A$1:$I$1500,5,0),IF(TYPE(INDIRECT(ADDRESS(ROW() + $A$9-9 + (ROW()-11)*4,3,1,1,"Internet")))&gt;1,INDIRECT(ADDRESS(ROW() + $A$9-9 + (ROW()-11)*4,3,1,1,"Internet"))," "))</f>
        <v>PK Osika Plzeň</v>
      </c>
      <c r="M56" s="472">
        <f ca="1">IF(N(I56)=0,9999,VLOOKUP(I56,Hraci!$A$1:$I$1500,8,0))</f>
        <v>37</v>
      </c>
      <c r="N56" s="473">
        <f ca="1">IF(N(I56)=0,0,VLOOKUP(I56,Hraci!$A$1:$I$1500,9,0))</f>
        <v>25.937999999999999</v>
      </c>
      <c r="O56" s="469" t="str">
        <f t="shared" ca="1" si="25"/>
        <v/>
      </c>
      <c r="P56" s="470" t="str">
        <f ca="1">IF(N(O56)&gt;0,VLOOKUP(O56,Hraci!$A$1:$I$1500,2,0),IF(TYPE(INDIRECT(ADDRESS(ROW() + $A$9-8 + (ROW()-11)*4,2,1,1,"Internet")))&gt;1,INDIRECT(ADDRESS(ROW() + $A$9-8 + (ROW()-11)*4,2,1,1,"Internet"))," "))</f>
        <v xml:space="preserve"> </v>
      </c>
      <c r="Q56" s="471" t="str">
        <f ca="1">IF(N(O56)&gt;0,VLOOKUP(O56,Hraci!$A$1:$I$1500,3,0)," ")</f>
        <v xml:space="preserve"> </v>
      </c>
      <c r="R56" s="471" t="str">
        <f ca="1">IF(N(O56)&gt;0,VLOOKUP(O56,Hraci!$A$1:$I$1500,5,0),IF(TYPE(INDIRECT(ADDRESS(ROW() + $A$9-8 + (ROW()-11)*4,3,1,1,"Internet")))&gt;1,INDIRECT(ADDRESS(ROW() + $A$9-8 + (ROW()-11)*4,3,1,1,"Internet"))," "))</f>
        <v xml:space="preserve"> </v>
      </c>
      <c r="S56" s="472">
        <f ca="1">IF(N(O56)=0,9999,VLOOKUP(O56,Hraci!$A$1:$I$1500,8,0))</f>
        <v>9999</v>
      </c>
      <c r="T56" s="473">
        <f ca="1">IF(N(O56)=0,0,VLOOKUP(O56,Hraci!$A$1:$I$1500,9,0))</f>
        <v>0</v>
      </c>
      <c r="U56" s="469" t="str">
        <f t="shared" ca="1" si="26"/>
        <v/>
      </c>
      <c r="V56" s="470" t="str">
        <f ca="1">IF(N(U56)&gt;0,VLOOKUP(U56,Hraci!$A$1:$I$1500,2,0),IF(TYPE(INDIRECT(ADDRESS(ROW() + $A$9-7 + (ROW()-11)*4,2,1,1,"Internet")))&gt;1,INDIRECT(ADDRESS(ROW() + $A$9-7 + (ROW()-11)*4,2,1,1,"Internet"))," "))</f>
        <v xml:space="preserve"> </v>
      </c>
      <c r="W56" s="471" t="str">
        <f ca="1">IF(N(U56)&gt;0,VLOOKUP(U56,Hraci!$A$1:$I$1500,3,0)," ")</f>
        <v xml:space="preserve"> </v>
      </c>
      <c r="X56" s="471" t="str">
        <f ca="1">IF(N(U56)&gt;0,VLOOKUP(U56,Hraci!$A$1:$I$1500,5,0),IF(TYPE(INDIRECT(ADDRESS(ROW() + $A$9-7 + (ROW()-11)*4,3,1,1,"Internet")))&gt;1,INDIRECT(ADDRESS(ROW() + $A$9-7 + (ROW()-11)*4,3,1,1,"Internet"))," "))</f>
        <v xml:space="preserve"> </v>
      </c>
      <c r="Y56" s="472">
        <f ca="1">IF(N(U56)=0,9999,VLOOKUP(U56,Hraci!$A$1:$I$1500,8,0))</f>
        <v>9999</v>
      </c>
      <c r="Z56" s="473">
        <f ca="1">IF(N(U56)=0,0,VLOOKUP(U56,Hraci!$A$1:$I$1500,9,0))</f>
        <v>0</v>
      </c>
      <c r="AA56" s="469" t="str">
        <f t="shared" ca="1" si="27"/>
        <v/>
      </c>
      <c r="AB56" s="470" t="str">
        <f ca="1">IF(N(AA56)&gt;0,VLOOKUP(AA56,Hraci!$A$1:$I$1500,2,0)," ")</f>
        <v xml:space="preserve"> </v>
      </c>
      <c r="AC56" s="471" t="str">
        <f ca="1">IF(N(AA56)&gt;0,VLOOKUP(AA56,Hraci!$A$1:$I$1500,3,0)," ")</f>
        <v xml:space="preserve"> </v>
      </c>
      <c r="AD56" s="471" t="str">
        <f ca="1">IF(N(AA56)&gt;0,VLOOKUP(AA56,Hraci!$A$1:$I$1500,5,0)," ")</f>
        <v xml:space="preserve"> </v>
      </c>
      <c r="AE56" s="472">
        <f ca="1">IF(N(AA56)=0,9999,VLOOKUP(AA56,Hraci!$A$1:$I$1500,8,0))</f>
        <v>9999</v>
      </c>
      <c r="AF56" s="473">
        <f ca="1">IF(N(AA56)=0,0,VLOOKUP(AA56,Hraci!$A$1:$I$1500,9,0))</f>
        <v>0</v>
      </c>
      <c r="AG56" s="474"/>
      <c r="AH56" s="480">
        <v>129</v>
      </c>
      <c r="AI56" s="475">
        <f ca="1">IF(N($AH56)&gt;0,VLOOKUP($AH56,Body!$A$4:$F$259,5,0),"")</f>
        <v>553.40650000000005</v>
      </c>
      <c r="AJ56" s="476">
        <f ca="1">IF(N($AH56)&gt;0,VLOOKUP($AH56,Body!$A$4:$F$259,6,0),"")</f>
        <v>200</v>
      </c>
      <c r="AK56" s="475">
        <f ca="1">IF(N($AH56)&gt;0,VLOOKUP($AH56,Body!$A$4:$F$259,2,0),"")</f>
        <v>8</v>
      </c>
      <c r="AL56" s="477" t="str">
        <f t="shared" ca="1" si="28"/>
        <v>46 PK Osika Plzeň - Radoušová Jana</v>
      </c>
      <c r="AM56" s="478">
        <f t="shared" ca="1" si="29"/>
        <v>25.937999999999999</v>
      </c>
      <c r="AN56" s="408">
        <f ca="1">IF(OR(TYPE(I56)&gt;1,TYPE(MATCH(I56,I57:I$267,0))&gt;1),0,MATCH(I56,I57:I$267,0))+IF(OR(TYPE(I56)&gt;1,TYPE(MATCH(I56,O$11:O$267,0))&gt;1),0,MATCH(I56,O$11:O$267,0))+IF(OR(TYPE(I56)&gt;1,TYPE(MATCH(I56,U$11:U$267,0))&gt;1),0,MATCH(I56,U$11:U$267,0))+IF(OR(TYPE(I56)&gt;1,TYPE(MATCH(I56,AA$11:AA$267,0))&gt;1),0,MATCH(I56,AA$11:AA$267,0))</f>
        <v>0</v>
      </c>
      <c r="AO56" s="408">
        <f ca="1">IF(OR(TYPE(O56)&gt;1,TYPE(MATCH(O56,I$11:I$267,0))&gt;1),0,MATCH(O56,I$11:I$267,0))+IF(OR(TYPE(O56)&gt;1,TYPE(MATCH(O56,O57:O$267,0))&gt;1),0,MATCH(O56,O57:O$267,0))+IF(OR(TYPE(O56)&gt;1,TYPE(MATCH(O56,U$11:U$267,0))&gt;1),0,MATCH(O56,U$11:U$267,0))+IF(OR(TYPE(O56)&gt;1,TYPE(MATCH(O56,AA$11:AA$267,0))&gt;1),0,MATCH(O56,AA$11:AA$267,0))</f>
        <v>0</v>
      </c>
      <c r="AP56" s="408">
        <f ca="1">IF(OR(TYPE(U56)&gt;1,TYPE(MATCH(U56,I$11:I$267,0))&gt;1),0,MATCH(U56,I$11:I$267,0))+IF(OR(TYPE(U56)&gt;1,TYPE(MATCH(U56,O$11:O$267,0))&gt;1),0,MATCH(U56,O$11:O$267,0))+IF(OR(TYPE(U56)&gt;1,TYPE(MATCH(U56,U57:U$267,0))&gt;1),0,MATCH(U56,U57:U$267,0))+IF(OR(TYPE(U56)&gt;1,TYPE(MATCH(U56,AA$11:AA$267,0))&gt;1),0,MATCH(U56,AA$11:AA$267,0))</f>
        <v>0</v>
      </c>
      <c r="AQ56" s="408">
        <f ca="1">IF(OR(TYPE(AA56)&gt;1,TYPE(MATCH(AA56,I$11:I$267,0))&gt;1),0,MATCH(AA56,I$11:I$267,0))+IF(OR(TYPE(AA56)&gt;1,TYPE(MATCH(AA56,O$11:O$267,0))&gt;1),0,MATCH(AA56,O$11:O$267,0))+IF(OR(TYPE(AA56)&gt;1,TYPE(MATCH(AA56,U$11:U$267,0))&gt;1),0,MATCH(U56,U$11:U$267,0))+IF(OR(TYPE(AA56)&gt;1,TYPE(MATCH(AA56,AA57:AA$267,0))&gt;1),0,MATCH(AA56,AA57:AA$267,0))</f>
        <v>0</v>
      </c>
      <c r="AR56" s="408">
        <f t="shared" ca="1" si="14"/>
        <v>0</v>
      </c>
      <c r="BF56" s="408">
        <f t="shared" si="15"/>
        <v>46</v>
      </c>
    </row>
    <row r="57" spans="1:58" ht="14.25">
      <c r="A57" s="430">
        <f t="shared" ca="1" si="16"/>
        <v>1</v>
      </c>
      <c r="B57" s="430">
        <f t="shared" ca="1" si="17"/>
        <v>1</v>
      </c>
      <c r="C57" s="430">
        <f t="shared" ca="1" si="18"/>
        <v>25.751000000000001</v>
      </c>
      <c r="D57" s="430">
        <f t="shared" ca="1" si="19"/>
        <v>20075</v>
      </c>
      <c r="E57" s="430">
        <f t="shared" ca="1" si="20"/>
        <v>77</v>
      </c>
      <c r="F57" s="431" t="str">
        <f t="shared" ca="1" si="21"/>
        <v>91025751979924999922015462</v>
      </c>
      <c r="G57" s="467" t="b">
        <f t="shared" ca="1" si="22"/>
        <v>0</v>
      </c>
      <c r="H57" s="468">
        <f t="shared" si="23"/>
        <v>47</v>
      </c>
      <c r="I57" s="469">
        <f t="shared" ca="1" si="24"/>
        <v>11006</v>
      </c>
      <c r="J57" s="470" t="str">
        <f ca="1">IF(N(I57)&gt;0,VLOOKUP(I57,Hraci!$A$1:$I$1500,2,0),IF(TYPE(INDIRECT(ADDRESS(ROW() + $A$9-9 + (ROW()-11)*4,2,1,1,"Internet")))&gt;1,INDIRECT(ADDRESS(ROW() + $A$9-9 + (ROW()-11)*4,2,1,1,"Internet"))," "))</f>
        <v>Kulhánek</v>
      </c>
      <c r="K57" s="471" t="str">
        <f ca="1">IF(N(I57)&gt;0,VLOOKUP(I57,Hraci!$A$1:$I$1500,3,0)," ")</f>
        <v>Milan</v>
      </c>
      <c r="L57" s="471" t="str">
        <f ca="1">IF(N(I57)&gt;0,VLOOKUP(I57,Hraci!$A$1:$I$1500,5,0),IF(TYPE(INDIRECT(ADDRESS(ROW() + $A$9-9 + (ROW()-11)*4,3,1,1,"Internet")))&gt;1,INDIRECT(ADDRESS(ROW() + $A$9-9 + (ROW()-11)*4,3,1,1,"Internet"))," "))</f>
        <v>SK Sahara Vědomice</v>
      </c>
      <c r="M57" s="472">
        <f ca="1">IF(N(I57)=0,9999,VLOOKUP(I57,Hraci!$A$1:$I$1500,8,0))</f>
        <v>77</v>
      </c>
      <c r="N57" s="473">
        <f ca="1">IF(N(I57)=0,0,VLOOKUP(I57,Hraci!$A$1:$I$1500,9,0))</f>
        <v>25.751000000000001</v>
      </c>
      <c r="O57" s="469" t="str">
        <f t="shared" ca="1" si="25"/>
        <v/>
      </c>
      <c r="P57" s="470" t="str">
        <f ca="1">IF(N(O57)&gt;0,VLOOKUP(O57,Hraci!$A$1:$I$1500,2,0),IF(TYPE(INDIRECT(ADDRESS(ROW() + $A$9-8 + (ROW()-11)*4,2,1,1,"Internet")))&gt;1,INDIRECT(ADDRESS(ROW() + $A$9-8 + (ROW()-11)*4,2,1,1,"Internet"))," "))</f>
        <v xml:space="preserve"> </v>
      </c>
      <c r="Q57" s="471" t="str">
        <f ca="1">IF(N(O57)&gt;0,VLOOKUP(O57,Hraci!$A$1:$I$1500,3,0)," ")</f>
        <v xml:space="preserve"> </v>
      </c>
      <c r="R57" s="471" t="str">
        <f ca="1">IF(N(O57)&gt;0,VLOOKUP(O57,Hraci!$A$1:$I$1500,5,0),IF(TYPE(INDIRECT(ADDRESS(ROW() + $A$9-8 + (ROW()-11)*4,3,1,1,"Internet")))&gt;1,INDIRECT(ADDRESS(ROW() + $A$9-8 + (ROW()-11)*4,3,1,1,"Internet"))," "))</f>
        <v xml:space="preserve"> </v>
      </c>
      <c r="S57" s="472">
        <f ca="1">IF(N(O57)=0,9999,VLOOKUP(O57,Hraci!$A$1:$I$1500,8,0))</f>
        <v>9999</v>
      </c>
      <c r="T57" s="473">
        <f ca="1">IF(N(O57)=0,0,VLOOKUP(O57,Hraci!$A$1:$I$1500,9,0))</f>
        <v>0</v>
      </c>
      <c r="U57" s="469" t="str">
        <f t="shared" ca="1" si="26"/>
        <v/>
      </c>
      <c r="V57" s="470" t="str">
        <f ca="1">IF(N(U57)&gt;0,VLOOKUP(U57,Hraci!$A$1:$I$1500,2,0),IF(TYPE(INDIRECT(ADDRESS(ROW() + $A$9-7 + (ROW()-11)*4,2,1,1,"Internet")))&gt;1,INDIRECT(ADDRESS(ROW() + $A$9-7 + (ROW()-11)*4,2,1,1,"Internet"))," "))</f>
        <v xml:space="preserve"> </v>
      </c>
      <c r="W57" s="471" t="str">
        <f ca="1">IF(N(U57)&gt;0,VLOOKUP(U57,Hraci!$A$1:$I$1500,3,0)," ")</f>
        <v xml:space="preserve"> </v>
      </c>
      <c r="X57" s="471" t="str">
        <f ca="1">IF(N(U57)&gt;0,VLOOKUP(U57,Hraci!$A$1:$I$1500,5,0),IF(TYPE(INDIRECT(ADDRESS(ROW() + $A$9-7 + (ROW()-11)*4,3,1,1,"Internet")))&gt;1,INDIRECT(ADDRESS(ROW() + $A$9-7 + (ROW()-11)*4,3,1,1,"Internet"))," "))</f>
        <v xml:space="preserve"> </v>
      </c>
      <c r="Y57" s="472">
        <f ca="1">IF(N(U57)=0,9999,VLOOKUP(U57,Hraci!$A$1:$I$1500,8,0))</f>
        <v>9999</v>
      </c>
      <c r="Z57" s="473">
        <f ca="1">IF(N(U57)=0,0,VLOOKUP(U57,Hraci!$A$1:$I$1500,9,0))</f>
        <v>0</v>
      </c>
      <c r="AA57" s="469" t="str">
        <f t="shared" ca="1" si="27"/>
        <v/>
      </c>
      <c r="AB57" s="470" t="str">
        <f ca="1">IF(N(AA57)&gt;0,VLOOKUP(AA57,Hraci!$A$1:$I$1500,2,0)," ")</f>
        <v xml:space="preserve"> </v>
      </c>
      <c r="AC57" s="471" t="str">
        <f ca="1">IF(N(AA57)&gt;0,VLOOKUP(AA57,Hraci!$A$1:$I$1500,3,0)," ")</f>
        <v xml:space="preserve"> </v>
      </c>
      <c r="AD57" s="471" t="str">
        <f ca="1">IF(N(AA57)&gt;0,VLOOKUP(AA57,Hraci!$A$1:$I$1500,5,0)," ")</f>
        <v xml:space="preserve"> </v>
      </c>
      <c r="AE57" s="472">
        <f ca="1">IF(N(AA57)=0,9999,VLOOKUP(AA57,Hraci!$A$1:$I$1500,8,0))</f>
        <v>9999</v>
      </c>
      <c r="AF57" s="473">
        <f ca="1">IF(N(AA57)=0,0,VLOOKUP(AA57,Hraci!$A$1:$I$1500,9,0))</f>
        <v>0</v>
      </c>
      <c r="AG57" s="474"/>
      <c r="AH57" s="480">
        <f ca="1">IF(TYPE(VLOOKUP(H57,Nasazení!$A$3:$E$258,5,0))&lt;4,VLOOKUP(H57,Nasazení!$A$3:$E$258,5,0),0)</f>
        <v>143</v>
      </c>
      <c r="AI57" s="475">
        <f ca="1">IF(N($AH57)&gt;0,VLOOKUP($AH57,Body!$A$4:$F$259,5,0),"")</f>
        <v>20</v>
      </c>
      <c r="AJ57" s="476">
        <f ca="1">IF(N($AH57)&gt;0,VLOOKUP($AH57,Body!$A$4:$F$259,6,0),"")</f>
        <v>0</v>
      </c>
      <c r="AK57" s="475">
        <f ca="1">IF(N($AH57)&gt;0,VLOOKUP($AH57,Body!$A$4:$F$259,2,0),"")</f>
        <v>0</v>
      </c>
      <c r="AL57" s="477" t="str">
        <f t="shared" ca="1" si="28"/>
        <v>47 SK Sahara Vědomice - Kulhánek Milan</v>
      </c>
      <c r="AM57" s="478">
        <f t="shared" ca="1" si="29"/>
        <v>25.751000000000001</v>
      </c>
      <c r="AN57" s="408">
        <f ca="1">IF(OR(TYPE(I57)&gt;1,TYPE(MATCH(I57,I58:I$267,0))&gt;1),0,MATCH(I57,I58:I$267,0))+IF(OR(TYPE(I57)&gt;1,TYPE(MATCH(I57,O$11:O$267,0))&gt;1),0,MATCH(I57,O$11:O$267,0))+IF(OR(TYPE(I57)&gt;1,TYPE(MATCH(I57,U$11:U$267,0))&gt;1),0,MATCH(I57,U$11:U$267,0))+IF(OR(TYPE(I57)&gt;1,TYPE(MATCH(I57,AA$11:AA$267,0))&gt;1),0,MATCH(I57,AA$11:AA$267,0))</f>
        <v>0</v>
      </c>
      <c r="AO57" s="408">
        <f ca="1">IF(OR(TYPE(O57)&gt;1,TYPE(MATCH(O57,I$11:I$267,0))&gt;1),0,MATCH(O57,I$11:I$267,0))+IF(OR(TYPE(O57)&gt;1,TYPE(MATCH(O57,O58:O$267,0))&gt;1),0,MATCH(O57,O58:O$267,0))+IF(OR(TYPE(O57)&gt;1,TYPE(MATCH(O57,U$11:U$267,0))&gt;1),0,MATCH(O57,U$11:U$267,0))+IF(OR(TYPE(O57)&gt;1,TYPE(MATCH(O57,AA$11:AA$267,0))&gt;1),0,MATCH(O57,AA$11:AA$267,0))</f>
        <v>0</v>
      </c>
      <c r="AP57" s="408">
        <f ca="1">IF(OR(TYPE(U57)&gt;1,TYPE(MATCH(U57,I$11:I$267,0))&gt;1),0,MATCH(U57,I$11:I$267,0))+IF(OR(TYPE(U57)&gt;1,TYPE(MATCH(U57,O$11:O$267,0))&gt;1),0,MATCH(U57,O$11:O$267,0))+IF(OR(TYPE(U57)&gt;1,TYPE(MATCH(U57,U58:U$267,0))&gt;1),0,MATCH(U57,U58:U$267,0))+IF(OR(TYPE(U57)&gt;1,TYPE(MATCH(U57,AA$11:AA$267,0))&gt;1),0,MATCH(U57,AA$11:AA$267,0))</f>
        <v>0</v>
      </c>
      <c r="AQ57" s="408">
        <f ca="1">IF(OR(TYPE(AA57)&gt;1,TYPE(MATCH(AA57,I$11:I$267,0))&gt;1),0,MATCH(AA57,I$11:I$267,0))+IF(OR(TYPE(AA57)&gt;1,TYPE(MATCH(AA57,O$11:O$267,0))&gt;1),0,MATCH(AA57,O$11:O$267,0))+IF(OR(TYPE(AA57)&gt;1,TYPE(MATCH(AA57,U$11:U$267,0))&gt;1),0,MATCH(U57,U$11:U$267,0))+IF(OR(TYPE(AA57)&gt;1,TYPE(MATCH(AA57,AA58:AA$267,0))&gt;1),0,MATCH(AA57,AA58:AA$267,0))</f>
        <v>0</v>
      </c>
      <c r="AR57" s="408">
        <f t="shared" ca="1" si="14"/>
        <v>0</v>
      </c>
      <c r="BF57" s="408">
        <f t="shared" si="15"/>
        <v>47</v>
      </c>
    </row>
    <row r="58" spans="1:58" ht="14.25">
      <c r="A58" s="430">
        <f t="shared" ca="1" si="16"/>
        <v>1</v>
      </c>
      <c r="B58" s="430">
        <f t="shared" ca="1" si="17"/>
        <v>1</v>
      </c>
      <c r="C58" s="430">
        <f t="shared" ca="1" si="18"/>
        <v>25.562999999999999</v>
      </c>
      <c r="D58" s="430">
        <f t="shared" ca="1" si="19"/>
        <v>20102</v>
      </c>
      <c r="E58" s="430">
        <f t="shared" ca="1" si="20"/>
        <v>104</v>
      </c>
      <c r="F58" s="431" t="str">
        <f t="shared" ca="1" si="21"/>
        <v>91025563979897999895068889</v>
      </c>
      <c r="G58" s="467" t="b">
        <f t="shared" ca="1" si="22"/>
        <v>0</v>
      </c>
      <c r="H58" s="468">
        <f t="shared" si="23"/>
        <v>48</v>
      </c>
      <c r="I58" s="469">
        <f t="shared" ca="1" si="24"/>
        <v>15065</v>
      </c>
      <c r="J58" s="470" t="str">
        <f ca="1">IF(N(I58)&gt;0,VLOOKUP(I58,Hraci!$A$1:$I$1500,2,0),IF(TYPE(INDIRECT(ADDRESS(ROW() + $A$9-9 + (ROW()-11)*4,2,1,1,"Internet")))&gt;1,INDIRECT(ADDRESS(ROW() + $A$9-9 + (ROW()-11)*4,2,1,1,"Internet"))," "))</f>
        <v>Palas</v>
      </c>
      <c r="K58" s="471" t="str">
        <f ca="1">IF(N(I58)&gt;0,VLOOKUP(I58,Hraci!$A$1:$I$1500,3,0)," ")</f>
        <v>Pavel</v>
      </c>
      <c r="L58" s="471" t="str">
        <f ca="1">IF(N(I58)&gt;0,VLOOKUP(I58,Hraci!$A$1:$I$1500,5,0),IF(TYPE(INDIRECT(ADDRESS(ROW() + $A$9-9 + (ROW()-11)*4,3,1,1,"Internet")))&gt;1,INDIRECT(ADDRESS(ROW() + $A$9-9 + (ROW()-11)*4,3,1,1,"Internet"))," "))</f>
        <v>UBU Únětice</v>
      </c>
      <c r="M58" s="472">
        <f ca="1">IF(N(I58)=0,9999,VLOOKUP(I58,Hraci!$A$1:$I$1500,8,0))</f>
        <v>104</v>
      </c>
      <c r="N58" s="473">
        <f ca="1">IF(N(I58)=0,0,VLOOKUP(I58,Hraci!$A$1:$I$1500,9,0))</f>
        <v>25.562999999999999</v>
      </c>
      <c r="O58" s="469" t="str">
        <f t="shared" ca="1" si="25"/>
        <v/>
      </c>
      <c r="P58" s="470" t="str">
        <f ca="1">IF(N(O58)&gt;0,VLOOKUP(O58,Hraci!$A$1:$I$1500,2,0),IF(TYPE(INDIRECT(ADDRESS(ROW() + $A$9-8 + (ROW()-11)*4,2,1,1,"Internet")))&gt;1,INDIRECT(ADDRESS(ROW() + $A$9-8 + (ROW()-11)*4,2,1,1,"Internet"))," "))</f>
        <v xml:space="preserve"> </v>
      </c>
      <c r="Q58" s="471" t="str">
        <f ca="1">IF(N(O58)&gt;0,VLOOKUP(O58,Hraci!$A$1:$I$1500,3,0)," ")</f>
        <v xml:space="preserve"> </v>
      </c>
      <c r="R58" s="471" t="str">
        <f ca="1">IF(N(O58)&gt;0,VLOOKUP(O58,Hraci!$A$1:$I$1500,5,0),IF(TYPE(INDIRECT(ADDRESS(ROW() + $A$9-8 + (ROW()-11)*4,3,1,1,"Internet")))&gt;1,INDIRECT(ADDRESS(ROW() + $A$9-8 + (ROW()-11)*4,3,1,1,"Internet"))," "))</f>
        <v xml:space="preserve"> </v>
      </c>
      <c r="S58" s="472">
        <f ca="1">IF(N(O58)=0,9999,VLOOKUP(O58,Hraci!$A$1:$I$1500,8,0))</f>
        <v>9999</v>
      </c>
      <c r="T58" s="473">
        <f ca="1">IF(N(O58)=0,0,VLOOKUP(O58,Hraci!$A$1:$I$1500,9,0))</f>
        <v>0</v>
      </c>
      <c r="U58" s="469" t="str">
        <f t="shared" ca="1" si="26"/>
        <v/>
      </c>
      <c r="V58" s="470" t="str">
        <f ca="1">IF(N(U58)&gt;0,VLOOKUP(U58,Hraci!$A$1:$I$1500,2,0),IF(TYPE(INDIRECT(ADDRESS(ROW() + $A$9-7 + (ROW()-11)*4,2,1,1,"Internet")))&gt;1,INDIRECT(ADDRESS(ROW() + $A$9-7 + (ROW()-11)*4,2,1,1,"Internet"))," "))</f>
        <v xml:space="preserve"> </v>
      </c>
      <c r="W58" s="471" t="str">
        <f ca="1">IF(N(U58)&gt;0,VLOOKUP(U58,Hraci!$A$1:$I$1500,3,0)," ")</f>
        <v xml:space="preserve"> </v>
      </c>
      <c r="X58" s="471" t="str">
        <f ca="1">IF(N(U58)&gt;0,VLOOKUP(U58,Hraci!$A$1:$I$1500,5,0),IF(TYPE(INDIRECT(ADDRESS(ROW() + $A$9-7 + (ROW()-11)*4,3,1,1,"Internet")))&gt;1,INDIRECT(ADDRESS(ROW() + $A$9-7 + (ROW()-11)*4,3,1,1,"Internet"))," "))</f>
        <v xml:space="preserve"> </v>
      </c>
      <c r="Y58" s="472">
        <f ca="1">IF(N(U58)=0,9999,VLOOKUP(U58,Hraci!$A$1:$I$1500,8,0))</f>
        <v>9999</v>
      </c>
      <c r="Z58" s="473">
        <f ca="1">IF(N(U58)=0,0,VLOOKUP(U58,Hraci!$A$1:$I$1500,9,0))</f>
        <v>0</v>
      </c>
      <c r="AA58" s="469" t="str">
        <f t="shared" ca="1" si="27"/>
        <v/>
      </c>
      <c r="AB58" s="470" t="str">
        <f ca="1">IF(N(AA58)&gt;0,VLOOKUP(AA58,Hraci!$A$1:$I$1500,2,0)," ")</f>
        <v xml:space="preserve"> </v>
      </c>
      <c r="AC58" s="471" t="str">
        <f ca="1">IF(N(AA58)&gt;0,VLOOKUP(AA58,Hraci!$A$1:$I$1500,3,0)," ")</f>
        <v xml:space="preserve"> </v>
      </c>
      <c r="AD58" s="471" t="str">
        <f ca="1">IF(N(AA58)&gt;0,VLOOKUP(AA58,Hraci!$A$1:$I$1500,5,0)," ")</f>
        <v xml:space="preserve"> </v>
      </c>
      <c r="AE58" s="472">
        <f ca="1">IF(N(AA58)=0,9999,VLOOKUP(AA58,Hraci!$A$1:$I$1500,8,0))</f>
        <v>9999</v>
      </c>
      <c r="AF58" s="473">
        <f ca="1">IF(N(AA58)=0,0,VLOOKUP(AA58,Hraci!$A$1:$I$1500,9,0))</f>
        <v>0</v>
      </c>
      <c r="AG58" s="474"/>
      <c r="AH58" s="480">
        <v>32</v>
      </c>
      <c r="AI58" s="475">
        <f ca="1">IF(N($AH58)&gt;0,VLOOKUP($AH58,Body!$A$4:$F$259,5,0),"")</f>
        <v>332.52743750000002</v>
      </c>
      <c r="AJ58" s="476">
        <f ca="1">IF(N($AH58)&gt;0,VLOOKUP($AH58,Body!$A$4:$F$259,6,0),"")</f>
        <v>200</v>
      </c>
      <c r="AK58" s="475">
        <f ca="1">IF(N($AH58)&gt;0,VLOOKUP($AH58,Body!$A$4:$F$259,2,0),"")</f>
        <v>3</v>
      </c>
      <c r="AL58" s="477" t="str">
        <f t="shared" ca="1" si="28"/>
        <v>48 UBU Únětice - Palas Pavel</v>
      </c>
      <c r="AM58" s="478">
        <f t="shared" ca="1" si="29"/>
        <v>25.562999999999999</v>
      </c>
      <c r="AN58" s="408">
        <f ca="1">IF(OR(TYPE(I58)&gt;1,TYPE(MATCH(I58,I59:I$267,0))&gt;1),0,MATCH(I58,I59:I$267,0))+IF(OR(TYPE(I58)&gt;1,TYPE(MATCH(I58,O$11:O$267,0))&gt;1),0,MATCH(I58,O$11:O$267,0))+IF(OR(TYPE(I58)&gt;1,TYPE(MATCH(I58,U$11:U$267,0))&gt;1),0,MATCH(I58,U$11:U$267,0))+IF(OR(TYPE(I58)&gt;1,TYPE(MATCH(I58,AA$11:AA$267,0))&gt;1),0,MATCH(I58,AA$11:AA$267,0))</f>
        <v>0</v>
      </c>
      <c r="AO58" s="408">
        <f ca="1">IF(OR(TYPE(O58)&gt;1,TYPE(MATCH(O58,I$11:I$267,0))&gt;1),0,MATCH(O58,I$11:I$267,0))+IF(OR(TYPE(O58)&gt;1,TYPE(MATCH(O58,O59:O$267,0))&gt;1),0,MATCH(O58,O59:O$267,0))+IF(OR(TYPE(O58)&gt;1,TYPE(MATCH(O58,U$11:U$267,0))&gt;1),0,MATCH(O58,U$11:U$267,0))+IF(OR(TYPE(O58)&gt;1,TYPE(MATCH(O58,AA$11:AA$267,0))&gt;1),0,MATCH(O58,AA$11:AA$267,0))</f>
        <v>0</v>
      </c>
      <c r="AP58" s="408">
        <f ca="1">IF(OR(TYPE(U58)&gt;1,TYPE(MATCH(U58,I$11:I$267,0))&gt;1),0,MATCH(U58,I$11:I$267,0))+IF(OR(TYPE(U58)&gt;1,TYPE(MATCH(U58,O$11:O$267,0))&gt;1),0,MATCH(U58,O$11:O$267,0))+IF(OR(TYPE(U58)&gt;1,TYPE(MATCH(U58,U59:U$267,0))&gt;1),0,MATCH(U58,U59:U$267,0))+IF(OR(TYPE(U58)&gt;1,TYPE(MATCH(U58,AA$11:AA$267,0))&gt;1),0,MATCH(U58,AA$11:AA$267,0))</f>
        <v>0</v>
      </c>
      <c r="AQ58" s="408">
        <f ca="1">IF(OR(TYPE(AA58)&gt;1,TYPE(MATCH(AA58,I$11:I$267,0))&gt;1),0,MATCH(AA58,I$11:I$267,0))+IF(OR(TYPE(AA58)&gt;1,TYPE(MATCH(AA58,O$11:O$267,0))&gt;1),0,MATCH(AA58,O$11:O$267,0))+IF(OR(TYPE(AA58)&gt;1,TYPE(MATCH(AA58,U$11:U$267,0))&gt;1),0,MATCH(U58,U$11:U$267,0))+IF(OR(TYPE(AA58)&gt;1,TYPE(MATCH(AA58,AA59:AA$267,0))&gt;1),0,MATCH(AA58,AA59:AA$267,0))</f>
        <v>0</v>
      </c>
      <c r="AR58" s="408">
        <f t="shared" ca="1" si="14"/>
        <v>0</v>
      </c>
      <c r="BF58" s="408">
        <f t="shared" si="15"/>
        <v>48</v>
      </c>
    </row>
    <row r="59" spans="1:58" ht="14.25">
      <c r="A59" s="430">
        <f t="shared" ca="1" si="16"/>
        <v>1</v>
      </c>
      <c r="B59" s="430">
        <f t="shared" ca="1" si="17"/>
        <v>1</v>
      </c>
      <c r="C59" s="430">
        <f t="shared" ca="1" si="18"/>
        <v>25.437999999999999</v>
      </c>
      <c r="D59" s="430">
        <f t="shared" ca="1" si="19"/>
        <v>20029</v>
      </c>
      <c r="E59" s="430">
        <f t="shared" ca="1" si="20"/>
        <v>31</v>
      </c>
      <c r="F59" s="431" t="str">
        <f t="shared" ca="1" si="21"/>
        <v>91025438979970999968073418</v>
      </c>
      <c r="G59" s="467" t="b">
        <f t="shared" ca="1" si="22"/>
        <v>0</v>
      </c>
      <c r="H59" s="468">
        <f t="shared" si="23"/>
        <v>49</v>
      </c>
      <c r="I59" s="469">
        <f t="shared" ca="1" si="24"/>
        <v>96059</v>
      </c>
      <c r="J59" s="470" t="str">
        <f ca="1">IF(N(I59)&gt;0,VLOOKUP(I59,Hraci!$A$1:$I$1500,2,0),IF(TYPE(INDIRECT(ADDRESS(ROW() + $A$9-9 + (ROW()-11)*4,2,1,1,"Internet")))&gt;1,INDIRECT(ADDRESS(ROW() + $A$9-9 + (ROW()-11)*4,2,1,1,"Internet"))," "))</f>
        <v>Hančová</v>
      </c>
      <c r="K59" s="471" t="str">
        <f ca="1">IF(N(I59)&gt;0,VLOOKUP(I59,Hraci!$A$1:$I$1500,3,0)," ")</f>
        <v>Alice</v>
      </c>
      <c r="L59" s="471" t="str">
        <f ca="1">IF(N(I59)&gt;0,VLOOKUP(I59,Hraci!$A$1:$I$1500,5,0),IF(TYPE(INDIRECT(ADDRESS(ROW() + $A$9-9 + (ROW()-11)*4,3,1,1,"Internet")))&gt;1,INDIRECT(ADDRESS(ROW() + $A$9-9 + (ROW()-11)*4,3,1,1,"Internet"))," "))</f>
        <v>1. KPK Vrchlabí</v>
      </c>
      <c r="M59" s="472">
        <f ca="1">IF(N(I59)=0,9999,VLOOKUP(I59,Hraci!$A$1:$I$1500,8,0))</f>
        <v>31</v>
      </c>
      <c r="N59" s="473">
        <f ca="1">IF(N(I59)=0,0,VLOOKUP(I59,Hraci!$A$1:$I$1500,9,0))</f>
        <v>25.437999999999999</v>
      </c>
      <c r="O59" s="469" t="str">
        <f t="shared" ca="1" si="25"/>
        <v/>
      </c>
      <c r="P59" s="470" t="str">
        <f ca="1">IF(N(O59)&gt;0,VLOOKUP(O59,Hraci!$A$1:$I$1500,2,0),IF(TYPE(INDIRECT(ADDRESS(ROW() + $A$9-8 + (ROW()-11)*4,2,1,1,"Internet")))&gt;1,INDIRECT(ADDRESS(ROW() + $A$9-8 + (ROW()-11)*4,2,1,1,"Internet"))," "))</f>
        <v xml:space="preserve"> </v>
      </c>
      <c r="Q59" s="471" t="str">
        <f ca="1">IF(N(O59)&gt;0,VLOOKUP(O59,Hraci!$A$1:$I$1500,3,0)," ")</f>
        <v xml:space="preserve"> </v>
      </c>
      <c r="R59" s="471" t="str">
        <f ca="1">IF(N(O59)&gt;0,VLOOKUP(O59,Hraci!$A$1:$I$1500,5,0),IF(TYPE(INDIRECT(ADDRESS(ROW() + $A$9-8 + (ROW()-11)*4,3,1,1,"Internet")))&gt;1,INDIRECT(ADDRESS(ROW() + $A$9-8 + (ROW()-11)*4,3,1,1,"Internet"))," "))</f>
        <v xml:space="preserve"> </v>
      </c>
      <c r="S59" s="472">
        <f ca="1">IF(N(O59)=0,9999,VLOOKUP(O59,Hraci!$A$1:$I$1500,8,0))</f>
        <v>9999</v>
      </c>
      <c r="T59" s="473">
        <f ca="1">IF(N(O59)=0,0,VLOOKUP(O59,Hraci!$A$1:$I$1500,9,0))</f>
        <v>0</v>
      </c>
      <c r="U59" s="469" t="str">
        <f t="shared" ca="1" si="26"/>
        <v/>
      </c>
      <c r="V59" s="470" t="str">
        <f ca="1">IF(N(U59)&gt;0,VLOOKUP(U59,Hraci!$A$1:$I$1500,2,0),IF(TYPE(INDIRECT(ADDRESS(ROW() + $A$9-7 + (ROW()-11)*4,2,1,1,"Internet")))&gt;1,INDIRECT(ADDRESS(ROW() + $A$9-7 + (ROW()-11)*4,2,1,1,"Internet"))," "))</f>
        <v xml:space="preserve"> </v>
      </c>
      <c r="W59" s="471" t="str">
        <f ca="1">IF(N(U59)&gt;0,VLOOKUP(U59,Hraci!$A$1:$I$1500,3,0)," ")</f>
        <v xml:space="preserve"> </v>
      </c>
      <c r="X59" s="471" t="str">
        <f ca="1">IF(N(U59)&gt;0,VLOOKUP(U59,Hraci!$A$1:$I$1500,5,0),IF(TYPE(INDIRECT(ADDRESS(ROW() + $A$9-7 + (ROW()-11)*4,3,1,1,"Internet")))&gt;1,INDIRECT(ADDRESS(ROW() + $A$9-7 + (ROW()-11)*4,3,1,1,"Internet"))," "))</f>
        <v xml:space="preserve"> </v>
      </c>
      <c r="Y59" s="472">
        <f ca="1">IF(N(U59)=0,9999,VLOOKUP(U59,Hraci!$A$1:$I$1500,8,0))</f>
        <v>9999</v>
      </c>
      <c r="Z59" s="473">
        <f ca="1">IF(N(U59)=0,0,VLOOKUP(U59,Hraci!$A$1:$I$1500,9,0))</f>
        <v>0</v>
      </c>
      <c r="AA59" s="469" t="str">
        <f t="shared" ca="1" si="27"/>
        <v/>
      </c>
      <c r="AB59" s="470" t="str">
        <f ca="1">IF(N(AA59)&gt;0,VLOOKUP(AA59,Hraci!$A$1:$I$1500,2,0)," ")</f>
        <v xml:space="preserve"> </v>
      </c>
      <c r="AC59" s="471" t="str">
        <f ca="1">IF(N(AA59)&gt;0,VLOOKUP(AA59,Hraci!$A$1:$I$1500,3,0)," ")</f>
        <v xml:space="preserve"> </v>
      </c>
      <c r="AD59" s="471" t="str">
        <f ca="1">IF(N(AA59)&gt;0,VLOOKUP(AA59,Hraci!$A$1:$I$1500,5,0)," ")</f>
        <v xml:space="preserve"> </v>
      </c>
      <c r="AE59" s="472">
        <f ca="1">IF(N(AA59)=0,9999,VLOOKUP(AA59,Hraci!$A$1:$I$1500,8,0))</f>
        <v>9999</v>
      </c>
      <c r="AF59" s="473">
        <f ca="1">IF(N(AA59)=0,0,VLOOKUP(AA59,Hraci!$A$1:$I$1500,9,0))</f>
        <v>0</v>
      </c>
      <c r="AG59" s="474"/>
      <c r="AH59" s="480">
        <f ca="1">IF(TYPE(VLOOKUP(H59,Nasazení!$A$3:$E$258,5,0))&lt;4,VLOOKUP(H59,Nasazení!$A$3:$E$258,5,0),0)</f>
        <v>143</v>
      </c>
      <c r="AI59" s="475">
        <f ca="1">IF(N($AH59)&gt;0,VLOOKUP($AH59,Body!$A$4:$F$259,5,0),"")</f>
        <v>20</v>
      </c>
      <c r="AJ59" s="476">
        <f ca="1">IF(N($AH59)&gt;0,VLOOKUP($AH59,Body!$A$4:$F$259,6,0),"")</f>
        <v>0</v>
      </c>
      <c r="AK59" s="475">
        <f ca="1">IF(N($AH59)&gt;0,VLOOKUP($AH59,Body!$A$4:$F$259,2,0),"")</f>
        <v>0</v>
      </c>
      <c r="AL59" s="477" t="str">
        <f t="shared" ca="1" si="28"/>
        <v>49 1. KPK Vrchlabí - Hančová Alice</v>
      </c>
      <c r="AM59" s="478">
        <f t="shared" ca="1" si="29"/>
        <v>25.437999999999999</v>
      </c>
      <c r="AN59" s="408">
        <f ca="1">IF(OR(TYPE(I59)&gt;1,TYPE(MATCH(I59,I60:I$267,0))&gt;1),0,MATCH(I59,I60:I$267,0))+IF(OR(TYPE(I59)&gt;1,TYPE(MATCH(I59,O$11:O$267,0))&gt;1),0,MATCH(I59,O$11:O$267,0))+IF(OR(TYPE(I59)&gt;1,TYPE(MATCH(I59,U$11:U$267,0))&gt;1),0,MATCH(I59,U$11:U$267,0))+IF(OR(TYPE(I59)&gt;1,TYPE(MATCH(I59,AA$11:AA$267,0))&gt;1),0,MATCH(I59,AA$11:AA$267,0))</f>
        <v>0</v>
      </c>
      <c r="AO59" s="408">
        <f ca="1">IF(OR(TYPE(O59)&gt;1,TYPE(MATCH(O59,I$11:I$267,0))&gt;1),0,MATCH(O59,I$11:I$267,0))+IF(OR(TYPE(O59)&gt;1,TYPE(MATCH(O59,O60:O$267,0))&gt;1),0,MATCH(O59,O60:O$267,0))+IF(OR(TYPE(O59)&gt;1,TYPE(MATCH(O59,U$11:U$267,0))&gt;1),0,MATCH(O59,U$11:U$267,0))+IF(OR(TYPE(O59)&gt;1,TYPE(MATCH(O59,AA$11:AA$267,0))&gt;1),0,MATCH(O59,AA$11:AA$267,0))</f>
        <v>0</v>
      </c>
      <c r="AP59" s="408">
        <f ca="1">IF(OR(TYPE(U59)&gt;1,TYPE(MATCH(U59,I$11:I$267,0))&gt;1),0,MATCH(U59,I$11:I$267,0))+IF(OR(TYPE(U59)&gt;1,TYPE(MATCH(U59,O$11:O$267,0))&gt;1),0,MATCH(U59,O$11:O$267,0))+IF(OR(TYPE(U59)&gt;1,TYPE(MATCH(U59,U60:U$267,0))&gt;1),0,MATCH(U59,U60:U$267,0))+IF(OR(TYPE(U59)&gt;1,TYPE(MATCH(U59,AA$11:AA$267,0))&gt;1),0,MATCH(U59,AA$11:AA$267,0))</f>
        <v>0</v>
      </c>
      <c r="AQ59" s="408">
        <f ca="1">IF(OR(TYPE(AA59)&gt;1,TYPE(MATCH(AA59,I$11:I$267,0))&gt;1),0,MATCH(AA59,I$11:I$267,0))+IF(OR(TYPE(AA59)&gt;1,TYPE(MATCH(AA59,O$11:O$267,0))&gt;1),0,MATCH(AA59,O$11:O$267,0))+IF(OR(TYPE(AA59)&gt;1,TYPE(MATCH(AA59,U$11:U$267,0))&gt;1),0,MATCH(U59,U$11:U$267,0))+IF(OR(TYPE(AA59)&gt;1,TYPE(MATCH(AA59,AA60:AA$267,0))&gt;1),0,MATCH(AA59,AA60:AA$267,0))</f>
        <v>0</v>
      </c>
      <c r="AR59" s="408">
        <f t="shared" ca="1" si="14"/>
        <v>0</v>
      </c>
      <c r="BF59" s="408">
        <f t="shared" si="15"/>
        <v>49</v>
      </c>
    </row>
    <row r="60" spans="1:58" ht="14.25">
      <c r="A60" s="430">
        <f t="shared" ca="1" si="16"/>
        <v>1</v>
      </c>
      <c r="B60" s="430">
        <f t="shared" ca="1" si="17"/>
        <v>1</v>
      </c>
      <c r="C60" s="430">
        <f t="shared" ca="1" si="18"/>
        <v>24.939</v>
      </c>
      <c r="D60" s="430">
        <f t="shared" ca="1" si="19"/>
        <v>20023</v>
      </c>
      <c r="E60" s="430">
        <f t="shared" ca="1" si="20"/>
        <v>25</v>
      </c>
      <c r="F60" s="431" t="str">
        <f t="shared" ca="1" si="21"/>
        <v>91024939979976999974472547</v>
      </c>
      <c r="G60" s="467" t="b">
        <f t="shared" ca="1" si="22"/>
        <v>0</v>
      </c>
      <c r="H60" s="468">
        <f t="shared" si="23"/>
        <v>50</v>
      </c>
      <c r="I60" s="469">
        <f t="shared" ca="1" si="24"/>
        <v>12038</v>
      </c>
      <c r="J60" s="470" t="str">
        <f ca="1">IF(N(I60)&gt;0,VLOOKUP(I60,Hraci!$A$1:$I$1500,2,0),IF(TYPE(INDIRECT(ADDRESS(ROW() + $A$9-9 + (ROW()-11)*4,2,1,1,"Internet")))&gt;1,INDIRECT(ADDRESS(ROW() + $A$9-9 + (ROW()-11)*4,2,1,1,"Internet"))," "))</f>
        <v>Krejčín</v>
      </c>
      <c r="K60" s="471" t="str">
        <f ca="1">IF(N(I60)&gt;0,VLOOKUP(I60,Hraci!$A$1:$I$1500,3,0)," ")</f>
        <v>Leoš</v>
      </c>
      <c r="L60" s="471" t="str">
        <f ca="1">IF(N(I60)&gt;0,VLOOKUP(I60,Hraci!$A$1:$I$1500,5,0),IF(TYPE(INDIRECT(ADDRESS(ROW() + $A$9-9 + (ROW()-11)*4,3,1,1,"Internet")))&gt;1,INDIRECT(ADDRESS(ROW() + $A$9-9 + (ROW()-11)*4,3,1,1,"Internet"))," "))</f>
        <v>SKP Kulová osma</v>
      </c>
      <c r="M60" s="472">
        <f ca="1">IF(N(I60)=0,9999,VLOOKUP(I60,Hraci!$A$1:$I$1500,8,0))</f>
        <v>25</v>
      </c>
      <c r="N60" s="473">
        <f ca="1">IF(N(I60)=0,0,VLOOKUP(I60,Hraci!$A$1:$I$1500,9,0))</f>
        <v>24.939</v>
      </c>
      <c r="O60" s="469" t="str">
        <f t="shared" ca="1" si="25"/>
        <v/>
      </c>
      <c r="P60" s="470" t="str">
        <f ca="1">IF(N(O60)&gt;0,VLOOKUP(O60,Hraci!$A$1:$I$1500,2,0),IF(TYPE(INDIRECT(ADDRESS(ROW() + $A$9-8 + (ROW()-11)*4,2,1,1,"Internet")))&gt;1,INDIRECT(ADDRESS(ROW() + $A$9-8 + (ROW()-11)*4,2,1,1,"Internet"))," "))</f>
        <v xml:space="preserve"> </v>
      </c>
      <c r="Q60" s="471" t="str">
        <f ca="1">IF(N(O60)&gt;0,VLOOKUP(O60,Hraci!$A$1:$I$1500,3,0)," ")</f>
        <v xml:space="preserve"> </v>
      </c>
      <c r="R60" s="471" t="str">
        <f ca="1">IF(N(O60)&gt;0,VLOOKUP(O60,Hraci!$A$1:$I$1500,5,0),IF(TYPE(INDIRECT(ADDRESS(ROW() + $A$9-8 + (ROW()-11)*4,3,1,1,"Internet")))&gt;1,INDIRECT(ADDRESS(ROW() + $A$9-8 + (ROW()-11)*4,3,1,1,"Internet"))," "))</f>
        <v xml:space="preserve"> </v>
      </c>
      <c r="S60" s="472">
        <f ca="1">IF(N(O60)=0,9999,VLOOKUP(O60,Hraci!$A$1:$I$1500,8,0))</f>
        <v>9999</v>
      </c>
      <c r="T60" s="473">
        <f ca="1">IF(N(O60)=0,0,VLOOKUP(O60,Hraci!$A$1:$I$1500,9,0))</f>
        <v>0</v>
      </c>
      <c r="U60" s="469" t="str">
        <f t="shared" ca="1" si="26"/>
        <v/>
      </c>
      <c r="V60" s="470" t="str">
        <f ca="1">IF(N(U60)&gt;0,VLOOKUP(U60,Hraci!$A$1:$I$1500,2,0),IF(TYPE(INDIRECT(ADDRESS(ROW() + $A$9-7 + (ROW()-11)*4,2,1,1,"Internet")))&gt;1,INDIRECT(ADDRESS(ROW() + $A$9-7 + (ROW()-11)*4,2,1,1,"Internet"))," "))</f>
        <v xml:space="preserve"> </v>
      </c>
      <c r="W60" s="471" t="str">
        <f ca="1">IF(N(U60)&gt;0,VLOOKUP(U60,Hraci!$A$1:$I$1500,3,0)," ")</f>
        <v xml:space="preserve"> </v>
      </c>
      <c r="X60" s="471" t="str">
        <f ca="1">IF(N(U60)&gt;0,VLOOKUP(U60,Hraci!$A$1:$I$1500,5,0),IF(TYPE(INDIRECT(ADDRESS(ROW() + $A$9-7 + (ROW()-11)*4,3,1,1,"Internet")))&gt;1,INDIRECT(ADDRESS(ROW() + $A$9-7 + (ROW()-11)*4,3,1,1,"Internet"))," "))</f>
        <v xml:space="preserve"> </v>
      </c>
      <c r="Y60" s="472">
        <f ca="1">IF(N(U60)=0,9999,VLOOKUP(U60,Hraci!$A$1:$I$1500,8,0))</f>
        <v>9999</v>
      </c>
      <c r="Z60" s="473">
        <f ca="1">IF(N(U60)=0,0,VLOOKUP(U60,Hraci!$A$1:$I$1500,9,0))</f>
        <v>0</v>
      </c>
      <c r="AA60" s="469" t="str">
        <f t="shared" ca="1" si="27"/>
        <v/>
      </c>
      <c r="AB60" s="470" t="str">
        <f ca="1">IF(N(AA60)&gt;0,VLOOKUP(AA60,Hraci!$A$1:$I$1500,2,0)," ")</f>
        <v xml:space="preserve"> </v>
      </c>
      <c r="AC60" s="471" t="str">
        <f ca="1">IF(N(AA60)&gt;0,VLOOKUP(AA60,Hraci!$A$1:$I$1500,3,0)," ")</f>
        <v xml:space="preserve"> </v>
      </c>
      <c r="AD60" s="471" t="str">
        <f ca="1">IF(N(AA60)&gt;0,VLOOKUP(AA60,Hraci!$A$1:$I$1500,5,0)," ")</f>
        <v xml:space="preserve"> </v>
      </c>
      <c r="AE60" s="472">
        <f ca="1">IF(N(AA60)=0,9999,VLOOKUP(AA60,Hraci!$A$1:$I$1500,8,0))</f>
        <v>9999</v>
      </c>
      <c r="AF60" s="473">
        <f ca="1">IF(N(AA60)=0,0,VLOOKUP(AA60,Hraci!$A$1:$I$1500,9,0))</f>
        <v>0</v>
      </c>
      <c r="AG60" s="474"/>
      <c r="AH60" s="480">
        <v>32</v>
      </c>
      <c r="AI60" s="475">
        <f ca="1">IF(N($AH60)&gt;0,VLOOKUP($AH60,Body!$A$4:$F$259,5,0),"")</f>
        <v>332.52743750000002</v>
      </c>
      <c r="AJ60" s="476">
        <f ca="1">IF(N($AH60)&gt;0,VLOOKUP($AH60,Body!$A$4:$F$259,6,0),"")</f>
        <v>200</v>
      </c>
      <c r="AK60" s="475">
        <f ca="1">IF(N($AH60)&gt;0,VLOOKUP($AH60,Body!$A$4:$F$259,2,0),"")</f>
        <v>3</v>
      </c>
      <c r="AL60" s="477" t="str">
        <f t="shared" ca="1" si="28"/>
        <v>50 SKP Kulová osma - Krejčín Leoš</v>
      </c>
      <c r="AM60" s="478">
        <f t="shared" ca="1" si="29"/>
        <v>24.939</v>
      </c>
      <c r="AN60" s="408">
        <f ca="1">IF(OR(TYPE(I60)&gt;1,TYPE(MATCH(I60,I61:I$267,0))&gt;1),0,MATCH(I60,I61:I$267,0))+IF(OR(TYPE(I60)&gt;1,TYPE(MATCH(I60,O$11:O$267,0))&gt;1),0,MATCH(I60,O$11:O$267,0))+IF(OR(TYPE(I60)&gt;1,TYPE(MATCH(I60,U$11:U$267,0))&gt;1),0,MATCH(I60,U$11:U$267,0))+IF(OR(TYPE(I60)&gt;1,TYPE(MATCH(I60,AA$11:AA$267,0))&gt;1),0,MATCH(I60,AA$11:AA$267,0))</f>
        <v>0</v>
      </c>
      <c r="AO60" s="408">
        <f ca="1">IF(OR(TYPE(O60)&gt;1,TYPE(MATCH(O60,I$11:I$267,0))&gt;1),0,MATCH(O60,I$11:I$267,0))+IF(OR(TYPE(O60)&gt;1,TYPE(MATCH(O60,O61:O$267,0))&gt;1),0,MATCH(O60,O61:O$267,0))+IF(OR(TYPE(O60)&gt;1,TYPE(MATCH(O60,U$11:U$267,0))&gt;1),0,MATCH(O60,U$11:U$267,0))+IF(OR(TYPE(O60)&gt;1,TYPE(MATCH(O60,AA$11:AA$267,0))&gt;1),0,MATCH(O60,AA$11:AA$267,0))</f>
        <v>0</v>
      </c>
      <c r="AP60" s="408">
        <f ca="1">IF(OR(TYPE(U60)&gt;1,TYPE(MATCH(U60,I$11:I$267,0))&gt;1),0,MATCH(U60,I$11:I$267,0))+IF(OR(TYPE(U60)&gt;1,TYPE(MATCH(U60,O$11:O$267,0))&gt;1),0,MATCH(U60,O$11:O$267,0))+IF(OR(TYPE(U60)&gt;1,TYPE(MATCH(U60,U61:U$267,0))&gt;1),0,MATCH(U60,U61:U$267,0))+IF(OR(TYPE(U60)&gt;1,TYPE(MATCH(U60,AA$11:AA$267,0))&gt;1),0,MATCH(U60,AA$11:AA$267,0))</f>
        <v>0</v>
      </c>
      <c r="AQ60" s="408">
        <f ca="1">IF(OR(TYPE(AA60)&gt;1,TYPE(MATCH(AA60,I$11:I$267,0))&gt;1),0,MATCH(AA60,I$11:I$267,0))+IF(OR(TYPE(AA60)&gt;1,TYPE(MATCH(AA60,O$11:O$267,0))&gt;1),0,MATCH(AA60,O$11:O$267,0))+IF(OR(TYPE(AA60)&gt;1,TYPE(MATCH(AA60,U$11:U$267,0))&gt;1),0,MATCH(U60,U$11:U$267,0))+IF(OR(TYPE(AA60)&gt;1,TYPE(MATCH(AA60,AA61:AA$267,0))&gt;1),0,MATCH(AA60,AA61:AA$267,0))</f>
        <v>0</v>
      </c>
      <c r="AR60" s="408">
        <f t="shared" ca="1" si="14"/>
        <v>0</v>
      </c>
      <c r="BF60" s="408">
        <f t="shared" si="15"/>
        <v>50</v>
      </c>
    </row>
    <row r="61" spans="1:58" ht="14.25">
      <c r="A61" s="430">
        <f t="shared" ca="1" si="16"/>
        <v>1</v>
      </c>
      <c r="B61" s="430">
        <f t="shared" ca="1" si="17"/>
        <v>1</v>
      </c>
      <c r="C61" s="430">
        <f t="shared" ca="1" si="18"/>
        <v>24.937999999999999</v>
      </c>
      <c r="D61" s="430">
        <f t="shared" ca="1" si="19"/>
        <v>20080</v>
      </c>
      <c r="E61" s="430">
        <f t="shared" ca="1" si="20"/>
        <v>82</v>
      </c>
      <c r="F61" s="431" t="str">
        <f t="shared" ca="1" si="21"/>
        <v>91024938979919999917039162</v>
      </c>
      <c r="G61" s="467" t="b">
        <f t="shared" ca="1" si="22"/>
        <v>0</v>
      </c>
      <c r="H61" s="468">
        <f t="shared" si="23"/>
        <v>51</v>
      </c>
      <c r="I61" s="469">
        <f t="shared" ca="1" si="24"/>
        <v>17062</v>
      </c>
      <c r="J61" s="470" t="str">
        <f ca="1">IF(N(I61)&gt;0,VLOOKUP(I61,Hraci!$A$1:$I$1500,2,0),IF(TYPE(INDIRECT(ADDRESS(ROW() + $A$9-9 + (ROW()-11)*4,2,1,1,"Internet")))&gt;1,INDIRECT(ADDRESS(ROW() + $A$9-9 + (ROW()-11)*4,2,1,1,"Internet"))," "))</f>
        <v>Hanák</v>
      </c>
      <c r="K61" s="471" t="str">
        <f ca="1">IF(N(I61)&gt;0,VLOOKUP(I61,Hraci!$A$1:$I$1500,3,0)," ")</f>
        <v>David</v>
      </c>
      <c r="L61" s="471" t="str">
        <f ca="1">IF(N(I61)&gt;0,VLOOKUP(I61,Hraci!$A$1:$I$1500,5,0),IF(TYPE(INDIRECT(ADDRESS(ROW() + $A$9-9 + (ROW()-11)*4,3,1,1,"Internet")))&gt;1,INDIRECT(ADDRESS(ROW() + $A$9-9 + (ROW()-11)*4,3,1,1,"Internet"))," "))</f>
        <v>Orel Řečkovice</v>
      </c>
      <c r="M61" s="472">
        <f ca="1">IF(N(I61)=0,9999,VLOOKUP(I61,Hraci!$A$1:$I$1500,8,0))</f>
        <v>82</v>
      </c>
      <c r="N61" s="473">
        <f ca="1">IF(N(I61)=0,0,VLOOKUP(I61,Hraci!$A$1:$I$1500,9,0))</f>
        <v>24.937999999999999</v>
      </c>
      <c r="O61" s="469" t="str">
        <f t="shared" ca="1" si="25"/>
        <v/>
      </c>
      <c r="P61" s="470" t="str">
        <f ca="1">IF(N(O61)&gt;0,VLOOKUP(O61,Hraci!$A$1:$I$1500,2,0),IF(TYPE(INDIRECT(ADDRESS(ROW() + $A$9-8 + (ROW()-11)*4,2,1,1,"Internet")))&gt;1,INDIRECT(ADDRESS(ROW() + $A$9-8 + (ROW()-11)*4,2,1,1,"Internet"))," "))</f>
        <v xml:space="preserve"> </v>
      </c>
      <c r="Q61" s="471" t="str">
        <f ca="1">IF(N(O61)&gt;0,VLOOKUP(O61,Hraci!$A$1:$I$1500,3,0)," ")</f>
        <v xml:space="preserve"> </v>
      </c>
      <c r="R61" s="471" t="str">
        <f ca="1">IF(N(O61)&gt;0,VLOOKUP(O61,Hraci!$A$1:$I$1500,5,0),IF(TYPE(INDIRECT(ADDRESS(ROW() + $A$9-8 + (ROW()-11)*4,3,1,1,"Internet")))&gt;1,INDIRECT(ADDRESS(ROW() + $A$9-8 + (ROW()-11)*4,3,1,1,"Internet"))," "))</f>
        <v xml:space="preserve"> </v>
      </c>
      <c r="S61" s="472">
        <f ca="1">IF(N(O61)=0,9999,VLOOKUP(O61,Hraci!$A$1:$I$1500,8,0))</f>
        <v>9999</v>
      </c>
      <c r="T61" s="473">
        <f ca="1">IF(N(O61)=0,0,VLOOKUP(O61,Hraci!$A$1:$I$1500,9,0))</f>
        <v>0</v>
      </c>
      <c r="U61" s="469" t="str">
        <f t="shared" ca="1" si="26"/>
        <v/>
      </c>
      <c r="V61" s="470" t="str">
        <f ca="1">IF(N(U61)&gt;0,VLOOKUP(U61,Hraci!$A$1:$I$1500,2,0),IF(TYPE(INDIRECT(ADDRESS(ROW() + $A$9-7 + (ROW()-11)*4,2,1,1,"Internet")))&gt;1,INDIRECT(ADDRESS(ROW() + $A$9-7 + (ROW()-11)*4,2,1,1,"Internet"))," "))</f>
        <v xml:space="preserve"> </v>
      </c>
      <c r="W61" s="471" t="str">
        <f ca="1">IF(N(U61)&gt;0,VLOOKUP(U61,Hraci!$A$1:$I$1500,3,0)," ")</f>
        <v xml:space="preserve"> </v>
      </c>
      <c r="X61" s="471" t="str">
        <f ca="1">IF(N(U61)&gt;0,VLOOKUP(U61,Hraci!$A$1:$I$1500,5,0),IF(TYPE(INDIRECT(ADDRESS(ROW() + $A$9-7 + (ROW()-11)*4,3,1,1,"Internet")))&gt;1,INDIRECT(ADDRESS(ROW() + $A$9-7 + (ROW()-11)*4,3,1,1,"Internet"))," "))</f>
        <v xml:space="preserve"> </v>
      </c>
      <c r="Y61" s="472">
        <f ca="1">IF(N(U61)=0,9999,VLOOKUP(U61,Hraci!$A$1:$I$1500,8,0))</f>
        <v>9999</v>
      </c>
      <c r="Z61" s="473">
        <f ca="1">IF(N(U61)=0,0,VLOOKUP(U61,Hraci!$A$1:$I$1500,9,0))</f>
        <v>0</v>
      </c>
      <c r="AA61" s="469" t="str">
        <f t="shared" ca="1" si="27"/>
        <v/>
      </c>
      <c r="AB61" s="470" t="str">
        <f ca="1">IF(N(AA61)&gt;0,VLOOKUP(AA61,Hraci!$A$1:$I$1500,2,0)," ")</f>
        <v xml:space="preserve"> </v>
      </c>
      <c r="AC61" s="471" t="str">
        <f ca="1">IF(N(AA61)&gt;0,VLOOKUP(AA61,Hraci!$A$1:$I$1500,3,0)," ")</f>
        <v xml:space="preserve"> </v>
      </c>
      <c r="AD61" s="471" t="str">
        <f ca="1">IF(N(AA61)&gt;0,VLOOKUP(AA61,Hraci!$A$1:$I$1500,5,0)," ")</f>
        <v xml:space="preserve"> </v>
      </c>
      <c r="AE61" s="472">
        <f ca="1">IF(N(AA61)=0,9999,VLOOKUP(AA61,Hraci!$A$1:$I$1500,8,0))</f>
        <v>9999</v>
      </c>
      <c r="AF61" s="473">
        <f ca="1">IF(N(AA61)=0,0,VLOOKUP(AA61,Hraci!$A$1:$I$1500,9,0))</f>
        <v>0</v>
      </c>
      <c r="AG61" s="474"/>
      <c r="AH61" s="480">
        <v>32</v>
      </c>
      <c r="AI61" s="475">
        <f ca="1">IF(N($AH61)&gt;0,VLOOKUP($AH61,Body!$A$4:$F$259,5,0),"")</f>
        <v>332.52743750000002</v>
      </c>
      <c r="AJ61" s="476">
        <f ca="1">IF(N($AH61)&gt;0,VLOOKUP($AH61,Body!$A$4:$F$259,6,0),"")</f>
        <v>200</v>
      </c>
      <c r="AK61" s="475">
        <f ca="1">IF(N($AH61)&gt;0,VLOOKUP($AH61,Body!$A$4:$F$259,2,0),"")</f>
        <v>3</v>
      </c>
      <c r="AL61" s="477" t="str">
        <f t="shared" ca="1" si="28"/>
        <v>51 Orel Řečkovice - Hanák David</v>
      </c>
      <c r="AM61" s="478">
        <f t="shared" ca="1" si="29"/>
        <v>24.937999999999999</v>
      </c>
      <c r="AN61" s="408">
        <f ca="1">IF(OR(TYPE(I61)&gt;1,TYPE(MATCH(I61,I62:I$267,0))&gt;1),0,MATCH(I61,I62:I$267,0))+IF(OR(TYPE(I61)&gt;1,TYPE(MATCH(I61,O$11:O$267,0))&gt;1),0,MATCH(I61,O$11:O$267,0))+IF(OR(TYPE(I61)&gt;1,TYPE(MATCH(I61,U$11:U$267,0))&gt;1),0,MATCH(I61,U$11:U$267,0))+IF(OR(TYPE(I61)&gt;1,TYPE(MATCH(I61,AA$11:AA$267,0))&gt;1),0,MATCH(I61,AA$11:AA$267,0))</f>
        <v>0</v>
      </c>
      <c r="AO61" s="408">
        <f ca="1">IF(OR(TYPE(O61)&gt;1,TYPE(MATCH(O61,I$11:I$267,0))&gt;1),0,MATCH(O61,I$11:I$267,0))+IF(OR(TYPE(O61)&gt;1,TYPE(MATCH(O61,O62:O$267,0))&gt;1),0,MATCH(O61,O62:O$267,0))+IF(OR(TYPE(O61)&gt;1,TYPE(MATCH(O61,U$11:U$267,0))&gt;1),0,MATCH(O61,U$11:U$267,0))+IF(OR(TYPE(O61)&gt;1,TYPE(MATCH(O61,AA$11:AA$267,0))&gt;1),0,MATCH(O61,AA$11:AA$267,0))</f>
        <v>0</v>
      </c>
      <c r="AP61" s="408">
        <f ca="1">IF(OR(TYPE(U61)&gt;1,TYPE(MATCH(U61,I$11:I$267,0))&gt;1),0,MATCH(U61,I$11:I$267,0))+IF(OR(TYPE(U61)&gt;1,TYPE(MATCH(U61,O$11:O$267,0))&gt;1),0,MATCH(U61,O$11:O$267,0))+IF(OR(TYPE(U61)&gt;1,TYPE(MATCH(U61,U62:U$267,0))&gt;1),0,MATCH(U61,U62:U$267,0))+IF(OR(TYPE(U61)&gt;1,TYPE(MATCH(U61,AA$11:AA$267,0))&gt;1),0,MATCH(U61,AA$11:AA$267,0))</f>
        <v>0</v>
      </c>
      <c r="AQ61" s="408">
        <f ca="1">IF(OR(TYPE(AA61)&gt;1,TYPE(MATCH(AA61,I$11:I$267,0))&gt;1),0,MATCH(AA61,I$11:I$267,0))+IF(OR(TYPE(AA61)&gt;1,TYPE(MATCH(AA61,O$11:O$267,0))&gt;1),0,MATCH(AA61,O$11:O$267,0))+IF(OR(TYPE(AA61)&gt;1,TYPE(MATCH(AA61,U$11:U$267,0))&gt;1),0,MATCH(U61,U$11:U$267,0))+IF(OR(TYPE(AA61)&gt;1,TYPE(MATCH(AA61,AA62:AA$267,0))&gt;1),0,MATCH(AA61,AA62:AA$267,0))</f>
        <v>0</v>
      </c>
      <c r="AR61" s="408">
        <f t="shared" ca="1" si="14"/>
        <v>0</v>
      </c>
      <c r="BF61" s="408">
        <f t="shared" si="15"/>
        <v>51</v>
      </c>
    </row>
    <row r="62" spans="1:58" ht="14.25">
      <c r="A62" s="430">
        <f t="shared" ca="1" si="16"/>
        <v>1</v>
      </c>
      <c r="B62" s="430">
        <f t="shared" ca="1" si="17"/>
        <v>1</v>
      </c>
      <c r="C62" s="430">
        <f t="shared" ca="1" si="18"/>
        <v>24.876999999999999</v>
      </c>
      <c r="D62" s="430">
        <f t="shared" ca="1" si="19"/>
        <v>20057</v>
      </c>
      <c r="E62" s="430">
        <f t="shared" ca="1" si="20"/>
        <v>59</v>
      </c>
      <c r="F62" s="431" t="str">
        <f t="shared" ca="1" si="21"/>
        <v>91024877979942999940159225</v>
      </c>
      <c r="G62" s="467" t="b">
        <f t="shared" ca="1" si="22"/>
        <v>0</v>
      </c>
      <c r="H62" s="468">
        <f t="shared" si="23"/>
        <v>52</v>
      </c>
      <c r="I62" s="469">
        <f t="shared" ca="1" si="24"/>
        <v>15010</v>
      </c>
      <c r="J62" s="470" t="str">
        <f ca="1">IF(N(I62)&gt;0,VLOOKUP(I62,Hraci!$A$1:$I$1500,2,0),IF(TYPE(INDIRECT(ADDRESS(ROW() + $A$9-9 + (ROW()-11)*4,2,1,1,"Internet")))&gt;1,INDIRECT(ADDRESS(ROW() + $A$9-9 + (ROW()-11)*4,2,1,1,"Internet"))," "))</f>
        <v>Chmelařová</v>
      </c>
      <c r="K62" s="471" t="str">
        <f ca="1">IF(N(I62)&gt;0,VLOOKUP(I62,Hraci!$A$1:$I$1500,3,0)," ")</f>
        <v>Yvetta</v>
      </c>
      <c r="L62" s="471" t="str">
        <f ca="1">IF(N(I62)&gt;0,VLOOKUP(I62,Hraci!$A$1:$I$1500,5,0),IF(TYPE(INDIRECT(ADDRESS(ROW() + $A$9-9 + (ROW()-11)*4,3,1,1,"Internet")))&gt;1,INDIRECT(ADDRESS(ROW() + $A$9-9 + (ROW()-11)*4,3,1,1,"Internet"))," "))</f>
        <v>SKP Kulová osma</v>
      </c>
      <c r="M62" s="472">
        <f ca="1">IF(N(I62)=0,9999,VLOOKUP(I62,Hraci!$A$1:$I$1500,8,0))</f>
        <v>59</v>
      </c>
      <c r="N62" s="473">
        <f ca="1">IF(N(I62)=0,0,VLOOKUP(I62,Hraci!$A$1:$I$1500,9,0))</f>
        <v>24.876999999999999</v>
      </c>
      <c r="O62" s="469" t="str">
        <f t="shared" ca="1" si="25"/>
        <v/>
      </c>
      <c r="P62" s="470" t="str">
        <f ca="1">IF(N(O62)&gt;0,VLOOKUP(O62,Hraci!$A$1:$I$1500,2,0),IF(TYPE(INDIRECT(ADDRESS(ROW() + $A$9-8 + (ROW()-11)*4,2,1,1,"Internet")))&gt;1,INDIRECT(ADDRESS(ROW() + $A$9-8 + (ROW()-11)*4,2,1,1,"Internet"))," "))</f>
        <v xml:space="preserve"> </v>
      </c>
      <c r="Q62" s="471" t="str">
        <f ca="1">IF(N(O62)&gt;0,VLOOKUP(O62,Hraci!$A$1:$I$1500,3,0)," ")</f>
        <v xml:space="preserve"> </v>
      </c>
      <c r="R62" s="471" t="str">
        <f ca="1">IF(N(O62)&gt;0,VLOOKUP(O62,Hraci!$A$1:$I$1500,5,0),IF(TYPE(INDIRECT(ADDRESS(ROW() + $A$9-8 + (ROW()-11)*4,3,1,1,"Internet")))&gt;1,INDIRECT(ADDRESS(ROW() + $A$9-8 + (ROW()-11)*4,3,1,1,"Internet"))," "))</f>
        <v xml:space="preserve"> </v>
      </c>
      <c r="S62" s="472">
        <f ca="1">IF(N(O62)=0,9999,VLOOKUP(O62,Hraci!$A$1:$I$1500,8,0))</f>
        <v>9999</v>
      </c>
      <c r="T62" s="473">
        <f ca="1">IF(N(O62)=0,0,VLOOKUP(O62,Hraci!$A$1:$I$1500,9,0))</f>
        <v>0</v>
      </c>
      <c r="U62" s="469" t="str">
        <f t="shared" ca="1" si="26"/>
        <v/>
      </c>
      <c r="V62" s="470" t="str">
        <f ca="1">IF(N(U62)&gt;0,VLOOKUP(U62,Hraci!$A$1:$I$1500,2,0),IF(TYPE(INDIRECT(ADDRESS(ROW() + $A$9-7 + (ROW()-11)*4,2,1,1,"Internet")))&gt;1,INDIRECT(ADDRESS(ROW() + $A$9-7 + (ROW()-11)*4,2,1,1,"Internet"))," "))</f>
        <v xml:space="preserve"> </v>
      </c>
      <c r="W62" s="471" t="str">
        <f ca="1">IF(N(U62)&gt;0,VLOOKUP(U62,Hraci!$A$1:$I$1500,3,0)," ")</f>
        <v xml:space="preserve"> </v>
      </c>
      <c r="X62" s="471" t="str">
        <f ca="1">IF(N(U62)&gt;0,VLOOKUP(U62,Hraci!$A$1:$I$1500,5,0),IF(TYPE(INDIRECT(ADDRESS(ROW() + $A$9-7 + (ROW()-11)*4,3,1,1,"Internet")))&gt;1,INDIRECT(ADDRESS(ROW() + $A$9-7 + (ROW()-11)*4,3,1,1,"Internet"))," "))</f>
        <v xml:space="preserve"> </v>
      </c>
      <c r="Y62" s="472">
        <f ca="1">IF(N(U62)=0,9999,VLOOKUP(U62,Hraci!$A$1:$I$1500,8,0))</f>
        <v>9999</v>
      </c>
      <c r="Z62" s="473">
        <f ca="1">IF(N(U62)=0,0,VLOOKUP(U62,Hraci!$A$1:$I$1500,9,0))</f>
        <v>0</v>
      </c>
      <c r="AA62" s="469" t="str">
        <f t="shared" ca="1" si="27"/>
        <v/>
      </c>
      <c r="AB62" s="470" t="str">
        <f ca="1">IF(N(AA62)&gt;0,VLOOKUP(AA62,Hraci!$A$1:$I$1500,2,0)," ")</f>
        <v xml:space="preserve"> </v>
      </c>
      <c r="AC62" s="471" t="str">
        <f ca="1">IF(N(AA62)&gt;0,VLOOKUP(AA62,Hraci!$A$1:$I$1500,3,0)," ")</f>
        <v xml:space="preserve"> </v>
      </c>
      <c r="AD62" s="471" t="str">
        <f ca="1">IF(N(AA62)&gt;0,VLOOKUP(AA62,Hraci!$A$1:$I$1500,5,0)," ")</f>
        <v xml:space="preserve"> </v>
      </c>
      <c r="AE62" s="472">
        <f ca="1">IF(N(AA62)=0,9999,VLOOKUP(AA62,Hraci!$A$1:$I$1500,8,0))</f>
        <v>9999</v>
      </c>
      <c r="AF62" s="473">
        <f ca="1">IF(N(AA62)=0,0,VLOOKUP(AA62,Hraci!$A$1:$I$1500,9,0))</f>
        <v>0</v>
      </c>
      <c r="AG62" s="474"/>
      <c r="AH62" s="480">
        <v>129</v>
      </c>
      <c r="AI62" s="475">
        <f ca="1">IF(N($AH62)&gt;0,VLOOKUP($AH62,Body!$A$4:$F$259,5,0),"")</f>
        <v>553.40650000000005</v>
      </c>
      <c r="AJ62" s="476">
        <f ca="1">IF(N($AH62)&gt;0,VLOOKUP($AH62,Body!$A$4:$F$259,6,0),"")</f>
        <v>200</v>
      </c>
      <c r="AK62" s="475">
        <f ca="1">IF(N($AH62)&gt;0,VLOOKUP($AH62,Body!$A$4:$F$259,2,0),"")</f>
        <v>8</v>
      </c>
      <c r="AL62" s="477" t="str">
        <f t="shared" ca="1" si="28"/>
        <v>52 SKP Kulová osma - Chmelařová Yvetta</v>
      </c>
      <c r="AM62" s="478">
        <f t="shared" ca="1" si="29"/>
        <v>24.876999999999999</v>
      </c>
      <c r="AN62" s="408">
        <f ca="1">IF(OR(TYPE(I62)&gt;1,TYPE(MATCH(I62,I63:I$267,0))&gt;1),0,MATCH(I62,I63:I$267,0))+IF(OR(TYPE(I62)&gt;1,TYPE(MATCH(I62,O$11:O$267,0))&gt;1),0,MATCH(I62,O$11:O$267,0))+IF(OR(TYPE(I62)&gt;1,TYPE(MATCH(I62,U$11:U$267,0))&gt;1),0,MATCH(I62,U$11:U$267,0))+IF(OR(TYPE(I62)&gt;1,TYPE(MATCH(I62,AA$11:AA$267,0))&gt;1),0,MATCH(I62,AA$11:AA$267,0))</f>
        <v>0</v>
      </c>
      <c r="AO62" s="408">
        <f ca="1">IF(OR(TYPE(O62)&gt;1,TYPE(MATCH(O62,I$11:I$267,0))&gt;1),0,MATCH(O62,I$11:I$267,0))+IF(OR(TYPE(O62)&gt;1,TYPE(MATCH(O62,O63:O$267,0))&gt;1),0,MATCH(O62,O63:O$267,0))+IF(OR(TYPE(O62)&gt;1,TYPE(MATCH(O62,U$11:U$267,0))&gt;1),0,MATCH(O62,U$11:U$267,0))+IF(OR(TYPE(O62)&gt;1,TYPE(MATCH(O62,AA$11:AA$267,0))&gt;1),0,MATCH(O62,AA$11:AA$267,0))</f>
        <v>0</v>
      </c>
      <c r="AP62" s="408">
        <f ca="1">IF(OR(TYPE(U62)&gt;1,TYPE(MATCH(U62,I$11:I$267,0))&gt;1),0,MATCH(U62,I$11:I$267,0))+IF(OR(TYPE(U62)&gt;1,TYPE(MATCH(U62,O$11:O$267,0))&gt;1),0,MATCH(U62,O$11:O$267,0))+IF(OR(TYPE(U62)&gt;1,TYPE(MATCH(U62,U63:U$267,0))&gt;1),0,MATCH(U62,U63:U$267,0))+IF(OR(TYPE(U62)&gt;1,TYPE(MATCH(U62,AA$11:AA$267,0))&gt;1),0,MATCH(U62,AA$11:AA$267,0))</f>
        <v>0</v>
      </c>
      <c r="AQ62" s="408">
        <f ca="1">IF(OR(TYPE(AA62)&gt;1,TYPE(MATCH(AA62,I$11:I$267,0))&gt;1),0,MATCH(AA62,I$11:I$267,0))+IF(OR(TYPE(AA62)&gt;1,TYPE(MATCH(AA62,O$11:O$267,0))&gt;1),0,MATCH(AA62,O$11:O$267,0))+IF(OR(TYPE(AA62)&gt;1,TYPE(MATCH(AA62,U$11:U$267,0))&gt;1),0,MATCH(U62,U$11:U$267,0))+IF(OR(TYPE(AA62)&gt;1,TYPE(MATCH(AA62,AA63:AA$267,0))&gt;1),0,MATCH(AA62,AA63:AA$267,0))</f>
        <v>0</v>
      </c>
      <c r="AR62" s="408">
        <f t="shared" ca="1" si="14"/>
        <v>0</v>
      </c>
      <c r="BF62" s="408">
        <f t="shared" si="15"/>
        <v>52</v>
      </c>
    </row>
    <row r="63" spans="1:58" ht="14.25">
      <c r="A63" s="430">
        <f t="shared" ca="1" si="16"/>
        <v>1</v>
      </c>
      <c r="B63" s="430">
        <f t="shared" ca="1" si="17"/>
        <v>1</v>
      </c>
      <c r="C63" s="430">
        <f t="shared" ca="1" si="18"/>
        <v>24.876000000000001</v>
      </c>
      <c r="D63" s="430">
        <f t="shared" ca="1" si="19"/>
        <v>20024</v>
      </c>
      <c r="E63" s="430">
        <f t="shared" ca="1" si="20"/>
        <v>26</v>
      </c>
      <c r="F63" s="431" t="str">
        <f t="shared" ca="1" si="21"/>
        <v>91024876979975999973429697</v>
      </c>
      <c r="G63" s="467" t="b">
        <f t="shared" ca="1" si="22"/>
        <v>0</v>
      </c>
      <c r="H63" s="468">
        <f t="shared" si="23"/>
        <v>53</v>
      </c>
      <c r="I63" s="469">
        <f t="shared" ca="1" si="24"/>
        <v>12037</v>
      </c>
      <c r="J63" s="470" t="str">
        <f ca="1">IF(N(I63)&gt;0,VLOOKUP(I63,Hraci!$A$1:$I$1500,2,0),IF(TYPE(INDIRECT(ADDRESS(ROW() + $A$9-9 + (ROW()-11)*4,2,1,1,"Internet")))&gt;1,INDIRECT(ADDRESS(ROW() + $A$9-9 + (ROW()-11)*4,2,1,1,"Internet"))," "))</f>
        <v>Krejčínová</v>
      </c>
      <c r="K63" s="471" t="str">
        <f ca="1">IF(N(I63)&gt;0,VLOOKUP(I63,Hraci!$A$1:$I$1500,3,0)," ")</f>
        <v>Lenka</v>
      </c>
      <c r="L63" s="471" t="str">
        <f ca="1">IF(N(I63)&gt;0,VLOOKUP(I63,Hraci!$A$1:$I$1500,5,0),IF(TYPE(INDIRECT(ADDRESS(ROW() + $A$9-9 + (ROW()-11)*4,3,1,1,"Internet")))&gt;1,INDIRECT(ADDRESS(ROW() + $A$9-9 + (ROW()-11)*4,3,1,1,"Internet"))," "))</f>
        <v>SKP Kulová osma</v>
      </c>
      <c r="M63" s="472">
        <f ca="1">IF(N(I63)=0,9999,VLOOKUP(I63,Hraci!$A$1:$I$1500,8,0))</f>
        <v>26</v>
      </c>
      <c r="N63" s="473">
        <f ca="1">IF(N(I63)=0,0,VLOOKUP(I63,Hraci!$A$1:$I$1500,9,0))</f>
        <v>24.876000000000001</v>
      </c>
      <c r="O63" s="469" t="str">
        <f t="shared" ca="1" si="25"/>
        <v/>
      </c>
      <c r="P63" s="470" t="str">
        <f ca="1">IF(N(O63)&gt;0,VLOOKUP(O63,Hraci!$A$1:$I$1500,2,0),IF(TYPE(INDIRECT(ADDRESS(ROW() + $A$9-8 + (ROW()-11)*4,2,1,1,"Internet")))&gt;1,INDIRECT(ADDRESS(ROW() + $A$9-8 + (ROW()-11)*4,2,1,1,"Internet"))," "))</f>
        <v xml:space="preserve"> </v>
      </c>
      <c r="Q63" s="471" t="str">
        <f ca="1">IF(N(O63)&gt;0,VLOOKUP(O63,Hraci!$A$1:$I$1500,3,0)," ")</f>
        <v xml:space="preserve"> </v>
      </c>
      <c r="R63" s="471" t="str">
        <f ca="1">IF(N(O63)&gt;0,VLOOKUP(O63,Hraci!$A$1:$I$1500,5,0),IF(TYPE(INDIRECT(ADDRESS(ROW() + $A$9-8 + (ROW()-11)*4,3,1,1,"Internet")))&gt;1,INDIRECT(ADDRESS(ROW() + $A$9-8 + (ROW()-11)*4,3,1,1,"Internet"))," "))</f>
        <v xml:space="preserve"> </v>
      </c>
      <c r="S63" s="472">
        <f ca="1">IF(N(O63)=0,9999,VLOOKUP(O63,Hraci!$A$1:$I$1500,8,0))</f>
        <v>9999</v>
      </c>
      <c r="T63" s="473">
        <f ca="1">IF(N(O63)=0,0,VLOOKUP(O63,Hraci!$A$1:$I$1500,9,0))</f>
        <v>0</v>
      </c>
      <c r="U63" s="469" t="str">
        <f t="shared" ca="1" si="26"/>
        <v/>
      </c>
      <c r="V63" s="470" t="str">
        <f ca="1">IF(N(U63)&gt;0,VLOOKUP(U63,Hraci!$A$1:$I$1500,2,0),IF(TYPE(INDIRECT(ADDRESS(ROW() + $A$9-7 + (ROW()-11)*4,2,1,1,"Internet")))&gt;1,INDIRECT(ADDRESS(ROW() + $A$9-7 + (ROW()-11)*4,2,1,1,"Internet"))," "))</f>
        <v xml:space="preserve"> </v>
      </c>
      <c r="W63" s="471" t="str">
        <f ca="1">IF(N(U63)&gt;0,VLOOKUP(U63,Hraci!$A$1:$I$1500,3,0)," ")</f>
        <v xml:space="preserve"> </v>
      </c>
      <c r="X63" s="471" t="str">
        <f ca="1">IF(N(U63)&gt;0,VLOOKUP(U63,Hraci!$A$1:$I$1500,5,0),IF(TYPE(INDIRECT(ADDRESS(ROW() + $A$9-7 + (ROW()-11)*4,3,1,1,"Internet")))&gt;1,INDIRECT(ADDRESS(ROW() + $A$9-7 + (ROW()-11)*4,3,1,1,"Internet"))," "))</f>
        <v xml:space="preserve"> </v>
      </c>
      <c r="Y63" s="472">
        <f ca="1">IF(N(U63)=0,9999,VLOOKUP(U63,Hraci!$A$1:$I$1500,8,0))</f>
        <v>9999</v>
      </c>
      <c r="Z63" s="473">
        <f ca="1">IF(N(U63)=0,0,VLOOKUP(U63,Hraci!$A$1:$I$1500,9,0))</f>
        <v>0</v>
      </c>
      <c r="AA63" s="469" t="str">
        <f t="shared" ca="1" si="27"/>
        <v/>
      </c>
      <c r="AB63" s="470" t="str">
        <f ca="1">IF(N(AA63)&gt;0,VLOOKUP(AA63,Hraci!$A$1:$I$1500,2,0)," ")</f>
        <v xml:space="preserve"> </v>
      </c>
      <c r="AC63" s="471" t="str">
        <f ca="1">IF(N(AA63)&gt;0,VLOOKUP(AA63,Hraci!$A$1:$I$1500,3,0)," ")</f>
        <v xml:space="preserve"> </v>
      </c>
      <c r="AD63" s="471" t="str">
        <f ca="1">IF(N(AA63)&gt;0,VLOOKUP(AA63,Hraci!$A$1:$I$1500,5,0)," ")</f>
        <v xml:space="preserve"> </v>
      </c>
      <c r="AE63" s="472">
        <f ca="1">IF(N(AA63)=0,9999,VLOOKUP(AA63,Hraci!$A$1:$I$1500,8,0))</f>
        <v>9999</v>
      </c>
      <c r="AF63" s="473">
        <f ca="1">IF(N(AA63)=0,0,VLOOKUP(AA63,Hraci!$A$1:$I$1500,9,0))</f>
        <v>0</v>
      </c>
      <c r="AG63" s="474"/>
      <c r="AH63" s="480">
        <f ca="1">IF(TYPE(VLOOKUP(H63,Nasazení!$A$3:$E$258,5,0))&lt;4,VLOOKUP(H63,Nasazení!$A$3:$E$258,5,0),0)</f>
        <v>143</v>
      </c>
      <c r="AI63" s="475">
        <f ca="1">IF(N($AH63)&gt;0,VLOOKUP($AH63,Body!$A$4:$F$259,5,0),"")</f>
        <v>20</v>
      </c>
      <c r="AJ63" s="476">
        <f ca="1">IF(N($AH63)&gt;0,VLOOKUP($AH63,Body!$A$4:$F$259,6,0),"")</f>
        <v>0</v>
      </c>
      <c r="AK63" s="475">
        <f ca="1">IF(N($AH63)&gt;0,VLOOKUP($AH63,Body!$A$4:$F$259,2,0),"")</f>
        <v>0</v>
      </c>
      <c r="AL63" s="477" t="str">
        <f t="shared" ca="1" si="28"/>
        <v>53 SKP Kulová osma - Krejčínová Lenka</v>
      </c>
      <c r="AM63" s="478">
        <f t="shared" ca="1" si="29"/>
        <v>24.876000000000001</v>
      </c>
      <c r="AN63" s="408">
        <f ca="1">IF(OR(TYPE(I63)&gt;1,TYPE(MATCH(I63,I64:I$267,0))&gt;1),0,MATCH(I63,I64:I$267,0))+IF(OR(TYPE(I63)&gt;1,TYPE(MATCH(I63,O$11:O$267,0))&gt;1),0,MATCH(I63,O$11:O$267,0))+IF(OR(TYPE(I63)&gt;1,TYPE(MATCH(I63,U$11:U$267,0))&gt;1),0,MATCH(I63,U$11:U$267,0))+IF(OR(TYPE(I63)&gt;1,TYPE(MATCH(I63,AA$11:AA$267,0))&gt;1),0,MATCH(I63,AA$11:AA$267,0))</f>
        <v>0</v>
      </c>
      <c r="AO63" s="408">
        <f ca="1">IF(OR(TYPE(O63)&gt;1,TYPE(MATCH(O63,I$11:I$267,0))&gt;1),0,MATCH(O63,I$11:I$267,0))+IF(OR(TYPE(O63)&gt;1,TYPE(MATCH(O63,O64:O$267,0))&gt;1),0,MATCH(O63,O64:O$267,0))+IF(OR(TYPE(O63)&gt;1,TYPE(MATCH(O63,U$11:U$267,0))&gt;1),0,MATCH(O63,U$11:U$267,0))+IF(OR(TYPE(O63)&gt;1,TYPE(MATCH(O63,AA$11:AA$267,0))&gt;1),0,MATCH(O63,AA$11:AA$267,0))</f>
        <v>0</v>
      </c>
      <c r="AP63" s="408">
        <f ca="1">IF(OR(TYPE(U63)&gt;1,TYPE(MATCH(U63,I$11:I$267,0))&gt;1),0,MATCH(U63,I$11:I$267,0))+IF(OR(TYPE(U63)&gt;1,TYPE(MATCH(U63,O$11:O$267,0))&gt;1),0,MATCH(U63,O$11:O$267,0))+IF(OR(TYPE(U63)&gt;1,TYPE(MATCH(U63,U64:U$267,0))&gt;1),0,MATCH(U63,U64:U$267,0))+IF(OR(TYPE(U63)&gt;1,TYPE(MATCH(U63,AA$11:AA$267,0))&gt;1),0,MATCH(U63,AA$11:AA$267,0))</f>
        <v>0</v>
      </c>
      <c r="AQ63" s="408">
        <f ca="1">IF(OR(TYPE(AA63)&gt;1,TYPE(MATCH(AA63,I$11:I$267,0))&gt;1),0,MATCH(AA63,I$11:I$267,0))+IF(OR(TYPE(AA63)&gt;1,TYPE(MATCH(AA63,O$11:O$267,0))&gt;1),0,MATCH(AA63,O$11:O$267,0))+IF(OR(TYPE(AA63)&gt;1,TYPE(MATCH(AA63,U$11:U$267,0))&gt;1),0,MATCH(U63,U$11:U$267,0))+IF(OR(TYPE(AA63)&gt;1,TYPE(MATCH(AA63,AA64:AA$267,0))&gt;1),0,MATCH(AA63,AA64:AA$267,0))</f>
        <v>0</v>
      </c>
      <c r="AR63" s="408">
        <f t="shared" ca="1" si="14"/>
        <v>0</v>
      </c>
      <c r="BF63" s="408">
        <f t="shared" si="15"/>
        <v>53</v>
      </c>
    </row>
    <row r="64" spans="1:58" ht="14.25">
      <c r="A64" s="430">
        <f t="shared" ca="1" si="16"/>
        <v>1</v>
      </c>
      <c r="B64" s="430">
        <f t="shared" ca="1" si="17"/>
        <v>1</v>
      </c>
      <c r="C64" s="430">
        <f t="shared" ca="1" si="18"/>
        <v>24.564</v>
      </c>
      <c r="D64" s="430">
        <f t="shared" ca="1" si="19"/>
        <v>20042</v>
      </c>
      <c r="E64" s="400">
        <f t="shared" ca="1" si="20"/>
        <v>44</v>
      </c>
      <c r="F64" s="431" t="str">
        <f t="shared" ca="1" si="21"/>
        <v>91024564979957999955309849</v>
      </c>
      <c r="G64" s="467" t="b">
        <f t="shared" ca="1" si="22"/>
        <v>0</v>
      </c>
      <c r="H64" s="468">
        <f t="shared" si="23"/>
        <v>54</v>
      </c>
      <c r="I64" s="469">
        <f t="shared" ca="1" si="24"/>
        <v>25003</v>
      </c>
      <c r="J64" s="470" t="str">
        <f ca="1">IF(N(I64)&gt;0,VLOOKUP(I64,Hraci!$A$1:$I$1500,2,0),IF(TYPE(INDIRECT(ADDRESS(ROW() + $A$9-9 + (ROW()-11)*4,2,1,1,"Internet")))&gt;1,INDIRECT(ADDRESS(ROW() + $A$9-9 + (ROW()-11)*4,2,1,1,"Internet"))," "))</f>
        <v>Horáčková</v>
      </c>
      <c r="K64" s="471" t="str">
        <f ca="1">IF(N(I64)&gt;0,VLOOKUP(I64,Hraci!$A$1:$I$1500,3,0)," ")</f>
        <v>Simona</v>
      </c>
      <c r="L64" s="471" t="str">
        <f ca="1">IF(N(I64)&gt;0,VLOOKUP(I64,Hraci!$A$1:$I$1500,5,0),IF(TYPE(INDIRECT(ADDRESS(ROW() + $A$9-9 + (ROW()-11)*4,3,1,1,"Internet")))&gt;1,INDIRECT(ADDRESS(ROW() + $A$9-9 + (ROW()-11)*4,3,1,1,"Internet"))," "))</f>
        <v>SK Sahara Vědomice</v>
      </c>
      <c r="M64" s="472">
        <f ca="1">IF(N(I64)=0,9999,VLOOKUP(I64,Hraci!$A$1:$I$1500,8,0))</f>
        <v>44</v>
      </c>
      <c r="N64" s="473">
        <f ca="1">IF(N(I64)=0,0,VLOOKUP(I64,Hraci!$A$1:$I$1500,9,0))</f>
        <v>24.564</v>
      </c>
      <c r="O64" s="469" t="str">
        <f t="shared" ca="1" si="25"/>
        <v/>
      </c>
      <c r="P64" s="470" t="str">
        <f ca="1">IF(N(O64)&gt;0,VLOOKUP(O64,Hraci!$A$1:$I$1500,2,0),IF(TYPE(INDIRECT(ADDRESS(ROW() + $A$9-8 + (ROW()-11)*4,2,1,1,"Internet")))&gt;1,INDIRECT(ADDRESS(ROW() + $A$9-8 + (ROW()-11)*4,2,1,1,"Internet"))," "))</f>
        <v xml:space="preserve"> </v>
      </c>
      <c r="Q64" s="471" t="str">
        <f ca="1">IF(N(O64)&gt;0,VLOOKUP(O64,Hraci!$A$1:$I$1500,3,0)," ")</f>
        <v xml:space="preserve"> </v>
      </c>
      <c r="R64" s="471" t="str">
        <f ca="1">IF(N(O64)&gt;0,VLOOKUP(O64,Hraci!$A$1:$I$1500,5,0),IF(TYPE(INDIRECT(ADDRESS(ROW() + $A$9-8 + (ROW()-11)*4,3,1,1,"Internet")))&gt;1,INDIRECT(ADDRESS(ROW() + $A$9-8 + (ROW()-11)*4,3,1,1,"Internet"))," "))</f>
        <v xml:space="preserve"> </v>
      </c>
      <c r="S64" s="472">
        <f ca="1">IF(N(O64)=0,9999,VLOOKUP(O64,Hraci!$A$1:$I$1500,8,0))</f>
        <v>9999</v>
      </c>
      <c r="T64" s="473">
        <f ca="1">IF(N(O64)=0,0,VLOOKUP(O64,Hraci!$A$1:$I$1500,9,0))</f>
        <v>0</v>
      </c>
      <c r="U64" s="469" t="str">
        <f t="shared" ca="1" si="26"/>
        <v/>
      </c>
      <c r="V64" s="470" t="str">
        <f ca="1">IF(N(U64)&gt;0,VLOOKUP(U64,Hraci!$A$1:$I$1500,2,0),IF(TYPE(INDIRECT(ADDRESS(ROW() + $A$9-7 + (ROW()-11)*4,2,1,1,"Internet")))&gt;1,INDIRECT(ADDRESS(ROW() + $A$9-7 + (ROW()-11)*4,2,1,1,"Internet"))," "))</f>
        <v xml:space="preserve"> </v>
      </c>
      <c r="W64" s="471" t="str">
        <f ca="1">IF(N(U64)&gt;0,VLOOKUP(U64,Hraci!$A$1:$I$1500,3,0)," ")</f>
        <v xml:space="preserve"> </v>
      </c>
      <c r="X64" s="471" t="str">
        <f ca="1">IF(N(U64)&gt;0,VLOOKUP(U64,Hraci!$A$1:$I$1500,5,0),IF(TYPE(INDIRECT(ADDRESS(ROW() + $A$9-7 + (ROW()-11)*4,3,1,1,"Internet")))&gt;1,INDIRECT(ADDRESS(ROW() + $A$9-7 + (ROW()-11)*4,3,1,1,"Internet"))," "))</f>
        <v xml:space="preserve"> </v>
      </c>
      <c r="Y64" s="472">
        <f ca="1">IF(N(U64)=0,9999,VLOOKUP(U64,Hraci!$A$1:$I$1500,8,0))</f>
        <v>9999</v>
      </c>
      <c r="Z64" s="473">
        <f ca="1">IF(N(U64)=0,0,VLOOKUP(U64,Hraci!$A$1:$I$1500,9,0))</f>
        <v>0</v>
      </c>
      <c r="AA64" s="469" t="str">
        <f t="shared" ca="1" si="27"/>
        <v/>
      </c>
      <c r="AB64" s="470" t="str">
        <f ca="1">IF(N(AA64)&gt;0,VLOOKUP(AA64,Hraci!$A$1:$I$1500,2,0)," ")</f>
        <v xml:space="preserve"> </v>
      </c>
      <c r="AC64" s="471" t="str">
        <f ca="1">IF(N(AA64)&gt;0,VLOOKUP(AA64,Hraci!$A$1:$I$1500,3,0)," ")</f>
        <v xml:space="preserve"> </v>
      </c>
      <c r="AD64" s="471" t="str">
        <f ca="1">IF(N(AA64)&gt;0,VLOOKUP(AA64,Hraci!$A$1:$I$1500,5,0)," ")</f>
        <v xml:space="preserve"> </v>
      </c>
      <c r="AE64" s="472">
        <f ca="1">IF(N(AA64)=0,9999,VLOOKUP(AA64,Hraci!$A$1:$I$1500,8,0))</f>
        <v>9999</v>
      </c>
      <c r="AF64" s="473">
        <f ca="1">IF(N(AA64)=0,0,VLOOKUP(AA64,Hraci!$A$1:$I$1500,9,0))</f>
        <v>0</v>
      </c>
      <c r="AG64" s="474"/>
      <c r="AH64" s="480">
        <f ca="1">IF(TYPE(VLOOKUP(H64,Nasazení!$A$3:$E$258,5,0))&lt;4,VLOOKUP(H64,Nasazení!$A$3:$E$258,5,0),0)</f>
        <v>64</v>
      </c>
      <c r="AI64" s="475">
        <f ca="1">IF(N($AH64)&gt;0,VLOOKUP($AH64,Body!$A$4:$F$259,5,0),"")</f>
        <v>288.35162500000001</v>
      </c>
      <c r="AJ64" s="476">
        <f ca="1">IF(N($AH64)&gt;0,VLOOKUP($AH64,Body!$A$4:$F$259,6,0),"")</f>
        <v>200</v>
      </c>
      <c r="AK64" s="475">
        <f ca="1">IF(N($AH64)&gt;0,VLOOKUP($AH64,Body!$A$4:$F$259,2,0),"")</f>
        <v>2</v>
      </c>
      <c r="AL64" s="477" t="str">
        <f t="shared" ca="1" si="28"/>
        <v>54 SK Sahara Vědomice - Horáčková Simona</v>
      </c>
      <c r="AM64" s="478">
        <f t="shared" ca="1" si="29"/>
        <v>24.564</v>
      </c>
      <c r="AN64" s="408">
        <f ca="1">IF(OR(TYPE(I64)&gt;1,TYPE(MATCH(I64,I65:I$267,0))&gt;1),0,MATCH(I64,I65:I$267,0))+IF(OR(TYPE(I64)&gt;1,TYPE(MATCH(I64,O$11:O$267,0))&gt;1),0,MATCH(I64,O$11:O$267,0))+IF(OR(TYPE(I64)&gt;1,TYPE(MATCH(I64,U$11:U$267,0))&gt;1),0,MATCH(I64,U$11:U$267,0))+IF(OR(TYPE(I64)&gt;1,TYPE(MATCH(I64,AA$11:AA$267,0))&gt;1),0,MATCH(I64,AA$11:AA$267,0))</f>
        <v>0</v>
      </c>
      <c r="AO64" s="408">
        <f ca="1">IF(OR(TYPE(O64)&gt;1,TYPE(MATCH(O64,I$11:I$267,0))&gt;1),0,MATCH(O64,I$11:I$267,0))+IF(OR(TYPE(O64)&gt;1,TYPE(MATCH(O64,O65:O$267,0))&gt;1),0,MATCH(O64,O65:O$267,0))+IF(OR(TYPE(O64)&gt;1,TYPE(MATCH(O64,U$11:U$267,0))&gt;1),0,MATCH(O64,U$11:U$267,0))+IF(OR(TYPE(O64)&gt;1,TYPE(MATCH(O64,AA$11:AA$267,0))&gt;1),0,MATCH(O64,AA$11:AA$267,0))</f>
        <v>0</v>
      </c>
      <c r="AP64" s="408">
        <f ca="1">IF(OR(TYPE(U64)&gt;1,TYPE(MATCH(U64,I$11:I$267,0))&gt;1),0,MATCH(U64,I$11:I$267,0))+IF(OR(TYPE(U64)&gt;1,TYPE(MATCH(U64,O$11:O$267,0))&gt;1),0,MATCH(U64,O$11:O$267,0))+IF(OR(TYPE(U64)&gt;1,TYPE(MATCH(U64,U65:U$267,0))&gt;1),0,MATCH(U64,U65:U$267,0))+IF(OR(TYPE(U64)&gt;1,TYPE(MATCH(U64,AA$11:AA$267,0))&gt;1),0,MATCH(U64,AA$11:AA$267,0))</f>
        <v>0</v>
      </c>
      <c r="AQ64" s="408">
        <f ca="1">IF(OR(TYPE(AA64)&gt;1,TYPE(MATCH(AA64,I$11:I$267,0))&gt;1),0,MATCH(AA64,I$11:I$267,0))+IF(OR(TYPE(AA64)&gt;1,TYPE(MATCH(AA64,O$11:O$267,0))&gt;1),0,MATCH(AA64,O$11:O$267,0))+IF(OR(TYPE(AA64)&gt;1,TYPE(MATCH(AA64,U$11:U$267,0))&gt;1),0,MATCH(U64,U$11:U$267,0))+IF(OR(TYPE(AA64)&gt;1,TYPE(MATCH(AA64,AA65:AA$267,0))&gt;1),0,MATCH(AA64,AA65:AA$267,0))</f>
        <v>0</v>
      </c>
      <c r="AR64" s="408">
        <f t="shared" ca="1" si="14"/>
        <v>0</v>
      </c>
      <c r="BF64" s="408">
        <f t="shared" si="15"/>
        <v>54</v>
      </c>
    </row>
    <row r="65" spans="1:58" ht="14.25">
      <c r="A65" s="430">
        <f t="shared" ca="1" si="16"/>
        <v>1</v>
      </c>
      <c r="B65" s="430">
        <f t="shared" ca="1" si="17"/>
        <v>1</v>
      </c>
      <c r="C65" s="430">
        <f t="shared" ca="1" si="18"/>
        <v>24.437999999999999</v>
      </c>
      <c r="D65" s="430">
        <f t="shared" ca="1" si="19"/>
        <v>20070</v>
      </c>
      <c r="E65" s="430">
        <f t="shared" ca="1" si="20"/>
        <v>72</v>
      </c>
      <c r="F65" s="431" t="str">
        <f t="shared" ca="1" si="21"/>
        <v>91024438979929999927846389</v>
      </c>
      <c r="G65" s="467" t="b">
        <f t="shared" ca="1" si="22"/>
        <v>0</v>
      </c>
      <c r="H65" s="468">
        <f t="shared" si="23"/>
        <v>55</v>
      </c>
      <c r="I65" s="469">
        <f t="shared" ca="1" si="24"/>
        <v>13041</v>
      </c>
      <c r="J65" s="470" t="str">
        <f ca="1">IF(N(I65)&gt;0,VLOOKUP(I65,Hraci!$A$1:$I$1500,2,0),IF(TYPE(INDIRECT(ADDRESS(ROW() + $A$9-9 + (ROW()-11)*4,2,1,1,"Internet")))&gt;1,INDIRECT(ADDRESS(ROW() + $A$9-9 + (ROW()-11)*4,2,1,1,"Internet"))," "))</f>
        <v>Sládková</v>
      </c>
      <c r="K65" s="471" t="str">
        <f ca="1">IF(N(I65)&gt;0,VLOOKUP(I65,Hraci!$A$1:$I$1500,3,0)," ")</f>
        <v>Hana</v>
      </c>
      <c r="L65" s="471" t="str">
        <f ca="1">IF(N(I65)&gt;0,VLOOKUP(I65,Hraci!$A$1:$I$1500,5,0),IF(TYPE(INDIRECT(ADDRESS(ROW() + $A$9-9 + (ROW()-11)*4,3,1,1,"Internet")))&gt;1,INDIRECT(ADDRESS(ROW() + $A$9-9 + (ROW()-11)*4,3,1,1,"Internet"))," "))</f>
        <v>1. KPK Vrchlabí</v>
      </c>
      <c r="M65" s="472">
        <f ca="1">IF(N(I65)=0,9999,VLOOKUP(I65,Hraci!$A$1:$I$1500,8,0))</f>
        <v>72</v>
      </c>
      <c r="N65" s="473">
        <f ca="1">IF(N(I65)=0,0,VLOOKUP(I65,Hraci!$A$1:$I$1500,9,0))</f>
        <v>24.437999999999999</v>
      </c>
      <c r="O65" s="469" t="str">
        <f t="shared" ca="1" si="25"/>
        <v/>
      </c>
      <c r="P65" s="470" t="str">
        <f ca="1">IF(N(O65)&gt;0,VLOOKUP(O65,Hraci!$A$1:$I$1500,2,0),IF(TYPE(INDIRECT(ADDRESS(ROW() + $A$9-8 + (ROW()-11)*4,2,1,1,"Internet")))&gt;1,INDIRECT(ADDRESS(ROW() + $A$9-8 + (ROW()-11)*4,2,1,1,"Internet"))," "))</f>
        <v xml:space="preserve"> </v>
      </c>
      <c r="Q65" s="471" t="str">
        <f ca="1">IF(N(O65)&gt;0,VLOOKUP(O65,Hraci!$A$1:$I$1500,3,0)," ")</f>
        <v xml:space="preserve"> </v>
      </c>
      <c r="R65" s="471" t="str">
        <f ca="1">IF(N(O65)&gt;0,VLOOKUP(O65,Hraci!$A$1:$I$1500,5,0),IF(TYPE(INDIRECT(ADDRESS(ROW() + $A$9-8 + (ROW()-11)*4,3,1,1,"Internet")))&gt;1,INDIRECT(ADDRESS(ROW() + $A$9-8 + (ROW()-11)*4,3,1,1,"Internet"))," "))</f>
        <v xml:space="preserve"> </v>
      </c>
      <c r="S65" s="472">
        <f ca="1">IF(N(O65)=0,9999,VLOOKUP(O65,Hraci!$A$1:$I$1500,8,0))</f>
        <v>9999</v>
      </c>
      <c r="T65" s="473">
        <f ca="1">IF(N(O65)=0,0,VLOOKUP(O65,Hraci!$A$1:$I$1500,9,0))</f>
        <v>0</v>
      </c>
      <c r="U65" s="469" t="str">
        <f t="shared" ca="1" si="26"/>
        <v/>
      </c>
      <c r="V65" s="470" t="str">
        <f ca="1">IF(N(U65)&gt;0,VLOOKUP(U65,Hraci!$A$1:$I$1500,2,0),IF(TYPE(INDIRECT(ADDRESS(ROW() + $A$9-7 + (ROW()-11)*4,2,1,1,"Internet")))&gt;1,INDIRECT(ADDRESS(ROW() + $A$9-7 + (ROW()-11)*4,2,1,1,"Internet"))," "))</f>
        <v xml:space="preserve"> </v>
      </c>
      <c r="W65" s="471" t="str">
        <f ca="1">IF(N(U65)&gt;0,VLOOKUP(U65,Hraci!$A$1:$I$1500,3,0)," ")</f>
        <v xml:space="preserve"> </v>
      </c>
      <c r="X65" s="471" t="str">
        <f ca="1">IF(N(U65)&gt;0,VLOOKUP(U65,Hraci!$A$1:$I$1500,5,0),IF(TYPE(INDIRECT(ADDRESS(ROW() + $A$9-7 + (ROW()-11)*4,3,1,1,"Internet")))&gt;1,INDIRECT(ADDRESS(ROW() + $A$9-7 + (ROW()-11)*4,3,1,1,"Internet"))," "))</f>
        <v xml:space="preserve"> </v>
      </c>
      <c r="Y65" s="472">
        <f ca="1">IF(N(U65)=0,9999,VLOOKUP(U65,Hraci!$A$1:$I$1500,8,0))</f>
        <v>9999</v>
      </c>
      <c r="Z65" s="473">
        <f ca="1">IF(N(U65)=0,0,VLOOKUP(U65,Hraci!$A$1:$I$1500,9,0))</f>
        <v>0</v>
      </c>
      <c r="AA65" s="469" t="str">
        <f t="shared" ca="1" si="27"/>
        <v/>
      </c>
      <c r="AB65" s="470" t="str">
        <f ca="1">IF(N(AA65)&gt;0,VLOOKUP(AA65,Hraci!$A$1:$I$1500,2,0)," ")</f>
        <v xml:space="preserve"> </v>
      </c>
      <c r="AC65" s="471" t="str">
        <f ca="1">IF(N(AA65)&gt;0,VLOOKUP(AA65,Hraci!$A$1:$I$1500,3,0)," ")</f>
        <v xml:space="preserve"> </v>
      </c>
      <c r="AD65" s="471" t="str">
        <f ca="1">IF(N(AA65)&gt;0,VLOOKUP(AA65,Hraci!$A$1:$I$1500,5,0)," ")</f>
        <v xml:space="preserve"> </v>
      </c>
      <c r="AE65" s="472">
        <f ca="1">IF(N(AA65)=0,9999,VLOOKUP(AA65,Hraci!$A$1:$I$1500,8,0))</f>
        <v>9999</v>
      </c>
      <c r="AF65" s="473">
        <f ca="1">IF(N(AA65)=0,0,VLOOKUP(AA65,Hraci!$A$1:$I$1500,9,0))</f>
        <v>0</v>
      </c>
      <c r="AG65" s="474"/>
      <c r="AH65" s="480">
        <v>129</v>
      </c>
      <c r="AI65" s="475">
        <f ca="1">IF(N($AH65)&gt;0,VLOOKUP($AH65,Body!$A$4:$F$259,5,0),"")</f>
        <v>553.40650000000005</v>
      </c>
      <c r="AJ65" s="476">
        <f ca="1">IF(N($AH65)&gt;0,VLOOKUP($AH65,Body!$A$4:$F$259,6,0),"")</f>
        <v>200</v>
      </c>
      <c r="AK65" s="475">
        <f ca="1">IF(N($AH65)&gt;0,VLOOKUP($AH65,Body!$A$4:$F$259,2,0),"")</f>
        <v>8</v>
      </c>
      <c r="AL65" s="477" t="str">
        <f t="shared" ca="1" si="28"/>
        <v>55 1. KPK Vrchlabí - Sládková Hana</v>
      </c>
      <c r="AM65" s="478">
        <f t="shared" ca="1" si="29"/>
        <v>24.437999999999999</v>
      </c>
      <c r="AN65" s="408">
        <f ca="1">IF(OR(TYPE(I65)&gt;1,TYPE(MATCH(I65,I66:I$267,0))&gt;1),0,MATCH(I65,I66:I$267,0))+IF(OR(TYPE(I65)&gt;1,TYPE(MATCH(I65,O$11:O$267,0))&gt;1),0,MATCH(I65,O$11:O$267,0))+IF(OR(TYPE(I65)&gt;1,TYPE(MATCH(I65,U$11:U$267,0))&gt;1),0,MATCH(I65,U$11:U$267,0))+IF(OR(TYPE(I65)&gt;1,TYPE(MATCH(I65,AA$11:AA$267,0))&gt;1),0,MATCH(I65,AA$11:AA$267,0))</f>
        <v>0</v>
      </c>
      <c r="AO65" s="408">
        <f ca="1">IF(OR(TYPE(O65)&gt;1,TYPE(MATCH(O65,I$11:I$267,0))&gt;1),0,MATCH(O65,I$11:I$267,0))+IF(OR(TYPE(O65)&gt;1,TYPE(MATCH(O65,O66:O$267,0))&gt;1),0,MATCH(O65,O66:O$267,0))+IF(OR(TYPE(O65)&gt;1,TYPE(MATCH(O65,U$11:U$267,0))&gt;1),0,MATCH(O65,U$11:U$267,0))+IF(OR(TYPE(O65)&gt;1,TYPE(MATCH(O65,AA$11:AA$267,0))&gt;1),0,MATCH(O65,AA$11:AA$267,0))</f>
        <v>0</v>
      </c>
      <c r="AP65" s="408">
        <f ca="1">IF(OR(TYPE(U65)&gt;1,TYPE(MATCH(U65,I$11:I$267,0))&gt;1),0,MATCH(U65,I$11:I$267,0))+IF(OR(TYPE(U65)&gt;1,TYPE(MATCH(U65,O$11:O$267,0))&gt;1),0,MATCH(U65,O$11:O$267,0))+IF(OR(TYPE(U65)&gt;1,TYPE(MATCH(U65,U66:U$267,0))&gt;1),0,MATCH(U65,U66:U$267,0))+IF(OR(TYPE(U65)&gt;1,TYPE(MATCH(U65,AA$11:AA$267,0))&gt;1),0,MATCH(U65,AA$11:AA$267,0))</f>
        <v>0</v>
      </c>
      <c r="AQ65" s="408">
        <f ca="1">IF(OR(TYPE(AA65)&gt;1,TYPE(MATCH(AA65,I$11:I$267,0))&gt;1),0,MATCH(AA65,I$11:I$267,0))+IF(OR(TYPE(AA65)&gt;1,TYPE(MATCH(AA65,O$11:O$267,0))&gt;1),0,MATCH(AA65,O$11:O$267,0))+IF(OR(TYPE(AA65)&gt;1,TYPE(MATCH(AA65,U$11:U$267,0))&gt;1),0,MATCH(U65,U$11:U$267,0))+IF(OR(TYPE(AA65)&gt;1,TYPE(MATCH(AA65,AA66:AA$267,0))&gt;1),0,MATCH(AA65,AA66:AA$267,0))</f>
        <v>0</v>
      </c>
      <c r="AR65" s="408">
        <f t="shared" ca="1" si="14"/>
        <v>0</v>
      </c>
      <c r="BF65" s="408">
        <f t="shared" si="15"/>
        <v>55</v>
      </c>
    </row>
    <row r="66" spans="1:58" ht="14.25">
      <c r="A66" s="430">
        <f t="shared" ca="1" si="16"/>
        <v>1</v>
      </c>
      <c r="B66" s="430">
        <f t="shared" ca="1" si="17"/>
        <v>1</v>
      </c>
      <c r="C66" s="430">
        <f t="shared" ca="1" si="18"/>
        <v>24.314</v>
      </c>
      <c r="D66" s="430">
        <f t="shared" ca="1" si="19"/>
        <v>20065</v>
      </c>
      <c r="E66" s="400">
        <f t="shared" ca="1" si="20"/>
        <v>67</v>
      </c>
      <c r="F66" s="431" t="str">
        <f t="shared" ca="1" si="21"/>
        <v>91024314979934999932202091</v>
      </c>
      <c r="G66" s="467" t="b">
        <f t="shared" ca="1" si="22"/>
        <v>0</v>
      </c>
      <c r="H66" s="468">
        <f t="shared" si="23"/>
        <v>56</v>
      </c>
      <c r="I66" s="469">
        <f t="shared" ca="1" si="24"/>
        <v>16075</v>
      </c>
      <c r="J66" s="470" t="str">
        <f ca="1">IF(N(I66)&gt;0,VLOOKUP(I66,Hraci!$A$1:$I$1500,2,0),IF(TYPE(INDIRECT(ADDRESS(ROW() + $A$9-9 + (ROW()-11)*4,2,1,1,"Internet")))&gt;1,INDIRECT(ADDRESS(ROW() + $A$9-9 + (ROW()-11)*4,2,1,1,"Internet"))," "))</f>
        <v>Hladík</v>
      </c>
      <c r="K66" s="471" t="str">
        <f ca="1">IF(N(I66)&gt;0,VLOOKUP(I66,Hraci!$A$1:$I$1500,3,0)," ")</f>
        <v>Jaroslav</v>
      </c>
      <c r="L66" s="471" t="str">
        <f ca="1">IF(N(I66)&gt;0,VLOOKUP(I66,Hraci!$A$1:$I$1500,5,0),IF(TYPE(INDIRECT(ADDRESS(ROW() + $A$9-9 + (ROW()-11)*4,3,1,1,"Internet")))&gt;1,INDIRECT(ADDRESS(ROW() + $A$9-9 + (ROW()-11)*4,3,1,1,"Internet"))," "))</f>
        <v>SK Pétanque Řepy</v>
      </c>
      <c r="M66" s="472">
        <f ca="1">IF(N(I66)=0,9999,VLOOKUP(I66,Hraci!$A$1:$I$1500,8,0))</f>
        <v>67</v>
      </c>
      <c r="N66" s="473">
        <f ca="1">IF(N(I66)=0,0,VLOOKUP(I66,Hraci!$A$1:$I$1500,9,0))</f>
        <v>24.314</v>
      </c>
      <c r="O66" s="469" t="str">
        <f t="shared" ca="1" si="25"/>
        <v/>
      </c>
      <c r="P66" s="470" t="str">
        <f ca="1">IF(N(O66)&gt;0,VLOOKUP(O66,Hraci!$A$1:$I$1500,2,0),IF(TYPE(INDIRECT(ADDRESS(ROW() + $A$9-8 + (ROW()-11)*4,2,1,1,"Internet")))&gt;1,INDIRECT(ADDRESS(ROW() + $A$9-8 + (ROW()-11)*4,2,1,1,"Internet"))," "))</f>
        <v xml:space="preserve"> </v>
      </c>
      <c r="Q66" s="471" t="str">
        <f ca="1">IF(N(O66)&gt;0,VLOOKUP(O66,Hraci!$A$1:$I$1500,3,0)," ")</f>
        <v xml:space="preserve"> </v>
      </c>
      <c r="R66" s="471" t="str">
        <f ca="1">IF(N(O66)&gt;0,VLOOKUP(O66,Hraci!$A$1:$I$1500,5,0),IF(TYPE(INDIRECT(ADDRESS(ROW() + $A$9-8 + (ROW()-11)*4,3,1,1,"Internet")))&gt;1,INDIRECT(ADDRESS(ROW() + $A$9-8 + (ROW()-11)*4,3,1,1,"Internet"))," "))</f>
        <v xml:space="preserve"> </v>
      </c>
      <c r="S66" s="472">
        <f ca="1">IF(N(O66)=0,9999,VLOOKUP(O66,Hraci!$A$1:$I$1500,8,0))</f>
        <v>9999</v>
      </c>
      <c r="T66" s="473">
        <f ca="1">IF(N(O66)=0,0,VLOOKUP(O66,Hraci!$A$1:$I$1500,9,0))</f>
        <v>0</v>
      </c>
      <c r="U66" s="469" t="str">
        <f t="shared" ca="1" si="26"/>
        <v/>
      </c>
      <c r="V66" s="470" t="str">
        <f ca="1">IF(N(U66)&gt;0,VLOOKUP(U66,Hraci!$A$1:$I$1500,2,0),IF(TYPE(INDIRECT(ADDRESS(ROW() + $A$9-7 + (ROW()-11)*4,2,1,1,"Internet")))&gt;1,INDIRECT(ADDRESS(ROW() + $A$9-7 + (ROW()-11)*4,2,1,1,"Internet"))," "))</f>
        <v xml:space="preserve"> </v>
      </c>
      <c r="W66" s="471" t="str">
        <f ca="1">IF(N(U66)&gt;0,VLOOKUP(U66,Hraci!$A$1:$I$1500,3,0)," ")</f>
        <v xml:space="preserve"> </v>
      </c>
      <c r="X66" s="471" t="str">
        <f ca="1">IF(N(U66)&gt;0,VLOOKUP(U66,Hraci!$A$1:$I$1500,5,0),IF(TYPE(INDIRECT(ADDRESS(ROW() + $A$9-7 + (ROW()-11)*4,3,1,1,"Internet")))&gt;1,INDIRECT(ADDRESS(ROW() + $A$9-7 + (ROW()-11)*4,3,1,1,"Internet"))," "))</f>
        <v xml:space="preserve"> </v>
      </c>
      <c r="Y66" s="472">
        <f ca="1">IF(N(U66)=0,9999,VLOOKUP(U66,Hraci!$A$1:$I$1500,8,0))</f>
        <v>9999</v>
      </c>
      <c r="Z66" s="473">
        <f ca="1">IF(N(U66)=0,0,VLOOKUP(U66,Hraci!$A$1:$I$1500,9,0))</f>
        <v>0</v>
      </c>
      <c r="AA66" s="469" t="str">
        <f t="shared" ca="1" si="27"/>
        <v/>
      </c>
      <c r="AB66" s="470" t="str">
        <f ca="1">IF(N(AA66)&gt;0,VLOOKUP(AA66,Hraci!$A$1:$I$1500,2,0)," ")</f>
        <v xml:space="preserve"> </v>
      </c>
      <c r="AC66" s="471" t="str">
        <f ca="1">IF(N(AA66)&gt;0,VLOOKUP(AA66,Hraci!$A$1:$I$1500,3,0)," ")</f>
        <v xml:space="preserve"> </v>
      </c>
      <c r="AD66" s="471" t="str">
        <f ca="1">IF(N(AA66)&gt;0,VLOOKUP(AA66,Hraci!$A$1:$I$1500,5,0)," ")</f>
        <v xml:space="preserve"> </v>
      </c>
      <c r="AE66" s="472">
        <f ca="1">IF(N(AA66)=0,9999,VLOOKUP(AA66,Hraci!$A$1:$I$1500,8,0))</f>
        <v>9999</v>
      </c>
      <c r="AF66" s="473">
        <f ca="1">IF(N(AA66)=0,0,VLOOKUP(AA66,Hraci!$A$1:$I$1500,9,0))</f>
        <v>0</v>
      </c>
      <c r="AG66" s="474"/>
      <c r="AH66" s="480">
        <v>86</v>
      </c>
      <c r="AI66" s="475">
        <f ca="1">IF(N($AH66)&gt;0,VLOOKUP($AH66,Body!$A$4:$F$259,5,0),"")</f>
        <v>553.40650000000005</v>
      </c>
      <c r="AJ66" s="476">
        <f ca="1">IF(N($AH66)&gt;0,VLOOKUP($AH66,Body!$A$4:$F$259,6,0),"")</f>
        <v>200</v>
      </c>
      <c r="AK66" s="475">
        <f ca="1">IF(N($AH66)&gt;0,VLOOKUP($AH66,Body!$A$4:$F$259,2,0),"")</f>
        <v>8</v>
      </c>
      <c r="AL66" s="477" t="str">
        <f t="shared" ca="1" si="28"/>
        <v>56 SK Pétanque Řepy - Hladík Jaroslav</v>
      </c>
      <c r="AM66" s="478">
        <f t="shared" ca="1" si="29"/>
        <v>24.314</v>
      </c>
      <c r="AN66" s="408">
        <f ca="1">IF(OR(TYPE(I66)&gt;1,TYPE(MATCH(I66,I67:I$267,0))&gt;1),0,MATCH(I66,I67:I$267,0))+IF(OR(TYPE(I66)&gt;1,TYPE(MATCH(I66,O$11:O$267,0))&gt;1),0,MATCH(I66,O$11:O$267,0))+IF(OR(TYPE(I66)&gt;1,TYPE(MATCH(I66,U$11:U$267,0))&gt;1),0,MATCH(I66,U$11:U$267,0))+IF(OR(TYPE(I66)&gt;1,TYPE(MATCH(I66,AA$11:AA$267,0))&gt;1),0,MATCH(I66,AA$11:AA$267,0))</f>
        <v>0</v>
      </c>
      <c r="AO66" s="408">
        <f ca="1">IF(OR(TYPE(O66)&gt;1,TYPE(MATCH(O66,I$11:I$267,0))&gt;1),0,MATCH(O66,I$11:I$267,0))+IF(OR(TYPE(O66)&gt;1,TYPE(MATCH(O66,O67:O$267,0))&gt;1),0,MATCH(O66,O67:O$267,0))+IF(OR(TYPE(O66)&gt;1,TYPE(MATCH(O66,U$11:U$267,0))&gt;1),0,MATCH(O66,U$11:U$267,0))+IF(OR(TYPE(O66)&gt;1,TYPE(MATCH(O66,AA$11:AA$267,0))&gt;1),0,MATCH(O66,AA$11:AA$267,0))</f>
        <v>0</v>
      </c>
      <c r="AP66" s="408">
        <f ca="1">IF(OR(TYPE(U66)&gt;1,TYPE(MATCH(U66,I$11:I$267,0))&gt;1),0,MATCH(U66,I$11:I$267,0))+IF(OR(TYPE(U66)&gt;1,TYPE(MATCH(U66,O$11:O$267,0))&gt;1),0,MATCH(U66,O$11:O$267,0))+IF(OR(TYPE(U66)&gt;1,TYPE(MATCH(U66,U67:U$267,0))&gt;1),0,MATCH(U66,U67:U$267,0))+IF(OR(TYPE(U66)&gt;1,TYPE(MATCH(U66,AA$11:AA$267,0))&gt;1),0,MATCH(U66,AA$11:AA$267,0))</f>
        <v>0</v>
      </c>
      <c r="AQ66" s="408">
        <f ca="1">IF(OR(TYPE(AA66)&gt;1,TYPE(MATCH(AA66,I$11:I$267,0))&gt;1),0,MATCH(AA66,I$11:I$267,0))+IF(OR(TYPE(AA66)&gt;1,TYPE(MATCH(AA66,O$11:O$267,0))&gt;1),0,MATCH(AA66,O$11:O$267,0))+IF(OR(TYPE(AA66)&gt;1,TYPE(MATCH(AA66,U$11:U$267,0))&gt;1),0,MATCH(U66,U$11:U$267,0))+IF(OR(TYPE(AA66)&gt;1,TYPE(MATCH(AA66,AA67:AA$267,0))&gt;1),0,MATCH(AA66,AA67:AA$267,0))</f>
        <v>0</v>
      </c>
      <c r="AR66" s="408">
        <f t="shared" ca="1" si="14"/>
        <v>0</v>
      </c>
      <c r="BF66" s="408">
        <f t="shared" si="15"/>
        <v>56</v>
      </c>
    </row>
    <row r="67" spans="1:58" ht="14.25">
      <c r="A67" s="430">
        <f t="shared" ca="1" si="16"/>
        <v>1</v>
      </c>
      <c r="B67" s="430">
        <f t="shared" ca="1" si="17"/>
        <v>1</v>
      </c>
      <c r="C67" s="430">
        <f t="shared" ca="1" si="18"/>
        <v>24.094000000000001</v>
      </c>
      <c r="D67" s="430">
        <f t="shared" ca="1" si="19"/>
        <v>20059</v>
      </c>
      <c r="E67" s="430">
        <f t="shared" ca="1" si="20"/>
        <v>61</v>
      </c>
      <c r="F67" s="431" t="str">
        <f t="shared" ca="1" si="21"/>
        <v>91024094979940999938240243</v>
      </c>
      <c r="G67" s="467" t="b">
        <f t="shared" ca="1" si="22"/>
        <v>0</v>
      </c>
      <c r="H67" s="468">
        <f t="shared" si="23"/>
        <v>57</v>
      </c>
      <c r="I67" s="469">
        <f t="shared" ca="1" si="24"/>
        <v>27030</v>
      </c>
      <c r="J67" s="470" t="str">
        <f ca="1">IF(N(I67)&gt;0,VLOOKUP(I67,Hraci!$A$1:$I$1500,2,0),IF(TYPE(INDIRECT(ADDRESS(ROW() + $A$9-9 + (ROW()-11)*4,2,1,1,"Internet")))&gt;1,INDIRECT(ADDRESS(ROW() + $A$9-9 + (ROW()-11)*4,2,1,1,"Internet"))," "))</f>
        <v>Kutá</v>
      </c>
      <c r="K67" s="471" t="str">
        <f ca="1">IF(N(I67)&gt;0,VLOOKUP(I67,Hraci!$A$1:$I$1500,3,0)," ")</f>
        <v>Miloslava</v>
      </c>
      <c r="L67" s="471" t="str">
        <f ca="1">IF(N(I67)&gt;0,VLOOKUP(I67,Hraci!$A$1:$I$1500,5,0),IF(TYPE(INDIRECT(ADDRESS(ROW() + $A$9-9 + (ROW()-11)*4,3,1,1,"Internet")))&gt;1,INDIRECT(ADDRESS(ROW() + $A$9-9 + (ROW()-11)*4,3,1,1,"Internet"))," "))</f>
        <v>SKP Hranice VI-Valšovice</v>
      </c>
      <c r="M67" s="472">
        <f ca="1">IF(N(I67)=0,9999,VLOOKUP(I67,Hraci!$A$1:$I$1500,8,0))</f>
        <v>61</v>
      </c>
      <c r="N67" s="473">
        <f ca="1">IF(N(I67)=0,0,VLOOKUP(I67,Hraci!$A$1:$I$1500,9,0))</f>
        <v>24.094000000000001</v>
      </c>
      <c r="O67" s="469" t="str">
        <f t="shared" ca="1" si="25"/>
        <v/>
      </c>
      <c r="P67" s="470" t="str">
        <f ca="1">IF(N(O67)&gt;0,VLOOKUP(O67,Hraci!$A$1:$I$1500,2,0),IF(TYPE(INDIRECT(ADDRESS(ROW() + $A$9-8 + (ROW()-11)*4,2,1,1,"Internet")))&gt;1,INDIRECT(ADDRESS(ROW() + $A$9-8 + (ROW()-11)*4,2,1,1,"Internet"))," "))</f>
        <v xml:space="preserve"> </v>
      </c>
      <c r="Q67" s="471" t="str">
        <f ca="1">IF(N(O67)&gt;0,VLOOKUP(O67,Hraci!$A$1:$I$1500,3,0)," ")</f>
        <v xml:space="preserve"> </v>
      </c>
      <c r="R67" s="471" t="str">
        <f ca="1">IF(N(O67)&gt;0,VLOOKUP(O67,Hraci!$A$1:$I$1500,5,0),IF(TYPE(INDIRECT(ADDRESS(ROW() + $A$9-8 + (ROW()-11)*4,3,1,1,"Internet")))&gt;1,INDIRECT(ADDRESS(ROW() + $A$9-8 + (ROW()-11)*4,3,1,1,"Internet"))," "))</f>
        <v xml:space="preserve"> </v>
      </c>
      <c r="S67" s="472">
        <f ca="1">IF(N(O67)=0,9999,VLOOKUP(O67,Hraci!$A$1:$I$1500,8,0))</f>
        <v>9999</v>
      </c>
      <c r="T67" s="473">
        <f ca="1">IF(N(O67)=0,0,VLOOKUP(O67,Hraci!$A$1:$I$1500,9,0))</f>
        <v>0</v>
      </c>
      <c r="U67" s="469" t="str">
        <f t="shared" ca="1" si="26"/>
        <v/>
      </c>
      <c r="V67" s="470" t="str">
        <f ca="1">IF(N(U67)&gt;0,VLOOKUP(U67,Hraci!$A$1:$I$1500,2,0),IF(TYPE(INDIRECT(ADDRESS(ROW() + $A$9-7 + (ROW()-11)*4,2,1,1,"Internet")))&gt;1,INDIRECT(ADDRESS(ROW() + $A$9-7 + (ROW()-11)*4,2,1,1,"Internet"))," "))</f>
        <v xml:space="preserve"> </v>
      </c>
      <c r="W67" s="471" t="str">
        <f ca="1">IF(N(U67)&gt;0,VLOOKUP(U67,Hraci!$A$1:$I$1500,3,0)," ")</f>
        <v xml:space="preserve"> </v>
      </c>
      <c r="X67" s="471" t="str">
        <f ca="1">IF(N(U67)&gt;0,VLOOKUP(U67,Hraci!$A$1:$I$1500,5,0),IF(TYPE(INDIRECT(ADDRESS(ROW() + $A$9-7 + (ROW()-11)*4,3,1,1,"Internet")))&gt;1,INDIRECT(ADDRESS(ROW() + $A$9-7 + (ROW()-11)*4,3,1,1,"Internet"))," "))</f>
        <v xml:space="preserve"> </v>
      </c>
      <c r="Y67" s="472">
        <f ca="1">IF(N(U67)=0,9999,VLOOKUP(U67,Hraci!$A$1:$I$1500,8,0))</f>
        <v>9999</v>
      </c>
      <c r="Z67" s="473">
        <f ca="1">IF(N(U67)=0,0,VLOOKUP(U67,Hraci!$A$1:$I$1500,9,0))</f>
        <v>0</v>
      </c>
      <c r="AA67" s="469" t="str">
        <f t="shared" ca="1" si="27"/>
        <v/>
      </c>
      <c r="AB67" s="470" t="str">
        <f ca="1">IF(N(AA67)&gt;0,VLOOKUP(AA67,Hraci!$A$1:$I$1500,2,0)," ")</f>
        <v xml:space="preserve"> </v>
      </c>
      <c r="AC67" s="471" t="str">
        <f ca="1">IF(N(AA67)&gt;0,VLOOKUP(AA67,Hraci!$A$1:$I$1500,3,0)," ")</f>
        <v xml:space="preserve"> </v>
      </c>
      <c r="AD67" s="471" t="str">
        <f ca="1">IF(N(AA67)&gt;0,VLOOKUP(AA67,Hraci!$A$1:$I$1500,5,0)," ")</f>
        <v xml:space="preserve"> </v>
      </c>
      <c r="AE67" s="472">
        <f ca="1">IF(N(AA67)=0,9999,VLOOKUP(AA67,Hraci!$A$1:$I$1500,8,0))</f>
        <v>9999</v>
      </c>
      <c r="AF67" s="473">
        <f ca="1">IF(N(AA67)=0,0,VLOOKUP(AA67,Hraci!$A$1:$I$1500,9,0))</f>
        <v>0</v>
      </c>
      <c r="AG67" s="474"/>
      <c r="AH67" s="480">
        <f ca="1">IF(TYPE(VLOOKUP(H67,Nasazení!$A$3:$E$258,5,0))&lt;4,VLOOKUP(H67,Nasazení!$A$3:$E$258,5,0),0)</f>
        <v>64</v>
      </c>
      <c r="AI67" s="475">
        <f ca="1">IF(N($AH67)&gt;0,VLOOKUP($AH67,Body!$A$4:$F$259,5,0),"")</f>
        <v>288.35162500000001</v>
      </c>
      <c r="AJ67" s="476">
        <f ca="1">IF(N($AH67)&gt;0,VLOOKUP($AH67,Body!$A$4:$F$259,6,0),"")</f>
        <v>200</v>
      </c>
      <c r="AK67" s="475">
        <f ca="1">IF(N($AH67)&gt;0,VLOOKUP($AH67,Body!$A$4:$F$259,2,0),"")</f>
        <v>2</v>
      </c>
      <c r="AL67" s="477" t="str">
        <f t="shared" ca="1" si="28"/>
        <v>57 SKP Hranice VI-Valšovice - Kutá Miloslava</v>
      </c>
      <c r="AM67" s="478">
        <f t="shared" ca="1" si="29"/>
        <v>24.094000000000001</v>
      </c>
      <c r="AN67" s="408">
        <f ca="1">IF(OR(TYPE(I67)&gt;1,TYPE(MATCH(I67,I68:I$267,0))&gt;1),0,MATCH(I67,I68:I$267,0))+IF(OR(TYPE(I67)&gt;1,TYPE(MATCH(I67,O$11:O$267,0))&gt;1),0,MATCH(I67,O$11:O$267,0))+IF(OR(TYPE(I67)&gt;1,TYPE(MATCH(I67,U$11:U$267,0))&gt;1),0,MATCH(I67,U$11:U$267,0))+IF(OR(TYPE(I67)&gt;1,TYPE(MATCH(I67,AA$11:AA$267,0))&gt;1),0,MATCH(I67,AA$11:AA$267,0))</f>
        <v>0</v>
      </c>
      <c r="AO67" s="408">
        <f ca="1">IF(OR(TYPE(O67)&gt;1,TYPE(MATCH(O67,I$11:I$267,0))&gt;1),0,MATCH(O67,I$11:I$267,0))+IF(OR(TYPE(O67)&gt;1,TYPE(MATCH(O67,O68:O$267,0))&gt;1),0,MATCH(O67,O68:O$267,0))+IF(OR(TYPE(O67)&gt;1,TYPE(MATCH(O67,U$11:U$267,0))&gt;1),0,MATCH(O67,U$11:U$267,0))+IF(OR(TYPE(O67)&gt;1,TYPE(MATCH(O67,AA$11:AA$267,0))&gt;1),0,MATCH(O67,AA$11:AA$267,0))</f>
        <v>0</v>
      </c>
      <c r="AP67" s="408">
        <f ca="1">IF(OR(TYPE(U67)&gt;1,TYPE(MATCH(U67,I$11:I$267,0))&gt;1),0,MATCH(U67,I$11:I$267,0))+IF(OR(TYPE(U67)&gt;1,TYPE(MATCH(U67,O$11:O$267,0))&gt;1),0,MATCH(U67,O$11:O$267,0))+IF(OR(TYPE(U67)&gt;1,TYPE(MATCH(U67,U68:U$267,0))&gt;1),0,MATCH(U67,U68:U$267,0))+IF(OR(TYPE(U67)&gt;1,TYPE(MATCH(U67,AA$11:AA$267,0))&gt;1),0,MATCH(U67,AA$11:AA$267,0))</f>
        <v>0</v>
      </c>
      <c r="AQ67" s="408">
        <f ca="1">IF(OR(TYPE(AA67)&gt;1,TYPE(MATCH(AA67,I$11:I$267,0))&gt;1),0,MATCH(AA67,I$11:I$267,0))+IF(OR(TYPE(AA67)&gt;1,TYPE(MATCH(AA67,O$11:O$267,0))&gt;1),0,MATCH(AA67,O$11:O$267,0))+IF(OR(TYPE(AA67)&gt;1,TYPE(MATCH(AA67,U$11:U$267,0))&gt;1),0,MATCH(U67,U$11:U$267,0))+IF(OR(TYPE(AA67)&gt;1,TYPE(MATCH(AA67,AA68:AA$267,0))&gt;1),0,MATCH(AA67,AA68:AA$267,0))</f>
        <v>0</v>
      </c>
      <c r="AR67" s="408">
        <f t="shared" ca="1" si="14"/>
        <v>0</v>
      </c>
      <c r="BF67" s="408">
        <f t="shared" si="15"/>
        <v>57</v>
      </c>
    </row>
    <row r="68" spans="1:58" ht="14.25">
      <c r="A68" s="430">
        <f t="shared" ca="1" si="16"/>
        <v>1</v>
      </c>
      <c r="B68" s="430">
        <f t="shared" ca="1" si="17"/>
        <v>1</v>
      </c>
      <c r="C68" s="430">
        <f t="shared" ca="1" si="18"/>
        <v>24.064</v>
      </c>
      <c r="D68" s="430">
        <f t="shared" ca="1" si="19"/>
        <v>20071</v>
      </c>
      <c r="E68" s="430">
        <f t="shared" ca="1" si="20"/>
        <v>73</v>
      </c>
      <c r="F68" s="431" t="str">
        <f t="shared" ca="1" si="21"/>
        <v>91024064979928999926458135</v>
      </c>
      <c r="G68" s="467" t="b">
        <f t="shared" ca="1" si="22"/>
        <v>0</v>
      </c>
      <c r="H68" s="468">
        <f t="shared" si="23"/>
        <v>58</v>
      </c>
      <c r="I68" s="469">
        <f t="shared" ca="1" si="24"/>
        <v>12020</v>
      </c>
      <c r="J68" s="470" t="str">
        <f ca="1">IF(N(I68)&gt;0,VLOOKUP(I68,Hraci!$A$1:$I$1500,2,0),IF(TYPE(INDIRECT(ADDRESS(ROW() + $A$9-9 + (ROW()-11)*4,2,1,1,"Internet")))&gt;1,INDIRECT(ADDRESS(ROW() + $A$9-9 + (ROW()-11)*4,2,1,1,"Internet"))," "))</f>
        <v>Fafek</v>
      </c>
      <c r="K68" s="471" t="str">
        <f ca="1">IF(N(I68)&gt;0,VLOOKUP(I68,Hraci!$A$1:$I$1500,3,0)," ")</f>
        <v>Petr</v>
      </c>
      <c r="L68" s="471" t="str">
        <f ca="1">IF(N(I68)&gt;0,VLOOKUP(I68,Hraci!$A$1:$I$1500,5,0),IF(TYPE(INDIRECT(ADDRESS(ROW() + $A$9-9 + (ROW()-11)*4,3,1,1,"Internet")))&gt;1,INDIRECT(ADDRESS(ROW() + $A$9-9 + (ROW()-11)*4,3,1,1,"Internet"))," "))</f>
        <v>PC Sokol Lipník</v>
      </c>
      <c r="M68" s="472">
        <f ca="1">IF(N(I68)=0,9999,VLOOKUP(I68,Hraci!$A$1:$I$1500,8,0))</f>
        <v>73</v>
      </c>
      <c r="N68" s="473">
        <f ca="1">IF(N(I68)=0,0,VLOOKUP(I68,Hraci!$A$1:$I$1500,9,0))</f>
        <v>24.064</v>
      </c>
      <c r="O68" s="469" t="str">
        <f t="shared" ca="1" si="25"/>
        <v/>
      </c>
      <c r="P68" s="470" t="str">
        <f ca="1">IF(N(O68)&gt;0,VLOOKUP(O68,Hraci!$A$1:$I$1500,2,0),IF(TYPE(INDIRECT(ADDRESS(ROW() + $A$9-8 + (ROW()-11)*4,2,1,1,"Internet")))&gt;1,INDIRECT(ADDRESS(ROW() + $A$9-8 + (ROW()-11)*4,2,1,1,"Internet"))," "))</f>
        <v xml:space="preserve"> </v>
      </c>
      <c r="Q68" s="471" t="str">
        <f ca="1">IF(N(O68)&gt;0,VLOOKUP(O68,Hraci!$A$1:$I$1500,3,0)," ")</f>
        <v xml:space="preserve"> </v>
      </c>
      <c r="R68" s="471" t="str">
        <f ca="1">IF(N(O68)&gt;0,VLOOKUP(O68,Hraci!$A$1:$I$1500,5,0),IF(TYPE(INDIRECT(ADDRESS(ROW() + $A$9-8 + (ROW()-11)*4,3,1,1,"Internet")))&gt;1,INDIRECT(ADDRESS(ROW() + $A$9-8 + (ROW()-11)*4,3,1,1,"Internet"))," "))</f>
        <v xml:space="preserve"> </v>
      </c>
      <c r="S68" s="472">
        <f ca="1">IF(N(O68)=0,9999,VLOOKUP(O68,Hraci!$A$1:$I$1500,8,0))</f>
        <v>9999</v>
      </c>
      <c r="T68" s="473">
        <f ca="1">IF(N(O68)=0,0,VLOOKUP(O68,Hraci!$A$1:$I$1500,9,0))</f>
        <v>0</v>
      </c>
      <c r="U68" s="469" t="str">
        <f t="shared" ca="1" si="26"/>
        <v/>
      </c>
      <c r="V68" s="470" t="str">
        <f ca="1">IF(N(U68)&gt;0,VLOOKUP(U68,Hraci!$A$1:$I$1500,2,0),IF(TYPE(INDIRECT(ADDRESS(ROW() + $A$9-7 + (ROW()-11)*4,2,1,1,"Internet")))&gt;1,INDIRECT(ADDRESS(ROW() + $A$9-7 + (ROW()-11)*4,2,1,1,"Internet"))," "))</f>
        <v xml:space="preserve"> </v>
      </c>
      <c r="W68" s="471" t="str">
        <f ca="1">IF(N(U68)&gt;0,VLOOKUP(U68,Hraci!$A$1:$I$1500,3,0)," ")</f>
        <v xml:space="preserve"> </v>
      </c>
      <c r="X68" s="471" t="str">
        <f ca="1">IF(N(U68)&gt;0,VLOOKUP(U68,Hraci!$A$1:$I$1500,5,0),IF(TYPE(INDIRECT(ADDRESS(ROW() + $A$9-7 + (ROW()-11)*4,3,1,1,"Internet")))&gt;1,INDIRECT(ADDRESS(ROW() + $A$9-7 + (ROW()-11)*4,3,1,1,"Internet"))," "))</f>
        <v xml:space="preserve"> </v>
      </c>
      <c r="Y68" s="472">
        <f ca="1">IF(N(U68)=0,9999,VLOOKUP(U68,Hraci!$A$1:$I$1500,8,0))</f>
        <v>9999</v>
      </c>
      <c r="Z68" s="473">
        <f ca="1">IF(N(U68)=0,0,VLOOKUP(U68,Hraci!$A$1:$I$1500,9,0))</f>
        <v>0</v>
      </c>
      <c r="AA68" s="469" t="str">
        <f t="shared" ca="1" si="27"/>
        <v/>
      </c>
      <c r="AB68" s="470" t="str">
        <f ca="1">IF(N(AA68)&gt;0,VLOOKUP(AA68,Hraci!$A$1:$I$1500,2,0)," ")</f>
        <v xml:space="preserve"> </v>
      </c>
      <c r="AC68" s="471" t="str">
        <f ca="1">IF(N(AA68)&gt;0,VLOOKUP(AA68,Hraci!$A$1:$I$1500,3,0)," ")</f>
        <v xml:space="preserve"> </v>
      </c>
      <c r="AD68" s="471" t="str">
        <f ca="1">IF(N(AA68)&gt;0,VLOOKUP(AA68,Hraci!$A$1:$I$1500,5,0)," ")</f>
        <v xml:space="preserve"> </v>
      </c>
      <c r="AE68" s="472">
        <f ca="1">IF(N(AA68)=0,9999,VLOOKUP(AA68,Hraci!$A$1:$I$1500,8,0))</f>
        <v>9999</v>
      </c>
      <c r="AF68" s="473">
        <f ca="1">IF(N(AA68)=0,0,VLOOKUP(AA68,Hraci!$A$1:$I$1500,9,0))</f>
        <v>0</v>
      </c>
      <c r="AG68" s="474"/>
      <c r="AH68" s="480">
        <f ca="1">IF(TYPE(VLOOKUP(H68,Nasazení!$A$3:$E$258,5,0))&lt;4,VLOOKUP(H68,Nasazení!$A$3:$E$258,5,0),0)</f>
        <v>64</v>
      </c>
      <c r="AI68" s="475">
        <f ca="1">IF(N($AH68)&gt;0,VLOOKUP($AH68,Body!$A$4:$F$259,5,0),"")</f>
        <v>288.35162500000001</v>
      </c>
      <c r="AJ68" s="476">
        <f ca="1">IF(N($AH68)&gt;0,VLOOKUP($AH68,Body!$A$4:$F$259,6,0),"")</f>
        <v>200</v>
      </c>
      <c r="AK68" s="475">
        <f ca="1">IF(N($AH68)&gt;0,VLOOKUP($AH68,Body!$A$4:$F$259,2,0),"")</f>
        <v>2</v>
      </c>
      <c r="AL68" s="477" t="str">
        <f t="shared" ca="1" si="28"/>
        <v>58 PC Sokol Lipník - Fafek Petr</v>
      </c>
      <c r="AM68" s="478">
        <f t="shared" ca="1" si="29"/>
        <v>24.064</v>
      </c>
      <c r="AN68" s="408">
        <f ca="1">IF(OR(TYPE(I68)&gt;1,TYPE(MATCH(I68,I69:I$267,0))&gt;1),0,MATCH(I68,I69:I$267,0))+IF(OR(TYPE(I68)&gt;1,TYPE(MATCH(I68,O$11:O$267,0))&gt;1),0,MATCH(I68,O$11:O$267,0))+IF(OR(TYPE(I68)&gt;1,TYPE(MATCH(I68,U$11:U$267,0))&gt;1),0,MATCH(I68,U$11:U$267,0))+IF(OR(TYPE(I68)&gt;1,TYPE(MATCH(I68,AA$11:AA$267,0))&gt;1),0,MATCH(I68,AA$11:AA$267,0))</f>
        <v>0</v>
      </c>
      <c r="AO68" s="408">
        <f ca="1">IF(OR(TYPE(O68)&gt;1,TYPE(MATCH(O68,I$11:I$267,0))&gt;1),0,MATCH(O68,I$11:I$267,0))+IF(OR(TYPE(O68)&gt;1,TYPE(MATCH(O68,O69:O$267,0))&gt;1),0,MATCH(O68,O69:O$267,0))+IF(OR(TYPE(O68)&gt;1,TYPE(MATCH(O68,U$11:U$267,0))&gt;1),0,MATCH(O68,U$11:U$267,0))+IF(OR(TYPE(O68)&gt;1,TYPE(MATCH(O68,AA$11:AA$267,0))&gt;1),0,MATCH(O68,AA$11:AA$267,0))</f>
        <v>0</v>
      </c>
      <c r="AP68" s="408">
        <f ca="1">IF(OR(TYPE(U68)&gt;1,TYPE(MATCH(U68,I$11:I$267,0))&gt;1),0,MATCH(U68,I$11:I$267,0))+IF(OR(TYPE(U68)&gt;1,TYPE(MATCH(U68,O$11:O$267,0))&gt;1),0,MATCH(U68,O$11:O$267,0))+IF(OR(TYPE(U68)&gt;1,TYPE(MATCH(U68,U69:U$267,0))&gt;1),0,MATCH(U68,U69:U$267,0))+IF(OR(TYPE(U68)&gt;1,TYPE(MATCH(U68,AA$11:AA$267,0))&gt;1),0,MATCH(U68,AA$11:AA$267,0))</f>
        <v>0</v>
      </c>
      <c r="AQ68" s="408">
        <f ca="1">IF(OR(TYPE(AA68)&gt;1,TYPE(MATCH(AA68,I$11:I$267,0))&gt;1),0,MATCH(AA68,I$11:I$267,0))+IF(OR(TYPE(AA68)&gt;1,TYPE(MATCH(AA68,O$11:O$267,0))&gt;1),0,MATCH(AA68,O$11:O$267,0))+IF(OR(TYPE(AA68)&gt;1,TYPE(MATCH(AA68,U$11:U$267,0))&gt;1),0,MATCH(U68,U$11:U$267,0))+IF(OR(TYPE(AA68)&gt;1,TYPE(MATCH(AA68,AA69:AA$267,0))&gt;1),0,MATCH(AA68,AA69:AA$267,0))</f>
        <v>0</v>
      </c>
      <c r="AR68" s="408">
        <f t="shared" ca="1" si="14"/>
        <v>0</v>
      </c>
      <c r="BF68" s="408">
        <f t="shared" si="15"/>
        <v>58</v>
      </c>
    </row>
    <row r="69" spans="1:58" ht="14.25">
      <c r="A69" s="430">
        <f t="shared" ca="1" si="16"/>
        <v>1</v>
      </c>
      <c r="B69" s="430">
        <f t="shared" ca="1" si="17"/>
        <v>1</v>
      </c>
      <c r="C69" s="430">
        <f t="shared" ca="1" si="18"/>
        <v>24.033000000000001</v>
      </c>
      <c r="D69" s="430">
        <f t="shared" ca="1" si="19"/>
        <v>20062</v>
      </c>
      <c r="E69" s="430">
        <f t="shared" ca="1" si="20"/>
        <v>64</v>
      </c>
      <c r="F69" s="431" t="str">
        <f t="shared" ca="1" si="21"/>
        <v>91024033979937999935798477</v>
      </c>
      <c r="G69" s="467" t="b">
        <f t="shared" ca="1" si="22"/>
        <v>0</v>
      </c>
      <c r="H69" s="468">
        <f t="shared" si="23"/>
        <v>59</v>
      </c>
      <c r="I69" s="469">
        <f t="shared" ca="1" si="24"/>
        <v>15011</v>
      </c>
      <c r="J69" s="470" t="str">
        <f ca="1">IF(N(I69)&gt;0,VLOOKUP(I69,Hraci!$A$1:$I$1500,2,0),IF(TYPE(INDIRECT(ADDRESS(ROW() + $A$9-9 + (ROW()-11)*4,2,1,1,"Internet")))&gt;1,INDIRECT(ADDRESS(ROW() + $A$9-9 + (ROW()-11)*4,2,1,1,"Internet"))," "))</f>
        <v>Chmelař</v>
      </c>
      <c r="K69" s="471" t="str">
        <f ca="1">IF(N(I69)&gt;0,VLOOKUP(I69,Hraci!$A$1:$I$1500,3,0)," ")</f>
        <v>Ivo</v>
      </c>
      <c r="L69" s="471" t="str">
        <f ca="1">IF(N(I69)&gt;0,VLOOKUP(I69,Hraci!$A$1:$I$1500,5,0),IF(TYPE(INDIRECT(ADDRESS(ROW() + $A$9-9 + (ROW()-11)*4,3,1,1,"Internet")))&gt;1,INDIRECT(ADDRESS(ROW() + $A$9-9 + (ROW()-11)*4,3,1,1,"Internet"))," "))</f>
        <v>SKP Kulová osma</v>
      </c>
      <c r="M69" s="472">
        <f ca="1">IF(N(I69)=0,9999,VLOOKUP(I69,Hraci!$A$1:$I$1500,8,0))</f>
        <v>64</v>
      </c>
      <c r="N69" s="473">
        <f ca="1">IF(N(I69)=0,0,VLOOKUP(I69,Hraci!$A$1:$I$1500,9,0))</f>
        <v>24.033000000000001</v>
      </c>
      <c r="O69" s="469" t="str">
        <f t="shared" ca="1" si="25"/>
        <v/>
      </c>
      <c r="P69" s="470" t="str">
        <f ca="1">IF(N(O69)&gt;0,VLOOKUP(O69,Hraci!$A$1:$I$1500,2,0),IF(TYPE(INDIRECT(ADDRESS(ROW() + $A$9-8 + (ROW()-11)*4,2,1,1,"Internet")))&gt;1,INDIRECT(ADDRESS(ROW() + $A$9-8 + (ROW()-11)*4,2,1,1,"Internet"))," "))</f>
        <v xml:space="preserve"> </v>
      </c>
      <c r="Q69" s="471" t="str">
        <f ca="1">IF(N(O69)&gt;0,VLOOKUP(O69,Hraci!$A$1:$I$1500,3,0)," ")</f>
        <v xml:space="preserve"> </v>
      </c>
      <c r="R69" s="471" t="str">
        <f ca="1">IF(N(O69)&gt;0,VLOOKUP(O69,Hraci!$A$1:$I$1500,5,0),IF(TYPE(INDIRECT(ADDRESS(ROW() + $A$9-8 + (ROW()-11)*4,3,1,1,"Internet")))&gt;1,INDIRECT(ADDRESS(ROW() + $A$9-8 + (ROW()-11)*4,3,1,1,"Internet"))," "))</f>
        <v xml:space="preserve"> </v>
      </c>
      <c r="S69" s="472">
        <f ca="1">IF(N(O69)=0,9999,VLOOKUP(O69,Hraci!$A$1:$I$1500,8,0))</f>
        <v>9999</v>
      </c>
      <c r="T69" s="473">
        <f ca="1">IF(N(O69)=0,0,VLOOKUP(O69,Hraci!$A$1:$I$1500,9,0))</f>
        <v>0</v>
      </c>
      <c r="U69" s="469" t="str">
        <f t="shared" ca="1" si="26"/>
        <v/>
      </c>
      <c r="V69" s="470" t="str">
        <f ca="1">IF(N(U69)&gt;0,VLOOKUP(U69,Hraci!$A$1:$I$1500,2,0),IF(TYPE(INDIRECT(ADDRESS(ROW() + $A$9-7 + (ROW()-11)*4,2,1,1,"Internet")))&gt;1,INDIRECT(ADDRESS(ROW() + $A$9-7 + (ROW()-11)*4,2,1,1,"Internet"))," "))</f>
        <v xml:space="preserve"> </v>
      </c>
      <c r="W69" s="471" t="str">
        <f ca="1">IF(N(U69)&gt;0,VLOOKUP(U69,Hraci!$A$1:$I$1500,3,0)," ")</f>
        <v xml:space="preserve"> </v>
      </c>
      <c r="X69" s="471" t="str">
        <f ca="1">IF(N(U69)&gt;0,VLOOKUP(U69,Hraci!$A$1:$I$1500,5,0),IF(TYPE(INDIRECT(ADDRESS(ROW() + $A$9-7 + (ROW()-11)*4,3,1,1,"Internet")))&gt;1,INDIRECT(ADDRESS(ROW() + $A$9-7 + (ROW()-11)*4,3,1,1,"Internet"))," "))</f>
        <v xml:space="preserve"> </v>
      </c>
      <c r="Y69" s="472">
        <f ca="1">IF(N(U69)=0,9999,VLOOKUP(U69,Hraci!$A$1:$I$1500,8,0))</f>
        <v>9999</v>
      </c>
      <c r="Z69" s="473">
        <f ca="1">IF(N(U69)=0,0,VLOOKUP(U69,Hraci!$A$1:$I$1500,9,0))</f>
        <v>0</v>
      </c>
      <c r="AA69" s="469" t="str">
        <f t="shared" ca="1" si="27"/>
        <v/>
      </c>
      <c r="AB69" s="470" t="str">
        <f ca="1">IF(N(AA69)&gt;0,VLOOKUP(AA69,Hraci!$A$1:$I$1500,2,0)," ")</f>
        <v xml:space="preserve"> </v>
      </c>
      <c r="AC69" s="471" t="str">
        <f ca="1">IF(N(AA69)&gt;0,VLOOKUP(AA69,Hraci!$A$1:$I$1500,3,0)," ")</f>
        <v xml:space="preserve"> </v>
      </c>
      <c r="AD69" s="471" t="str">
        <f ca="1">IF(N(AA69)&gt;0,VLOOKUP(AA69,Hraci!$A$1:$I$1500,5,0)," ")</f>
        <v xml:space="preserve"> </v>
      </c>
      <c r="AE69" s="472">
        <f ca="1">IF(N(AA69)=0,9999,VLOOKUP(AA69,Hraci!$A$1:$I$1500,8,0))</f>
        <v>9999</v>
      </c>
      <c r="AF69" s="473">
        <f ca="1">IF(N(AA69)=0,0,VLOOKUP(AA69,Hraci!$A$1:$I$1500,9,0))</f>
        <v>0</v>
      </c>
      <c r="AG69" s="474"/>
      <c r="AH69" s="480">
        <v>129</v>
      </c>
      <c r="AI69" s="475">
        <f ca="1">IF(N($AH69)&gt;0,VLOOKUP($AH69,Body!$A$4:$F$259,5,0),"")</f>
        <v>553.40650000000005</v>
      </c>
      <c r="AJ69" s="476">
        <f ca="1">IF(N($AH69)&gt;0,VLOOKUP($AH69,Body!$A$4:$F$259,6,0),"")</f>
        <v>200</v>
      </c>
      <c r="AK69" s="475">
        <f ca="1">IF(N($AH69)&gt;0,VLOOKUP($AH69,Body!$A$4:$F$259,2,0),"")</f>
        <v>8</v>
      </c>
      <c r="AL69" s="477" t="str">
        <f t="shared" ca="1" si="28"/>
        <v>59 SKP Kulová osma - Chmelař Ivo</v>
      </c>
      <c r="AM69" s="478">
        <f t="shared" ca="1" si="29"/>
        <v>24.033000000000001</v>
      </c>
      <c r="AN69" s="408">
        <f ca="1">IF(OR(TYPE(I69)&gt;1,TYPE(MATCH(I69,I70:I$267,0))&gt;1),0,MATCH(I69,I70:I$267,0))+IF(OR(TYPE(I69)&gt;1,TYPE(MATCH(I69,O$11:O$267,0))&gt;1),0,MATCH(I69,O$11:O$267,0))+IF(OR(TYPE(I69)&gt;1,TYPE(MATCH(I69,U$11:U$267,0))&gt;1),0,MATCH(I69,U$11:U$267,0))+IF(OR(TYPE(I69)&gt;1,TYPE(MATCH(I69,AA$11:AA$267,0))&gt;1),0,MATCH(I69,AA$11:AA$267,0))</f>
        <v>0</v>
      </c>
      <c r="AO69" s="408">
        <f ca="1">IF(OR(TYPE(O69)&gt;1,TYPE(MATCH(O69,I$11:I$267,0))&gt;1),0,MATCH(O69,I$11:I$267,0))+IF(OR(TYPE(O69)&gt;1,TYPE(MATCH(O69,O70:O$267,0))&gt;1),0,MATCH(O69,O70:O$267,0))+IF(OR(TYPE(O69)&gt;1,TYPE(MATCH(O69,U$11:U$267,0))&gt;1),0,MATCH(O69,U$11:U$267,0))+IF(OR(TYPE(O69)&gt;1,TYPE(MATCH(O69,AA$11:AA$267,0))&gt;1),0,MATCH(O69,AA$11:AA$267,0))</f>
        <v>0</v>
      </c>
      <c r="AP69" s="408">
        <f ca="1">IF(OR(TYPE(U69)&gt;1,TYPE(MATCH(U69,I$11:I$267,0))&gt;1),0,MATCH(U69,I$11:I$267,0))+IF(OR(TYPE(U69)&gt;1,TYPE(MATCH(U69,O$11:O$267,0))&gt;1),0,MATCH(U69,O$11:O$267,0))+IF(OR(TYPE(U69)&gt;1,TYPE(MATCH(U69,U70:U$267,0))&gt;1),0,MATCH(U69,U70:U$267,0))+IF(OR(TYPE(U69)&gt;1,TYPE(MATCH(U69,AA$11:AA$267,0))&gt;1),0,MATCH(U69,AA$11:AA$267,0))</f>
        <v>0</v>
      </c>
      <c r="AQ69" s="408">
        <f ca="1">IF(OR(TYPE(AA69)&gt;1,TYPE(MATCH(AA69,I$11:I$267,0))&gt;1),0,MATCH(AA69,I$11:I$267,0))+IF(OR(TYPE(AA69)&gt;1,TYPE(MATCH(AA69,O$11:O$267,0))&gt;1),0,MATCH(AA69,O$11:O$267,0))+IF(OR(TYPE(AA69)&gt;1,TYPE(MATCH(AA69,U$11:U$267,0))&gt;1),0,MATCH(U69,U$11:U$267,0))+IF(OR(TYPE(AA69)&gt;1,TYPE(MATCH(AA69,AA70:AA$267,0))&gt;1),0,MATCH(AA69,AA70:AA$267,0))</f>
        <v>0</v>
      </c>
      <c r="AR69" s="408">
        <f t="shared" ca="1" si="14"/>
        <v>0</v>
      </c>
      <c r="BF69" s="408">
        <f t="shared" si="15"/>
        <v>59</v>
      </c>
    </row>
    <row r="70" spans="1:58" ht="14.25">
      <c r="A70" s="430">
        <f t="shared" ca="1" si="16"/>
        <v>1</v>
      </c>
      <c r="B70" s="430">
        <f t="shared" ca="1" si="17"/>
        <v>1</v>
      </c>
      <c r="C70" s="430">
        <f t="shared" ca="1" si="18"/>
        <v>23.939</v>
      </c>
      <c r="D70" s="430">
        <f t="shared" ca="1" si="19"/>
        <v>20089</v>
      </c>
      <c r="E70" s="430">
        <f t="shared" ca="1" si="20"/>
        <v>91</v>
      </c>
      <c r="F70" s="431" t="str">
        <f t="shared" ca="1" si="21"/>
        <v>91023939979910999908521191</v>
      </c>
      <c r="G70" s="467" t="b">
        <f t="shared" ca="1" si="22"/>
        <v>0</v>
      </c>
      <c r="H70" s="468">
        <f t="shared" si="23"/>
        <v>60</v>
      </c>
      <c r="I70" s="469">
        <f t="shared" ca="1" si="24"/>
        <v>28055</v>
      </c>
      <c r="J70" s="470" t="str">
        <f ca="1">IF(N(I70)&gt;0,VLOOKUP(I70,Hraci!$A$1:$I$1500,2,0),IF(TYPE(INDIRECT(ADDRESS(ROW() + $A$9-9 + (ROW()-11)*4,2,1,1,"Internet")))&gt;1,INDIRECT(ADDRESS(ROW() + $A$9-9 + (ROW()-11)*4,2,1,1,"Internet"))," "))</f>
        <v>Svobodová</v>
      </c>
      <c r="K70" s="471" t="str">
        <f ca="1">IF(N(I70)&gt;0,VLOOKUP(I70,Hraci!$A$1:$I$1500,3,0)," ")</f>
        <v>Lenka</v>
      </c>
      <c r="L70" s="471" t="str">
        <f ca="1">IF(N(I70)&gt;0,VLOOKUP(I70,Hraci!$A$1:$I$1500,5,0),IF(TYPE(INDIRECT(ADDRESS(ROW() + $A$9-9 + (ROW()-11)*4,3,1,1,"Internet")))&gt;1,INDIRECT(ADDRESS(ROW() + $A$9-9 + (ROW()-11)*4,3,1,1,"Internet"))," "))</f>
        <v>SKP Hranice VI-Valšovice</v>
      </c>
      <c r="M70" s="472">
        <f ca="1">IF(N(I70)=0,9999,VLOOKUP(I70,Hraci!$A$1:$I$1500,8,0))</f>
        <v>91</v>
      </c>
      <c r="N70" s="473">
        <f ca="1">IF(N(I70)=0,0,VLOOKUP(I70,Hraci!$A$1:$I$1500,9,0))</f>
        <v>23.939</v>
      </c>
      <c r="O70" s="469" t="str">
        <f t="shared" ca="1" si="25"/>
        <v/>
      </c>
      <c r="P70" s="470" t="str">
        <f ca="1">IF(N(O70)&gt;0,VLOOKUP(O70,Hraci!$A$1:$I$1500,2,0),IF(TYPE(INDIRECT(ADDRESS(ROW() + $A$9-8 + (ROW()-11)*4,2,1,1,"Internet")))&gt;1,INDIRECT(ADDRESS(ROW() + $A$9-8 + (ROW()-11)*4,2,1,1,"Internet"))," "))</f>
        <v xml:space="preserve"> </v>
      </c>
      <c r="Q70" s="471" t="str">
        <f ca="1">IF(N(O70)&gt;0,VLOOKUP(O70,Hraci!$A$1:$I$1500,3,0)," ")</f>
        <v xml:space="preserve"> </v>
      </c>
      <c r="R70" s="471" t="str">
        <f ca="1">IF(N(O70)&gt;0,VLOOKUP(O70,Hraci!$A$1:$I$1500,5,0),IF(TYPE(INDIRECT(ADDRESS(ROW() + $A$9-8 + (ROW()-11)*4,3,1,1,"Internet")))&gt;1,INDIRECT(ADDRESS(ROW() + $A$9-8 + (ROW()-11)*4,3,1,1,"Internet"))," "))</f>
        <v xml:space="preserve"> </v>
      </c>
      <c r="S70" s="472">
        <f ca="1">IF(N(O70)=0,9999,VLOOKUP(O70,Hraci!$A$1:$I$1500,8,0))</f>
        <v>9999</v>
      </c>
      <c r="T70" s="473">
        <f ca="1">IF(N(O70)=0,0,VLOOKUP(O70,Hraci!$A$1:$I$1500,9,0))</f>
        <v>0</v>
      </c>
      <c r="U70" s="469" t="str">
        <f t="shared" ca="1" si="26"/>
        <v/>
      </c>
      <c r="V70" s="470" t="str">
        <f ca="1">IF(N(U70)&gt;0,VLOOKUP(U70,Hraci!$A$1:$I$1500,2,0),IF(TYPE(INDIRECT(ADDRESS(ROW() + $A$9-7 + (ROW()-11)*4,2,1,1,"Internet")))&gt;1,INDIRECT(ADDRESS(ROW() + $A$9-7 + (ROW()-11)*4,2,1,1,"Internet"))," "))</f>
        <v xml:space="preserve"> </v>
      </c>
      <c r="W70" s="471" t="str">
        <f ca="1">IF(N(U70)&gt;0,VLOOKUP(U70,Hraci!$A$1:$I$1500,3,0)," ")</f>
        <v xml:space="preserve"> </v>
      </c>
      <c r="X70" s="471" t="str">
        <f ca="1">IF(N(U70)&gt;0,VLOOKUP(U70,Hraci!$A$1:$I$1500,5,0),IF(TYPE(INDIRECT(ADDRESS(ROW() + $A$9-7 + (ROW()-11)*4,3,1,1,"Internet")))&gt;1,INDIRECT(ADDRESS(ROW() + $A$9-7 + (ROW()-11)*4,3,1,1,"Internet"))," "))</f>
        <v xml:space="preserve"> </v>
      </c>
      <c r="Y70" s="472">
        <f ca="1">IF(N(U70)=0,9999,VLOOKUP(U70,Hraci!$A$1:$I$1500,8,0))</f>
        <v>9999</v>
      </c>
      <c r="Z70" s="473">
        <f ca="1">IF(N(U70)=0,0,VLOOKUP(U70,Hraci!$A$1:$I$1500,9,0))</f>
        <v>0</v>
      </c>
      <c r="AA70" s="469" t="str">
        <f t="shared" ca="1" si="27"/>
        <v/>
      </c>
      <c r="AB70" s="470" t="str">
        <f ca="1">IF(N(AA70)&gt;0,VLOOKUP(AA70,Hraci!$A$1:$I$1500,2,0)," ")</f>
        <v xml:space="preserve"> </v>
      </c>
      <c r="AC70" s="471" t="str">
        <f ca="1">IF(N(AA70)&gt;0,VLOOKUP(AA70,Hraci!$A$1:$I$1500,3,0)," ")</f>
        <v xml:space="preserve"> </v>
      </c>
      <c r="AD70" s="471" t="str">
        <f ca="1">IF(N(AA70)&gt;0,VLOOKUP(AA70,Hraci!$A$1:$I$1500,5,0)," ")</f>
        <v xml:space="preserve"> </v>
      </c>
      <c r="AE70" s="472">
        <f ca="1">IF(N(AA70)=0,9999,VLOOKUP(AA70,Hraci!$A$1:$I$1500,8,0))</f>
        <v>9999</v>
      </c>
      <c r="AF70" s="473">
        <f ca="1">IF(N(AA70)=0,0,VLOOKUP(AA70,Hraci!$A$1:$I$1500,9,0))</f>
        <v>0</v>
      </c>
      <c r="AG70" s="474"/>
      <c r="AH70" s="480">
        <f ca="1">IF(TYPE(VLOOKUP(H70,Nasazení!$A$3:$E$258,5,0))&lt;4,VLOOKUP(H70,Nasazení!$A$3:$E$258,5,0),0)</f>
        <v>64</v>
      </c>
      <c r="AI70" s="475">
        <f ca="1">IF(N($AH70)&gt;0,VLOOKUP($AH70,Body!$A$4:$F$259,5,0),"")</f>
        <v>288.35162500000001</v>
      </c>
      <c r="AJ70" s="476">
        <f ca="1">IF(N($AH70)&gt;0,VLOOKUP($AH70,Body!$A$4:$F$259,6,0),"")</f>
        <v>200</v>
      </c>
      <c r="AK70" s="475">
        <f ca="1">IF(N($AH70)&gt;0,VLOOKUP($AH70,Body!$A$4:$F$259,2,0),"")</f>
        <v>2</v>
      </c>
      <c r="AL70" s="477" t="str">
        <f t="shared" ca="1" si="28"/>
        <v>60 SKP Hranice VI-Valšovice - Svobodová Lenka</v>
      </c>
      <c r="AM70" s="478">
        <f t="shared" ca="1" si="29"/>
        <v>23.939</v>
      </c>
      <c r="AN70" s="408">
        <f ca="1">IF(OR(TYPE(I70)&gt;1,TYPE(MATCH(I70,I71:I$267,0))&gt;1),0,MATCH(I70,I71:I$267,0))+IF(OR(TYPE(I70)&gt;1,TYPE(MATCH(I70,O$11:O$267,0))&gt;1),0,MATCH(I70,O$11:O$267,0))+IF(OR(TYPE(I70)&gt;1,TYPE(MATCH(I70,U$11:U$267,0))&gt;1),0,MATCH(I70,U$11:U$267,0))+IF(OR(TYPE(I70)&gt;1,TYPE(MATCH(I70,AA$11:AA$267,0))&gt;1),0,MATCH(I70,AA$11:AA$267,0))</f>
        <v>0</v>
      </c>
      <c r="AO70" s="408">
        <f ca="1">IF(OR(TYPE(O70)&gt;1,TYPE(MATCH(O70,I$11:I$267,0))&gt;1),0,MATCH(O70,I$11:I$267,0))+IF(OR(TYPE(O70)&gt;1,TYPE(MATCH(O70,O71:O$267,0))&gt;1),0,MATCH(O70,O71:O$267,0))+IF(OR(TYPE(O70)&gt;1,TYPE(MATCH(O70,U$11:U$267,0))&gt;1),0,MATCH(O70,U$11:U$267,0))+IF(OR(TYPE(O70)&gt;1,TYPE(MATCH(O70,AA$11:AA$267,0))&gt;1),0,MATCH(O70,AA$11:AA$267,0))</f>
        <v>0</v>
      </c>
      <c r="AP70" s="408">
        <f ca="1">IF(OR(TYPE(U70)&gt;1,TYPE(MATCH(U70,I$11:I$267,0))&gt;1),0,MATCH(U70,I$11:I$267,0))+IF(OR(TYPE(U70)&gt;1,TYPE(MATCH(U70,O$11:O$267,0))&gt;1),0,MATCH(U70,O$11:O$267,0))+IF(OR(TYPE(U70)&gt;1,TYPE(MATCH(U70,U71:U$267,0))&gt;1),0,MATCH(U70,U71:U$267,0))+IF(OR(TYPE(U70)&gt;1,TYPE(MATCH(U70,AA$11:AA$267,0))&gt;1),0,MATCH(U70,AA$11:AA$267,0))</f>
        <v>0</v>
      </c>
      <c r="AQ70" s="408">
        <f ca="1">IF(OR(TYPE(AA70)&gt;1,TYPE(MATCH(AA70,I$11:I$267,0))&gt;1),0,MATCH(AA70,I$11:I$267,0))+IF(OR(TYPE(AA70)&gt;1,TYPE(MATCH(AA70,O$11:O$267,0))&gt;1),0,MATCH(AA70,O$11:O$267,0))+IF(OR(TYPE(AA70)&gt;1,TYPE(MATCH(AA70,U$11:U$267,0))&gt;1),0,MATCH(U70,U$11:U$267,0))+IF(OR(TYPE(AA70)&gt;1,TYPE(MATCH(AA70,AA71:AA$267,0))&gt;1),0,MATCH(AA70,AA71:AA$267,0))</f>
        <v>0</v>
      </c>
      <c r="AR70" s="408">
        <f t="shared" ca="1" si="14"/>
        <v>0</v>
      </c>
      <c r="BF70" s="408">
        <f t="shared" si="15"/>
        <v>60</v>
      </c>
    </row>
    <row r="71" spans="1:58" ht="14.25">
      <c r="A71" s="430">
        <f t="shared" ca="1" si="16"/>
        <v>1</v>
      </c>
      <c r="B71" s="430">
        <f t="shared" ca="1" si="17"/>
        <v>1</v>
      </c>
      <c r="C71" s="430">
        <f t="shared" ca="1" si="18"/>
        <v>23.751000000000001</v>
      </c>
      <c r="D71" s="430">
        <f t="shared" ca="1" si="19"/>
        <v>20105</v>
      </c>
      <c r="E71" s="430">
        <f t="shared" ca="1" si="20"/>
        <v>107</v>
      </c>
      <c r="F71" s="431" t="str">
        <f t="shared" ca="1" si="21"/>
        <v>91023751979894999892292825</v>
      </c>
      <c r="G71" s="467" t="b">
        <f t="shared" ca="1" si="22"/>
        <v>0</v>
      </c>
      <c r="H71" s="468">
        <f t="shared" si="23"/>
        <v>61</v>
      </c>
      <c r="I71" s="469">
        <f t="shared" ca="1" si="24"/>
        <v>16151</v>
      </c>
      <c r="J71" s="470" t="str">
        <f ca="1">IF(N(I71)&gt;0,VLOOKUP(I71,Hraci!$A$1:$I$1500,2,0),IF(TYPE(INDIRECT(ADDRESS(ROW() + $A$9-9 + (ROW()-11)*4,2,1,1,"Internet")))&gt;1,INDIRECT(ADDRESS(ROW() + $A$9-9 + (ROW()-11)*4,2,1,1,"Internet"))," "))</f>
        <v>Kára</v>
      </c>
      <c r="K71" s="471" t="str">
        <f ca="1">IF(N(I71)&gt;0,VLOOKUP(I71,Hraci!$A$1:$I$1500,3,0)," ")</f>
        <v>Jan</v>
      </c>
      <c r="L71" s="471" t="str">
        <f ca="1">IF(N(I71)&gt;0,VLOOKUP(I71,Hraci!$A$1:$I$1500,5,0),IF(TYPE(INDIRECT(ADDRESS(ROW() + $A$9-9 + (ROW()-11)*4,3,1,1,"Internet")))&gt;1,INDIRECT(ADDRESS(ROW() + $A$9-9 + (ROW()-11)*4,3,1,1,"Internet"))," "))</f>
        <v>PC Mimo Done</v>
      </c>
      <c r="M71" s="472">
        <f ca="1">IF(N(I71)=0,9999,VLOOKUP(I71,Hraci!$A$1:$I$1500,8,0))</f>
        <v>107</v>
      </c>
      <c r="N71" s="473">
        <f ca="1">IF(N(I71)=0,0,VLOOKUP(I71,Hraci!$A$1:$I$1500,9,0))</f>
        <v>23.751000000000001</v>
      </c>
      <c r="O71" s="469" t="str">
        <f t="shared" ca="1" si="25"/>
        <v/>
      </c>
      <c r="P71" s="470" t="str">
        <f ca="1">IF(N(O71)&gt;0,VLOOKUP(O71,Hraci!$A$1:$I$1500,2,0),IF(TYPE(INDIRECT(ADDRESS(ROW() + $A$9-8 + (ROW()-11)*4,2,1,1,"Internet")))&gt;1,INDIRECT(ADDRESS(ROW() + $A$9-8 + (ROW()-11)*4,2,1,1,"Internet"))," "))</f>
        <v xml:space="preserve"> </v>
      </c>
      <c r="Q71" s="471" t="str">
        <f ca="1">IF(N(O71)&gt;0,VLOOKUP(O71,Hraci!$A$1:$I$1500,3,0)," ")</f>
        <v xml:space="preserve"> </v>
      </c>
      <c r="R71" s="471" t="str">
        <f ca="1">IF(N(O71)&gt;0,VLOOKUP(O71,Hraci!$A$1:$I$1500,5,0),IF(TYPE(INDIRECT(ADDRESS(ROW() + $A$9-8 + (ROW()-11)*4,3,1,1,"Internet")))&gt;1,INDIRECT(ADDRESS(ROW() + $A$9-8 + (ROW()-11)*4,3,1,1,"Internet"))," "))</f>
        <v xml:space="preserve"> </v>
      </c>
      <c r="S71" s="472">
        <f ca="1">IF(N(O71)=0,9999,VLOOKUP(O71,Hraci!$A$1:$I$1500,8,0))</f>
        <v>9999</v>
      </c>
      <c r="T71" s="473">
        <f ca="1">IF(N(O71)=0,0,VLOOKUP(O71,Hraci!$A$1:$I$1500,9,0))</f>
        <v>0</v>
      </c>
      <c r="U71" s="469" t="str">
        <f t="shared" ca="1" si="26"/>
        <v/>
      </c>
      <c r="V71" s="470" t="str">
        <f ca="1">IF(N(U71)&gt;0,VLOOKUP(U71,Hraci!$A$1:$I$1500,2,0),IF(TYPE(INDIRECT(ADDRESS(ROW() + $A$9-7 + (ROW()-11)*4,2,1,1,"Internet")))&gt;1,INDIRECT(ADDRESS(ROW() + $A$9-7 + (ROW()-11)*4,2,1,1,"Internet"))," "))</f>
        <v xml:space="preserve"> </v>
      </c>
      <c r="W71" s="471" t="str">
        <f ca="1">IF(N(U71)&gt;0,VLOOKUP(U71,Hraci!$A$1:$I$1500,3,0)," ")</f>
        <v xml:space="preserve"> </v>
      </c>
      <c r="X71" s="471" t="str">
        <f ca="1">IF(N(U71)&gt;0,VLOOKUP(U71,Hraci!$A$1:$I$1500,5,0),IF(TYPE(INDIRECT(ADDRESS(ROW() + $A$9-7 + (ROW()-11)*4,3,1,1,"Internet")))&gt;1,INDIRECT(ADDRESS(ROW() + $A$9-7 + (ROW()-11)*4,3,1,1,"Internet"))," "))</f>
        <v xml:space="preserve"> </v>
      </c>
      <c r="Y71" s="472">
        <f ca="1">IF(N(U71)=0,9999,VLOOKUP(U71,Hraci!$A$1:$I$1500,8,0))</f>
        <v>9999</v>
      </c>
      <c r="Z71" s="473">
        <f ca="1">IF(N(U71)=0,0,VLOOKUP(U71,Hraci!$A$1:$I$1500,9,0))</f>
        <v>0</v>
      </c>
      <c r="AA71" s="469" t="str">
        <f t="shared" ca="1" si="27"/>
        <v/>
      </c>
      <c r="AB71" s="470" t="str">
        <f ca="1">IF(N(AA71)&gt;0,VLOOKUP(AA71,Hraci!$A$1:$I$1500,2,0)," ")</f>
        <v xml:space="preserve"> </v>
      </c>
      <c r="AC71" s="471" t="str">
        <f ca="1">IF(N(AA71)&gt;0,VLOOKUP(AA71,Hraci!$A$1:$I$1500,3,0)," ")</f>
        <v xml:space="preserve"> </v>
      </c>
      <c r="AD71" s="471" t="str">
        <f ca="1">IF(N(AA71)&gt;0,VLOOKUP(AA71,Hraci!$A$1:$I$1500,5,0)," ")</f>
        <v xml:space="preserve"> </v>
      </c>
      <c r="AE71" s="472">
        <f ca="1">IF(N(AA71)=0,9999,VLOOKUP(AA71,Hraci!$A$1:$I$1500,8,0))</f>
        <v>9999</v>
      </c>
      <c r="AF71" s="473">
        <f ca="1">IF(N(AA71)=0,0,VLOOKUP(AA71,Hraci!$A$1:$I$1500,9,0))</f>
        <v>0</v>
      </c>
      <c r="AG71" s="474"/>
      <c r="AH71" s="480">
        <v>129</v>
      </c>
      <c r="AI71" s="475">
        <f ca="1">IF(N($AH71)&gt;0,VLOOKUP($AH71,Body!$A$4:$F$259,5,0),"")</f>
        <v>553.40650000000005</v>
      </c>
      <c r="AJ71" s="476">
        <f ca="1">IF(N($AH71)&gt;0,VLOOKUP($AH71,Body!$A$4:$F$259,6,0),"")</f>
        <v>200</v>
      </c>
      <c r="AK71" s="475">
        <f ca="1">IF(N($AH71)&gt;0,VLOOKUP($AH71,Body!$A$4:$F$259,2,0),"")</f>
        <v>8</v>
      </c>
      <c r="AL71" s="477" t="str">
        <f t="shared" ca="1" si="28"/>
        <v>61 PC Mimo Done - Kára Jan</v>
      </c>
      <c r="AM71" s="478">
        <f t="shared" ca="1" si="29"/>
        <v>23.751000000000001</v>
      </c>
      <c r="AN71" s="408">
        <f ca="1">IF(OR(TYPE(I71)&gt;1,TYPE(MATCH(I71,I72:I$267,0))&gt;1),0,MATCH(I71,I72:I$267,0))+IF(OR(TYPE(I71)&gt;1,TYPE(MATCH(I71,O$11:O$267,0))&gt;1),0,MATCH(I71,O$11:O$267,0))+IF(OR(TYPE(I71)&gt;1,TYPE(MATCH(I71,U$11:U$267,0))&gt;1),0,MATCH(I71,U$11:U$267,0))+IF(OR(TYPE(I71)&gt;1,TYPE(MATCH(I71,AA$11:AA$267,0))&gt;1),0,MATCH(I71,AA$11:AA$267,0))</f>
        <v>0</v>
      </c>
      <c r="AO71" s="408">
        <f ca="1">IF(OR(TYPE(O71)&gt;1,TYPE(MATCH(O71,I$11:I$267,0))&gt;1),0,MATCH(O71,I$11:I$267,0))+IF(OR(TYPE(O71)&gt;1,TYPE(MATCH(O71,O72:O$267,0))&gt;1),0,MATCH(O71,O72:O$267,0))+IF(OR(TYPE(O71)&gt;1,TYPE(MATCH(O71,U$11:U$267,0))&gt;1),0,MATCH(O71,U$11:U$267,0))+IF(OR(TYPE(O71)&gt;1,TYPE(MATCH(O71,AA$11:AA$267,0))&gt;1),0,MATCH(O71,AA$11:AA$267,0))</f>
        <v>0</v>
      </c>
      <c r="AP71" s="408">
        <f ca="1">IF(OR(TYPE(U71)&gt;1,TYPE(MATCH(U71,I$11:I$267,0))&gt;1),0,MATCH(U71,I$11:I$267,0))+IF(OR(TYPE(U71)&gt;1,TYPE(MATCH(U71,O$11:O$267,0))&gt;1),0,MATCH(U71,O$11:O$267,0))+IF(OR(TYPE(U71)&gt;1,TYPE(MATCH(U71,U72:U$267,0))&gt;1),0,MATCH(U71,U72:U$267,0))+IF(OR(TYPE(U71)&gt;1,TYPE(MATCH(U71,AA$11:AA$267,0))&gt;1),0,MATCH(U71,AA$11:AA$267,0))</f>
        <v>0</v>
      </c>
      <c r="AQ71" s="408">
        <f ca="1">IF(OR(TYPE(AA71)&gt;1,TYPE(MATCH(AA71,I$11:I$267,0))&gt;1),0,MATCH(AA71,I$11:I$267,0))+IF(OR(TYPE(AA71)&gt;1,TYPE(MATCH(AA71,O$11:O$267,0))&gt;1),0,MATCH(AA71,O$11:O$267,0))+IF(OR(TYPE(AA71)&gt;1,TYPE(MATCH(AA71,U$11:U$267,0))&gt;1),0,MATCH(U71,U$11:U$267,0))+IF(OR(TYPE(AA71)&gt;1,TYPE(MATCH(AA71,AA72:AA$267,0))&gt;1),0,MATCH(AA71,AA72:AA$267,0))</f>
        <v>0</v>
      </c>
      <c r="AR71" s="408">
        <f t="shared" ca="1" si="14"/>
        <v>0</v>
      </c>
      <c r="BF71" s="408">
        <f t="shared" si="15"/>
        <v>61</v>
      </c>
    </row>
    <row r="72" spans="1:58" ht="14.25">
      <c r="A72" s="430">
        <f t="shared" ca="1" si="16"/>
        <v>1</v>
      </c>
      <c r="B72" s="430">
        <f t="shared" ca="1" si="17"/>
        <v>1</v>
      </c>
      <c r="C72" s="430">
        <f t="shared" ca="1" si="18"/>
        <v>23.469000000000001</v>
      </c>
      <c r="D72" s="430">
        <f t="shared" ca="1" si="19"/>
        <v>20034</v>
      </c>
      <c r="E72" s="430">
        <f t="shared" ca="1" si="20"/>
        <v>36</v>
      </c>
      <c r="F72" s="431" t="str">
        <f t="shared" ca="1" si="21"/>
        <v>91023469979965999963026064</v>
      </c>
      <c r="G72" s="467" t="b">
        <f t="shared" ca="1" si="22"/>
        <v>0</v>
      </c>
      <c r="H72" s="468">
        <f t="shared" si="23"/>
        <v>62</v>
      </c>
      <c r="I72" s="469">
        <f t="shared" ca="1" si="24"/>
        <v>28006</v>
      </c>
      <c r="J72" s="470" t="str">
        <f ca="1">IF(N(I72)&gt;0,VLOOKUP(I72,Hraci!$A$1:$I$1500,2,0),IF(TYPE(INDIRECT(ADDRESS(ROW() + $A$9-9 + (ROW()-11)*4,2,1,1,"Internet")))&gt;1,INDIRECT(ADDRESS(ROW() + $A$9-9 + (ROW()-11)*4,2,1,1,"Internet"))," "))</f>
        <v>Grepl</v>
      </c>
      <c r="K72" s="471" t="str">
        <f ca="1">IF(N(I72)&gt;0,VLOOKUP(I72,Hraci!$A$1:$I$1500,3,0)," ")</f>
        <v>Jiří</v>
      </c>
      <c r="L72" s="471" t="str">
        <f ca="1">IF(N(I72)&gt;0,VLOOKUP(I72,Hraci!$A$1:$I$1500,5,0),IF(TYPE(INDIRECT(ADDRESS(ROW() + $A$9-9 + (ROW()-11)*4,3,1,1,"Internet")))&gt;1,INDIRECT(ADDRESS(ROW() + $A$9-9 + (ROW()-11)*4,3,1,1,"Internet"))," "))</f>
        <v>Carreau Brno</v>
      </c>
      <c r="M72" s="472">
        <f ca="1">IF(N(I72)=0,9999,VLOOKUP(I72,Hraci!$A$1:$I$1500,8,0))</f>
        <v>36</v>
      </c>
      <c r="N72" s="473">
        <f ca="1">IF(N(I72)=0,0,VLOOKUP(I72,Hraci!$A$1:$I$1500,9,0))</f>
        <v>23.469000000000001</v>
      </c>
      <c r="O72" s="469" t="str">
        <f t="shared" ca="1" si="25"/>
        <v/>
      </c>
      <c r="P72" s="470" t="str">
        <f ca="1">IF(N(O72)&gt;0,VLOOKUP(O72,Hraci!$A$1:$I$1500,2,0),IF(TYPE(INDIRECT(ADDRESS(ROW() + $A$9-8 + (ROW()-11)*4,2,1,1,"Internet")))&gt;1,INDIRECT(ADDRESS(ROW() + $A$9-8 + (ROW()-11)*4,2,1,1,"Internet"))," "))</f>
        <v xml:space="preserve"> </v>
      </c>
      <c r="Q72" s="471" t="str">
        <f ca="1">IF(N(O72)&gt;0,VLOOKUP(O72,Hraci!$A$1:$I$1500,3,0)," ")</f>
        <v xml:space="preserve"> </v>
      </c>
      <c r="R72" s="471" t="str">
        <f ca="1">IF(N(O72)&gt;0,VLOOKUP(O72,Hraci!$A$1:$I$1500,5,0),IF(TYPE(INDIRECT(ADDRESS(ROW() + $A$9-8 + (ROW()-11)*4,3,1,1,"Internet")))&gt;1,INDIRECT(ADDRESS(ROW() + $A$9-8 + (ROW()-11)*4,3,1,1,"Internet"))," "))</f>
        <v xml:space="preserve"> </v>
      </c>
      <c r="S72" s="472">
        <f ca="1">IF(N(O72)=0,9999,VLOOKUP(O72,Hraci!$A$1:$I$1500,8,0))</f>
        <v>9999</v>
      </c>
      <c r="T72" s="473">
        <f ca="1">IF(N(O72)=0,0,VLOOKUP(O72,Hraci!$A$1:$I$1500,9,0))</f>
        <v>0</v>
      </c>
      <c r="U72" s="469" t="str">
        <f t="shared" ca="1" si="26"/>
        <v/>
      </c>
      <c r="V72" s="470" t="str">
        <f ca="1">IF(N(U72)&gt;0,VLOOKUP(U72,Hraci!$A$1:$I$1500,2,0),IF(TYPE(INDIRECT(ADDRESS(ROW() + $A$9-7 + (ROW()-11)*4,2,1,1,"Internet")))&gt;1,INDIRECT(ADDRESS(ROW() + $A$9-7 + (ROW()-11)*4,2,1,1,"Internet"))," "))</f>
        <v xml:space="preserve"> </v>
      </c>
      <c r="W72" s="471" t="str">
        <f ca="1">IF(N(U72)&gt;0,VLOOKUP(U72,Hraci!$A$1:$I$1500,3,0)," ")</f>
        <v xml:space="preserve"> </v>
      </c>
      <c r="X72" s="471" t="str">
        <f ca="1">IF(N(U72)&gt;0,VLOOKUP(U72,Hraci!$A$1:$I$1500,5,0),IF(TYPE(INDIRECT(ADDRESS(ROW() + $A$9-7 + (ROW()-11)*4,3,1,1,"Internet")))&gt;1,INDIRECT(ADDRESS(ROW() + $A$9-7 + (ROW()-11)*4,3,1,1,"Internet"))," "))</f>
        <v xml:space="preserve"> </v>
      </c>
      <c r="Y72" s="472">
        <f ca="1">IF(N(U72)=0,9999,VLOOKUP(U72,Hraci!$A$1:$I$1500,8,0))</f>
        <v>9999</v>
      </c>
      <c r="Z72" s="473">
        <f ca="1">IF(N(U72)=0,0,VLOOKUP(U72,Hraci!$A$1:$I$1500,9,0))</f>
        <v>0</v>
      </c>
      <c r="AA72" s="469" t="str">
        <f t="shared" ca="1" si="27"/>
        <v/>
      </c>
      <c r="AB72" s="470" t="str">
        <f ca="1">IF(N(AA72)&gt;0,VLOOKUP(AA72,Hraci!$A$1:$I$1500,2,0)," ")</f>
        <v xml:space="preserve"> </v>
      </c>
      <c r="AC72" s="471" t="str">
        <f ca="1">IF(N(AA72)&gt;0,VLOOKUP(AA72,Hraci!$A$1:$I$1500,3,0)," ")</f>
        <v xml:space="preserve"> </v>
      </c>
      <c r="AD72" s="471" t="str">
        <f ca="1">IF(N(AA72)&gt;0,VLOOKUP(AA72,Hraci!$A$1:$I$1500,5,0)," ")</f>
        <v xml:space="preserve"> </v>
      </c>
      <c r="AE72" s="472">
        <f ca="1">IF(N(AA72)=0,9999,VLOOKUP(AA72,Hraci!$A$1:$I$1500,8,0))</f>
        <v>9999</v>
      </c>
      <c r="AF72" s="473">
        <f ca="1">IF(N(AA72)=0,0,VLOOKUP(AA72,Hraci!$A$1:$I$1500,9,0))</f>
        <v>0</v>
      </c>
      <c r="AG72" s="474"/>
      <c r="AH72" s="480">
        <v>11</v>
      </c>
      <c r="AI72" s="475">
        <f ca="1">IF(N($AH72)&gt;0,VLOOKUP($AH72,Body!$A$4:$F$259,5,0),"")</f>
        <v>404.31313281249999</v>
      </c>
      <c r="AJ72" s="476">
        <f ca="1">IF(N($AH72)&gt;0,VLOOKUP($AH72,Body!$A$4:$F$259,6,0),"")</f>
        <v>200</v>
      </c>
      <c r="AK72" s="475">
        <f ca="1">IF(N($AH72)&gt;0,VLOOKUP($AH72,Body!$A$4:$F$259,2,0),"")</f>
        <v>4.625</v>
      </c>
      <c r="AL72" s="477" t="str">
        <f t="shared" ca="1" si="28"/>
        <v>62 Carreau Brno - Grepl Jiří</v>
      </c>
      <c r="AM72" s="478">
        <f t="shared" ca="1" si="29"/>
        <v>23.469000000000001</v>
      </c>
      <c r="AN72" s="408">
        <f ca="1">IF(OR(TYPE(I72)&gt;1,TYPE(MATCH(I72,I73:I$267,0))&gt;1),0,MATCH(I72,I73:I$267,0))+IF(OR(TYPE(I72)&gt;1,TYPE(MATCH(I72,O$11:O$267,0))&gt;1),0,MATCH(I72,O$11:O$267,0))+IF(OR(TYPE(I72)&gt;1,TYPE(MATCH(I72,U$11:U$267,0))&gt;1),0,MATCH(I72,U$11:U$267,0))+IF(OR(TYPE(I72)&gt;1,TYPE(MATCH(I72,AA$11:AA$267,0))&gt;1),0,MATCH(I72,AA$11:AA$267,0))</f>
        <v>0</v>
      </c>
      <c r="AO72" s="408">
        <f ca="1">IF(OR(TYPE(O72)&gt;1,TYPE(MATCH(O72,I$11:I$267,0))&gt;1),0,MATCH(O72,I$11:I$267,0))+IF(OR(TYPE(O72)&gt;1,TYPE(MATCH(O72,O73:O$267,0))&gt;1),0,MATCH(O72,O73:O$267,0))+IF(OR(TYPE(O72)&gt;1,TYPE(MATCH(O72,U$11:U$267,0))&gt;1),0,MATCH(O72,U$11:U$267,0))+IF(OR(TYPE(O72)&gt;1,TYPE(MATCH(O72,AA$11:AA$267,0))&gt;1),0,MATCH(O72,AA$11:AA$267,0))</f>
        <v>0</v>
      </c>
      <c r="AP72" s="408">
        <f ca="1">IF(OR(TYPE(U72)&gt;1,TYPE(MATCH(U72,I$11:I$267,0))&gt;1),0,MATCH(U72,I$11:I$267,0))+IF(OR(TYPE(U72)&gt;1,TYPE(MATCH(U72,O$11:O$267,0))&gt;1),0,MATCH(U72,O$11:O$267,0))+IF(OR(TYPE(U72)&gt;1,TYPE(MATCH(U72,U73:U$267,0))&gt;1),0,MATCH(U72,U73:U$267,0))+IF(OR(TYPE(U72)&gt;1,TYPE(MATCH(U72,AA$11:AA$267,0))&gt;1),0,MATCH(U72,AA$11:AA$267,0))</f>
        <v>0</v>
      </c>
      <c r="AQ72" s="408">
        <f ca="1">IF(OR(TYPE(AA72)&gt;1,TYPE(MATCH(AA72,I$11:I$267,0))&gt;1),0,MATCH(AA72,I$11:I$267,0))+IF(OR(TYPE(AA72)&gt;1,TYPE(MATCH(AA72,O$11:O$267,0))&gt;1),0,MATCH(AA72,O$11:O$267,0))+IF(OR(TYPE(AA72)&gt;1,TYPE(MATCH(AA72,U$11:U$267,0))&gt;1),0,MATCH(U72,U$11:U$267,0))+IF(OR(TYPE(AA72)&gt;1,TYPE(MATCH(AA72,AA73:AA$267,0))&gt;1),0,MATCH(AA72,AA73:AA$267,0))</f>
        <v>0</v>
      </c>
      <c r="AR72" s="408">
        <f t="shared" ca="1" si="14"/>
        <v>0</v>
      </c>
      <c r="BF72" s="408">
        <f t="shared" si="15"/>
        <v>62</v>
      </c>
    </row>
    <row r="73" spans="1:58" ht="14.25">
      <c r="A73" s="430">
        <f t="shared" ca="1" si="16"/>
        <v>1</v>
      </c>
      <c r="B73" s="430">
        <f t="shared" ca="1" si="17"/>
        <v>1</v>
      </c>
      <c r="C73" s="430">
        <f t="shared" ca="1" si="18"/>
        <v>23.439</v>
      </c>
      <c r="D73" s="430">
        <f t="shared" ca="1" si="19"/>
        <v>20113</v>
      </c>
      <c r="E73" s="430">
        <f t="shared" ca="1" si="20"/>
        <v>115</v>
      </c>
      <c r="F73" s="431" t="str">
        <f t="shared" ca="1" si="21"/>
        <v>91023439979886999884318203</v>
      </c>
      <c r="G73" s="467" t="b">
        <f t="shared" ca="1" si="22"/>
        <v>0</v>
      </c>
      <c r="H73" s="468">
        <f t="shared" si="23"/>
        <v>63</v>
      </c>
      <c r="I73" s="469">
        <f t="shared" ca="1" si="24"/>
        <v>10139</v>
      </c>
      <c r="J73" s="470" t="str">
        <f ca="1">IF(N(I73)&gt;0,VLOOKUP(I73,Hraci!$A$1:$I$1500,2,0),IF(TYPE(INDIRECT(ADDRESS(ROW() + $A$9-9 + (ROW()-11)*4,2,1,1,"Internet")))&gt;1,INDIRECT(ADDRESS(ROW() + $A$9-9 + (ROW()-11)*4,2,1,1,"Internet"))," "))</f>
        <v>Karásek</v>
      </c>
      <c r="K73" s="471" t="str">
        <f ca="1">IF(N(I73)&gt;0,VLOOKUP(I73,Hraci!$A$1:$I$1500,3,0)," ")</f>
        <v>Jiří</v>
      </c>
      <c r="L73" s="471" t="str">
        <f ca="1">IF(N(I73)&gt;0,VLOOKUP(I73,Hraci!$A$1:$I$1500,5,0),IF(TYPE(INDIRECT(ADDRESS(ROW() + $A$9-9 + (ROW()-11)*4,3,1,1,"Internet")))&gt;1,INDIRECT(ADDRESS(ROW() + $A$9-9 + (ROW()-11)*4,3,1,1,"Internet"))," "))</f>
        <v>HRODE KRUMSÍN</v>
      </c>
      <c r="M73" s="472">
        <f ca="1">IF(N(I73)=0,9999,VLOOKUP(I73,Hraci!$A$1:$I$1500,8,0))</f>
        <v>115</v>
      </c>
      <c r="N73" s="473">
        <f ca="1">IF(N(I73)=0,0,VLOOKUP(I73,Hraci!$A$1:$I$1500,9,0))</f>
        <v>23.439</v>
      </c>
      <c r="O73" s="469" t="str">
        <f t="shared" ca="1" si="25"/>
        <v/>
      </c>
      <c r="P73" s="470" t="str">
        <f ca="1">IF(N(O73)&gt;0,VLOOKUP(O73,Hraci!$A$1:$I$1500,2,0),IF(TYPE(INDIRECT(ADDRESS(ROW() + $A$9-8 + (ROW()-11)*4,2,1,1,"Internet")))&gt;1,INDIRECT(ADDRESS(ROW() + $A$9-8 + (ROW()-11)*4,2,1,1,"Internet"))," "))</f>
        <v xml:space="preserve"> </v>
      </c>
      <c r="Q73" s="471" t="str">
        <f ca="1">IF(N(O73)&gt;0,VLOOKUP(O73,Hraci!$A$1:$I$1500,3,0)," ")</f>
        <v xml:space="preserve"> </v>
      </c>
      <c r="R73" s="471" t="str">
        <f ca="1">IF(N(O73)&gt;0,VLOOKUP(O73,Hraci!$A$1:$I$1500,5,0),IF(TYPE(INDIRECT(ADDRESS(ROW() + $A$9-8 + (ROW()-11)*4,3,1,1,"Internet")))&gt;1,INDIRECT(ADDRESS(ROW() + $A$9-8 + (ROW()-11)*4,3,1,1,"Internet"))," "))</f>
        <v xml:space="preserve"> </v>
      </c>
      <c r="S73" s="472">
        <f ca="1">IF(N(O73)=0,9999,VLOOKUP(O73,Hraci!$A$1:$I$1500,8,0))</f>
        <v>9999</v>
      </c>
      <c r="T73" s="473">
        <f ca="1">IF(N(O73)=0,0,VLOOKUP(O73,Hraci!$A$1:$I$1500,9,0))</f>
        <v>0</v>
      </c>
      <c r="U73" s="469" t="str">
        <f t="shared" ca="1" si="26"/>
        <v/>
      </c>
      <c r="V73" s="470" t="str">
        <f ca="1">IF(N(U73)&gt;0,VLOOKUP(U73,Hraci!$A$1:$I$1500,2,0),IF(TYPE(INDIRECT(ADDRESS(ROW() + $A$9-7 + (ROW()-11)*4,2,1,1,"Internet")))&gt;1,INDIRECT(ADDRESS(ROW() + $A$9-7 + (ROW()-11)*4,2,1,1,"Internet"))," "))</f>
        <v xml:space="preserve"> </v>
      </c>
      <c r="W73" s="471" t="str">
        <f ca="1">IF(N(U73)&gt;0,VLOOKUP(U73,Hraci!$A$1:$I$1500,3,0)," ")</f>
        <v xml:space="preserve"> </v>
      </c>
      <c r="X73" s="471" t="str">
        <f ca="1">IF(N(U73)&gt;0,VLOOKUP(U73,Hraci!$A$1:$I$1500,5,0),IF(TYPE(INDIRECT(ADDRESS(ROW() + $A$9-7 + (ROW()-11)*4,3,1,1,"Internet")))&gt;1,INDIRECT(ADDRESS(ROW() + $A$9-7 + (ROW()-11)*4,3,1,1,"Internet"))," "))</f>
        <v xml:space="preserve"> </v>
      </c>
      <c r="Y73" s="472">
        <f ca="1">IF(N(U73)=0,9999,VLOOKUP(U73,Hraci!$A$1:$I$1500,8,0))</f>
        <v>9999</v>
      </c>
      <c r="Z73" s="473">
        <f ca="1">IF(N(U73)=0,0,VLOOKUP(U73,Hraci!$A$1:$I$1500,9,0))</f>
        <v>0</v>
      </c>
      <c r="AA73" s="469" t="str">
        <f t="shared" ca="1" si="27"/>
        <v/>
      </c>
      <c r="AB73" s="470" t="str">
        <f ca="1">IF(N(AA73)&gt;0,VLOOKUP(AA73,Hraci!$A$1:$I$1500,2,0)," ")</f>
        <v xml:space="preserve"> </v>
      </c>
      <c r="AC73" s="471" t="str">
        <f ca="1">IF(N(AA73)&gt;0,VLOOKUP(AA73,Hraci!$A$1:$I$1500,3,0)," ")</f>
        <v xml:space="preserve"> </v>
      </c>
      <c r="AD73" s="471" t="str">
        <f ca="1">IF(N(AA73)&gt;0,VLOOKUP(AA73,Hraci!$A$1:$I$1500,5,0)," ")</f>
        <v xml:space="preserve"> </v>
      </c>
      <c r="AE73" s="472">
        <f ca="1">IF(N(AA73)=0,9999,VLOOKUP(AA73,Hraci!$A$1:$I$1500,8,0))</f>
        <v>9999</v>
      </c>
      <c r="AF73" s="473">
        <f ca="1">IF(N(AA73)=0,0,VLOOKUP(AA73,Hraci!$A$1:$I$1500,9,0))</f>
        <v>0</v>
      </c>
      <c r="AG73" s="474"/>
      <c r="AH73" s="480">
        <v>129</v>
      </c>
      <c r="AI73" s="475">
        <f ca="1">IF(N($AH73)&gt;0,VLOOKUP($AH73,Body!$A$4:$F$259,5,0),"")</f>
        <v>553.40650000000005</v>
      </c>
      <c r="AJ73" s="476">
        <f ca="1">IF(N($AH73)&gt;0,VLOOKUP($AH73,Body!$A$4:$F$259,6,0),"")</f>
        <v>200</v>
      </c>
      <c r="AK73" s="475">
        <f ca="1">IF(N($AH73)&gt;0,VLOOKUP($AH73,Body!$A$4:$F$259,2,0),"")</f>
        <v>8</v>
      </c>
      <c r="AL73" s="477" t="str">
        <f t="shared" ca="1" si="28"/>
        <v>63 HRODE KRUMSÍN - Karásek Jiří</v>
      </c>
      <c r="AM73" s="478">
        <f t="shared" ca="1" si="29"/>
        <v>23.439</v>
      </c>
      <c r="AN73" s="408">
        <f ca="1">IF(OR(TYPE(I73)&gt;1,TYPE(MATCH(I73,I74:I$267,0))&gt;1),0,MATCH(I73,I74:I$267,0))+IF(OR(TYPE(I73)&gt;1,TYPE(MATCH(I73,O$11:O$267,0))&gt;1),0,MATCH(I73,O$11:O$267,0))+IF(OR(TYPE(I73)&gt;1,TYPE(MATCH(I73,U$11:U$267,0))&gt;1),0,MATCH(I73,U$11:U$267,0))+IF(OR(TYPE(I73)&gt;1,TYPE(MATCH(I73,AA$11:AA$267,0))&gt;1),0,MATCH(I73,AA$11:AA$267,0))</f>
        <v>0</v>
      </c>
      <c r="AO73" s="408">
        <f ca="1">IF(OR(TYPE(O73)&gt;1,TYPE(MATCH(O73,I$11:I$267,0))&gt;1),0,MATCH(O73,I$11:I$267,0))+IF(OR(TYPE(O73)&gt;1,TYPE(MATCH(O73,O74:O$267,0))&gt;1),0,MATCH(O73,O74:O$267,0))+IF(OR(TYPE(O73)&gt;1,TYPE(MATCH(O73,U$11:U$267,0))&gt;1),0,MATCH(O73,U$11:U$267,0))+IF(OR(TYPE(O73)&gt;1,TYPE(MATCH(O73,AA$11:AA$267,0))&gt;1),0,MATCH(O73,AA$11:AA$267,0))</f>
        <v>0</v>
      </c>
      <c r="AP73" s="408">
        <f ca="1">IF(OR(TYPE(U73)&gt;1,TYPE(MATCH(U73,I$11:I$267,0))&gt;1),0,MATCH(U73,I$11:I$267,0))+IF(OR(TYPE(U73)&gt;1,TYPE(MATCH(U73,O$11:O$267,0))&gt;1),0,MATCH(U73,O$11:O$267,0))+IF(OR(TYPE(U73)&gt;1,TYPE(MATCH(U73,U74:U$267,0))&gt;1),0,MATCH(U73,U74:U$267,0))+IF(OR(TYPE(U73)&gt;1,TYPE(MATCH(U73,AA$11:AA$267,0))&gt;1),0,MATCH(U73,AA$11:AA$267,0))</f>
        <v>0</v>
      </c>
      <c r="AQ73" s="408">
        <f ca="1">IF(OR(TYPE(AA73)&gt;1,TYPE(MATCH(AA73,I$11:I$267,0))&gt;1),0,MATCH(AA73,I$11:I$267,0))+IF(OR(TYPE(AA73)&gt;1,TYPE(MATCH(AA73,O$11:O$267,0))&gt;1),0,MATCH(AA73,O$11:O$267,0))+IF(OR(TYPE(AA73)&gt;1,TYPE(MATCH(AA73,U$11:U$267,0))&gt;1),0,MATCH(U73,U$11:U$267,0))+IF(OR(TYPE(AA73)&gt;1,TYPE(MATCH(AA73,AA74:AA$267,0))&gt;1),0,MATCH(AA73,AA74:AA$267,0))</f>
        <v>0</v>
      </c>
      <c r="AR73" s="408">
        <f t="shared" ca="1" si="14"/>
        <v>0</v>
      </c>
      <c r="BF73" s="408">
        <f t="shared" si="15"/>
        <v>63</v>
      </c>
    </row>
    <row r="74" spans="1:58" ht="14.25">
      <c r="A74" s="430">
        <f t="shared" ca="1" si="16"/>
        <v>1</v>
      </c>
      <c r="B74" s="430">
        <f t="shared" ca="1" si="17"/>
        <v>1</v>
      </c>
      <c r="C74" s="430">
        <f t="shared" ca="1" si="18"/>
        <v>23.376999999999999</v>
      </c>
      <c r="D74" s="430">
        <f t="shared" ca="1" si="19"/>
        <v>20077</v>
      </c>
      <c r="E74" s="430">
        <f t="shared" ca="1" si="20"/>
        <v>79</v>
      </c>
      <c r="F74" s="431" t="str">
        <f t="shared" ca="1" si="21"/>
        <v>91023377979922999920466977</v>
      </c>
      <c r="G74" s="467" t="b">
        <f t="shared" ca="1" si="22"/>
        <v>0</v>
      </c>
      <c r="H74" s="468">
        <f t="shared" si="23"/>
        <v>64</v>
      </c>
      <c r="I74" s="469">
        <f t="shared" ca="1" si="24"/>
        <v>16086</v>
      </c>
      <c r="J74" s="470" t="str">
        <f ca="1">IF(N(I74)&gt;0,VLOOKUP(I74,Hraci!$A$1:$I$1500,2,0),IF(TYPE(INDIRECT(ADDRESS(ROW() + $A$9-9 + (ROW()-11)*4,2,1,1,"Internet")))&gt;1,INDIRECT(ADDRESS(ROW() + $A$9-9 + (ROW()-11)*4,2,1,1,"Internet"))," "))</f>
        <v>Ptáček</v>
      </c>
      <c r="K74" s="471" t="str">
        <f ca="1">IF(N(I74)&gt;0,VLOOKUP(I74,Hraci!$A$1:$I$1500,3,0)," ")</f>
        <v>Miroslav</v>
      </c>
      <c r="L74" s="471" t="str">
        <f ca="1">IF(N(I74)&gt;0,VLOOKUP(I74,Hraci!$A$1:$I$1500,5,0),IF(TYPE(INDIRECT(ADDRESS(ROW() + $A$9-9 + (ROW()-11)*4,3,1,1,"Internet")))&gt;1,INDIRECT(ADDRESS(ROW() + $A$9-9 + (ROW()-11)*4,3,1,1,"Internet"))," "))</f>
        <v>SK Pétanque Řepy</v>
      </c>
      <c r="M74" s="472">
        <f ca="1">IF(N(I74)=0,9999,VLOOKUP(I74,Hraci!$A$1:$I$1500,8,0))</f>
        <v>79</v>
      </c>
      <c r="N74" s="473">
        <f ca="1">IF(N(I74)=0,0,VLOOKUP(I74,Hraci!$A$1:$I$1500,9,0))</f>
        <v>23.376999999999999</v>
      </c>
      <c r="O74" s="469" t="str">
        <f t="shared" ca="1" si="25"/>
        <v/>
      </c>
      <c r="P74" s="470" t="str">
        <f ca="1">IF(N(O74)&gt;0,VLOOKUP(O74,Hraci!$A$1:$I$1500,2,0),IF(TYPE(INDIRECT(ADDRESS(ROW() + $A$9-8 + (ROW()-11)*4,2,1,1,"Internet")))&gt;1,INDIRECT(ADDRESS(ROW() + $A$9-8 + (ROW()-11)*4,2,1,1,"Internet"))," "))</f>
        <v xml:space="preserve"> </v>
      </c>
      <c r="Q74" s="471" t="str">
        <f ca="1">IF(N(O74)&gt;0,VLOOKUP(O74,Hraci!$A$1:$I$1500,3,0)," ")</f>
        <v xml:space="preserve"> </v>
      </c>
      <c r="R74" s="471" t="str">
        <f ca="1">IF(N(O74)&gt;0,VLOOKUP(O74,Hraci!$A$1:$I$1500,5,0),IF(TYPE(INDIRECT(ADDRESS(ROW() + $A$9-8 + (ROW()-11)*4,3,1,1,"Internet")))&gt;1,INDIRECT(ADDRESS(ROW() + $A$9-8 + (ROW()-11)*4,3,1,1,"Internet"))," "))</f>
        <v xml:space="preserve"> </v>
      </c>
      <c r="S74" s="472">
        <f ca="1">IF(N(O74)=0,9999,VLOOKUP(O74,Hraci!$A$1:$I$1500,8,0))</f>
        <v>9999</v>
      </c>
      <c r="T74" s="473">
        <f ca="1">IF(N(O74)=0,0,VLOOKUP(O74,Hraci!$A$1:$I$1500,9,0))</f>
        <v>0</v>
      </c>
      <c r="U74" s="469" t="str">
        <f t="shared" ca="1" si="26"/>
        <v/>
      </c>
      <c r="V74" s="470" t="str">
        <f ca="1">IF(N(U74)&gt;0,VLOOKUP(U74,Hraci!$A$1:$I$1500,2,0),IF(TYPE(INDIRECT(ADDRESS(ROW() + $A$9-7 + (ROW()-11)*4,2,1,1,"Internet")))&gt;1,INDIRECT(ADDRESS(ROW() + $A$9-7 + (ROW()-11)*4,2,1,1,"Internet"))," "))</f>
        <v xml:space="preserve"> </v>
      </c>
      <c r="W74" s="471" t="str">
        <f ca="1">IF(N(U74)&gt;0,VLOOKUP(U74,Hraci!$A$1:$I$1500,3,0)," ")</f>
        <v xml:space="preserve"> </v>
      </c>
      <c r="X74" s="471" t="str">
        <f ca="1">IF(N(U74)&gt;0,VLOOKUP(U74,Hraci!$A$1:$I$1500,5,0),IF(TYPE(INDIRECT(ADDRESS(ROW() + $A$9-7 + (ROW()-11)*4,3,1,1,"Internet")))&gt;1,INDIRECT(ADDRESS(ROW() + $A$9-7 + (ROW()-11)*4,3,1,1,"Internet"))," "))</f>
        <v xml:space="preserve"> </v>
      </c>
      <c r="Y74" s="472">
        <f ca="1">IF(N(U74)=0,9999,VLOOKUP(U74,Hraci!$A$1:$I$1500,8,0))</f>
        <v>9999</v>
      </c>
      <c r="Z74" s="473">
        <f ca="1">IF(N(U74)=0,0,VLOOKUP(U74,Hraci!$A$1:$I$1500,9,0))</f>
        <v>0</v>
      </c>
      <c r="AA74" s="469" t="str">
        <f t="shared" ca="1" si="27"/>
        <v/>
      </c>
      <c r="AB74" s="470" t="str">
        <f ca="1">IF(N(AA74)&gt;0,VLOOKUP(AA74,Hraci!$A$1:$I$1500,2,0)," ")</f>
        <v xml:space="preserve"> </v>
      </c>
      <c r="AC74" s="471" t="str">
        <f ca="1">IF(N(AA74)&gt;0,VLOOKUP(AA74,Hraci!$A$1:$I$1500,3,0)," ")</f>
        <v xml:space="preserve"> </v>
      </c>
      <c r="AD74" s="471" t="str">
        <f ca="1">IF(N(AA74)&gt;0,VLOOKUP(AA74,Hraci!$A$1:$I$1500,5,0)," ")</f>
        <v xml:space="preserve"> </v>
      </c>
      <c r="AE74" s="472">
        <f ca="1">IF(N(AA74)=0,9999,VLOOKUP(AA74,Hraci!$A$1:$I$1500,8,0))</f>
        <v>9999</v>
      </c>
      <c r="AF74" s="473">
        <f ca="1">IF(N(AA74)=0,0,VLOOKUP(AA74,Hraci!$A$1:$I$1500,9,0))</f>
        <v>0</v>
      </c>
      <c r="AG74" s="474"/>
      <c r="AH74" s="480">
        <v>129</v>
      </c>
      <c r="AI74" s="475">
        <f ca="1">IF(N($AH74)&gt;0,VLOOKUP($AH74,Body!$A$4:$F$259,5,0),"")</f>
        <v>553.40650000000005</v>
      </c>
      <c r="AJ74" s="476">
        <f ca="1">IF(N($AH74)&gt;0,VLOOKUP($AH74,Body!$A$4:$F$259,6,0),"")</f>
        <v>200</v>
      </c>
      <c r="AK74" s="475">
        <f ca="1">IF(N($AH74)&gt;0,VLOOKUP($AH74,Body!$A$4:$F$259,2,0),"")</f>
        <v>8</v>
      </c>
      <c r="AL74" s="477" t="str">
        <f t="shared" ca="1" si="28"/>
        <v>64 SK Pétanque Řepy - Ptáček Miroslav</v>
      </c>
      <c r="AM74" s="478">
        <f t="shared" ca="1" si="29"/>
        <v>23.376999999999999</v>
      </c>
      <c r="AN74" s="408">
        <f ca="1">IF(OR(TYPE(I74)&gt;1,TYPE(MATCH(I74,I75:I$267,0))&gt;1),0,MATCH(I74,I75:I$267,0))+IF(OR(TYPE(I74)&gt;1,TYPE(MATCH(I74,O$11:O$267,0))&gt;1),0,MATCH(I74,O$11:O$267,0))+IF(OR(TYPE(I74)&gt;1,TYPE(MATCH(I74,U$11:U$267,0))&gt;1),0,MATCH(I74,U$11:U$267,0))+IF(OR(TYPE(I74)&gt;1,TYPE(MATCH(I74,AA$11:AA$267,0))&gt;1),0,MATCH(I74,AA$11:AA$267,0))</f>
        <v>0</v>
      </c>
      <c r="AO74" s="408">
        <f ca="1">IF(OR(TYPE(O74)&gt;1,TYPE(MATCH(O74,I$11:I$267,0))&gt;1),0,MATCH(O74,I$11:I$267,0))+IF(OR(TYPE(O74)&gt;1,TYPE(MATCH(O74,O75:O$267,0))&gt;1),0,MATCH(O74,O75:O$267,0))+IF(OR(TYPE(O74)&gt;1,TYPE(MATCH(O74,U$11:U$267,0))&gt;1),0,MATCH(O74,U$11:U$267,0))+IF(OR(TYPE(O74)&gt;1,TYPE(MATCH(O74,AA$11:AA$267,0))&gt;1),0,MATCH(O74,AA$11:AA$267,0))</f>
        <v>0</v>
      </c>
      <c r="AP74" s="408">
        <f ca="1">IF(OR(TYPE(U74)&gt;1,TYPE(MATCH(U74,I$11:I$267,0))&gt;1),0,MATCH(U74,I$11:I$267,0))+IF(OR(TYPE(U74)&gt;1,TYPE(MATCH(U74,O$11:O$267,0))&gt;1),0,MATCH(U74,O$11:O$267,0))+IF(OR(TYPE(U74)&gt;1,TYPE(MATCH(U74,U75:U$267,0))&gt;1),0,MATCH(U74,U75:U$267,0))+IF(OR(TYPE(U74)&gt;1,TYPE(MATCH(U74,AA$11:AA$267,0))&gt;1),0,MATCH(U74,AA$11:AA$267,0))</f>
        <v>0</v>
      </c>
      <c r="AQ74" s="408">
        <f ca="1">IF(OR(TYPE(AA74)&gt;1,TYPE(MATCH(AA74,I$11:I$267,0))&gt;1),0,MATCH(AA74,I$11:I$267,0))+IF(OR(TYPE(AA74)&gt;1,TYPE(MATCH(AA74,O$11:O$267,0))&gt;1),0,MATCH(AA74,O$11:O$267,0))+IF(OR(TYPE(AA74)&gt;1,TYPE(MATCH(AA74,U$11:U$267,0))&gt;1),0,MATCH(U74,U$11:U$267,0))+IF(OR(TYPE(AA74)&gt;1,TYPE(MATCH(AA74,AA75:AA$267,0))&gt;1),0,MATCH(AA74,AA75:AA$267,0))</f>
        <v>0</v>
      </c>
      <c r="AR74" s="408">
        <f t="shared" ca="1" si="14"/>
        <v>0</v>
      </c>
      <c r="BF74" s="408">
        <f t="shared" si="15"/>
        <v>64</v>
      </c>
    </row>
    <row r="75" spans="1:58" ht="14.25">
      <c r="A75" s="430">
        <f t="shared" ref="A75:A106" ca="1" si="30">IF(OR(LEFT(J75,1)=" ",ISBLANK(J75)),0,1)+IF(OR(LEFT(P75,1)=" ",ISBLANK(P75)),0,1)+IF(OR(LEFT(V75,1)=" ",ISBLANK(V75)),0,1)</f>
        <v>1</v>
      </c>
      <c r="B75" s="430">
        <f t="shared" ref="B75:B106" ca="1" si="31">IF(AND(TYPE(G75&lt;15),G75=FALSE),1,0)</f>
        <v>1</v>
      </c>
      <c r="C75" s="430">
        <f t="shared" ref="C75:C106" ca="1" si="32">IF(B75=0,0,N75+T75+Z75)</f>
        <v>23.346</v>
      </c>
      <c r="D75" s="430">
        <f t="shared" ref="D75:D106" ca="1" si="33">IF(B75=0,99999,M75+S75+Y75)</f>
        <v>20049</v>
      </c>
      <c r="E75" s="430">
        <f t="shared" ref="E75:E106" ca="1" si="34">MIN(M75,S75,Y75)</f>
        <v>51</v>
      </c>
      <c r="F75" s="431" t="str">
        <f t="shared" ref="F75:F106" ca="1" si="35">CONCATENATE(IF(AND($P$4=1,H75&gt;2*$O$7),"0","9"),TEXT(B75,"0"),IF(AND($P$4=1,H75&gt;2*$O$7),"000000",TEXT(1000*C75,"000000")),IF(AND($P$4=1,H75&gt;2*$O$7),"000000",TEXT(999999-D75,"000000")),IF(AND($P$4=1,H75&gt;2*$O$7),"000000",TEXT(999999-E75,"000000")),TEXT(999999*RAND(),"000000"))</f>
        <v>91023346979950999948350931</v>
      </c>
      <c r="G75" s="467" t="b">
        <f t="shared" ref="G75:G106" ca="1" si="36">IF(OR($K$6&gt;A75,AR75&gt;0),TRUE,FALSE)</f>
        <v>0</v>
      </c>
      <c r="H75" s="468">
        <f t="shared" ref="H75:H106" si="37">ROW(H75)-10</f>
        <v>65</v>
      </c>
      <c r="I75" s="469">
        <f t="shared" ref="I75:I106" ca="1" si="38">IF(N(INDIRECT(ADDRESS(ROW() + $A$9-9 + (ROW()-11)*4,1,1,1,"Internet")))&gt;0,INDIRECT(ADDRESS(ROW() + $A$9-9 + (ROW()-11)*4,1,1,1,"Internet")),"")</f>
        <v>10163</v>
      </c>
      <c r="J75" s="470" t="str">
        <f ca="1">IF(N(I75)&gt;0,VLOOKUP(I75,Hraci!$A$1:$I$1500,2,0),IF(TYPE(INDIRECT(ADDRESS(ROW() + $A$9-9 + (ROW()-11)*4,2,1,1,"Internet")))&gt;1,INDIRECT(ADDRESS(ROW() + $A$9-9 + (ROW()-11)*4,2,1,1,"Internet"))," "))</f>
        <v>Vaníčková</v>
      </c>
      <c r="K75" s="471" t="str">
        <f ca="1">IF(N(I75)&gt;0,VLOOKUP(I75,Hraci!$A$1:$I$1500,3,0)," ")</f>
        <v>Alena</v>
      </c>
      <c r="L75" s="471" t="str">
        <f ca="1">IF(N(I75)&gt;0,VLOOKUP(I75,Hraci!$A$1:$I$1500,5,0),IF(TYPE(INDIRECT(ADDRESS(ROW() + $A$9-9 + (ROW()-11)*4,3,1,1,"Internet")))&gt;1,INDIRECT(ADDRESS(ROW() + $A$9-9 + (ROW()-11)*4,3,1,1,"Internet"))," "))</f>
        <v>Sokol Kostomlaty</v>
      </c>
      <c r="M75" s="472">
        <f ca="1">IF(N(I75)=0,9999,VLOOKUP(I75,Hraci!$A$1:$I$1500,8,0))</f>
        <v>51</v>
      </c>
      <c r="N75" s="473">
        <f ca="1">IF(N(I75)=0,0,VLOOKUP(I75,Hraci!$A$1:$I$1500,9,0))</f>
        <v>23.346</v>
      </c>
      <c r="O75" s="469" t="str">
        <f t="shared" ref="O75:O106" ca="1" si="39">IF(N(INDIRECT(ADDRESS(ROW() + $A$9-8 + (ROW()-11)*4,1,1,1,"Internet")))&gt;0,INDIRECT(ADDRESS(ROW() + $A$9-8 + (ROW()-11)*4,1,1,1,"Internet")),"")</f>
        <v/>
      </c>
      <c r="P75" s="470" t="str">
        <f ca="1">IF(N(O75)&gt;0,VLOOKUP(O75,Hraci!$A$1:$I$1500,2,0),IF(TYPE(INDIRECT(ADDRESS(ROW() + $A$9-8 + (ROW()-11)*4,2,1,1,"Internet")))&gt;1,INDIRECT(ADDRESS(ROW() + $A$9-8 + (ROW()-11)*4,2,1,1,"Internet"))," "))</f>
        <v xml:space="preserve"> </v>
      </c>
      <c r="Q75" s="471" t="str">
        <f ca="1">IF(N(O75)&gt;0,VLOOKUP(O75,Hraci!$A$1:$I$1500,3,0)," ")</f>
        <v xml:space="preserve"> </v>
      </c>
      <c r="R75" s="471" t="str">
        <f ca="1">IF(N(O75)&gt;0,VLOOKUP(O75,Hraci!$A$1:$I$1500,5,0),IF(TYPE(INDIRECT(ADDRESS(ROW() + $A$9-8 + (ROW()-11)*4,3,1,1,"Internet")))&gt;1,INDIRECT(ADDRESS(ROW() + $A$9-8 + (ROW()-11)*4,3,1,1,"Internet"))," "))</f>
        <v xml:space="preserve"> </v>
      </c>
      <c r="S75" s="472">
        <f ca="1">IF(N(O75)=0,9999,VLOOKUP(O75,Hraci!$A$1:$I$1500,8,0))</f>
        <v>9999</v>
      </c>
      <c r="T75" s="473">
        <f ca="1">IF(N(O75)=0,0,VLOOKUP(O75,Hraci!$A$1:$I$1500,9,0))</f>
        <v>0</v>
      </c>
      <c r="U75" s="469" t="str">
        <f t="shared" ref="U75:U106" ca="1" si="40">IF(N(INDIRECT(ADDRESS(ROW() + $A$9-7 + (ROW()-11)*4,1,1,1,"Internet")))&gt;0,INDIRECT(ADDRESS(ROW() + $A$9-7 + (ROW()-11)*4,1,1,1,"Internet")),"")</f>
        <v/>
      </c>
      <c r="V75" s="470" t="str">
        <f ca="1">IF(N(U75)&gt;0,VLOOKUP(U75,Hraci!$A$1:$I$1500,2,0),IF(TYPE(INDIRECT(ADDRESS(ROW() + $A$9-7 + (ROW()-11)*4,2,1,1,"Internet")))&gt;1,INDIRECT(ADDRESS(ROW() + $A$9-7 + (ROW()-11)*4,2,1,1,"Internet"))," "))</f>
        <v xml:space="preserve"> </v>
      </c>
      <c r="W75" s="471" t="str">
        <f ca="1">IF(N(U75)&gt;0,VLOOKUP(U75,Hraci!$A$1:$I$1500,3,0)," ")</f>
        <v xml:space="preserve"> </v>
      </c>
      <c r="X75" s="471" t="str">
        <f ca="1">IF(N(U75)&gt;0,VLOOKUP(U75,Hraci!$A$1:$I$1500,5,0),IF(TYPE(INDIRECT(ADDRESS(ROW() + $A$9-7 + (ROW()-11)*4,3,1,1,"Internet")))&gt;1,INDIRECT(ADDRESS(ROW() + $A$9-7 + (ROW()-11)*4,3,1,1,"Internet"))," "))</f>
        <v xml:space="preserve"> </v>
      </c>
      <c r="Y75" s="472">
        <f ca="1">IF(N(U75)=0,9999,VLOOKUP(U75,Hraci!$A$1:$I$1500,8,0))</f>
        <v>9999</v>
      </c>
      <c r="Z75" s="473">
        <f ca="1">IF(N(U75)=0,0,VLOOKUP(U75,Hraci!$A$1:$I$1500,9,0))</f>
        <v>0</v>
      </c>
      <c r="AA75" s="469" t="str">
        <f t="shared" ref="AA75:AA106" ca="1" si="41">IF(N(INDIRECT(ADDRESS(ROW() + $A$9-6 + (ROW()-11)*4,1,1,1,"Internet")))&gt;0,INDIRECT(ADDRESS(ROW() + $A$9-6 + (ROW()-11)*4,1,1,1,"Internet")),"")</f>
        <v/>
      </c>
      <c r="AB75" s="470" t="str">
        <f ca="1">IF(N(AA75)&gt;0,VLOOKUP(AA75,Hraci!$A$1:$I$1500,2,0)," ")</f>
        <v xml:space="preserve"> </v>
      </c>
      <c r="AC75" s="471" t="str">
        <f ca="1">IF(N(AA75)&gt;0,VLOOKUP(AA75,Hraci!$A$1:$I$1500,3,0)," ")</f>
        <v xml:space="preserve"> </v>
      </c>
      <c r="AD75" s="471" t="str">
        <f ca="1">IF(N(AA75)&gt;0,VLOOKUP(AA75,Hraci!$A$1:$I$1500,5,0)," ")</f>
        <v xml:space="preserve"> </v>
      </c>
      <c r="AE75" s="472">
        <f ca="1">IF(N(AA75)=0,9999,VLOOKUP(AA75,Hraci!$A$1:$I$1500,8,0))</f>
        <v>9999</v>
      </c>
      <c r="AF75" s="473">
        <f ca="1">IF(N(AA75)=0,0,VLOOKUP(AA75,Hraci!$A$1:$I$1500,9,0))</f>
        <v>0</v>
      </c>
      <c r="AG75" s="474"/>
      <c r="AH75" s="480">
        <v>8</v>
      </c>
      <c r="AI75" s="475">
        <f ca="1">IF(N($AH75)&gt;0,VLOOKUP($AH75,Body!$A$4:$F$259,5,0),"")</f>
        <v>420.87906250000003</v>
      </c>
      <c r="AJ75" s="476">
        <f ca="1">IF(N($AH75)&gt;0,VLOOKUP($AH75,Body!$A$4:$F$259,6,0),"")</f>
        <v>200</v>
      </c>
      <c r="AK75" s="475">
        <f ca="1">IF(N($AH75)&gt;0,VLOOKUP($AH75,Body!$A$4:$F$259,2,0),"")</f>
        <v>5</v>
      </c>
      <c r="AL75" s="477" t="str">
        <f t="shared" ref="AL75:AL106" ca="1" si="42">IF(N(H75)&gt;$K$7,"",CONCATENATE(IF($U$7="","",H75&amp;" "),L75,IF(L75="",""," - "),J75," ",K75))</f>
        <v>65 Sokol Kostomlaty - Vaníčková Alena</v>
      </c>
      <c r="AM75" s="478">
        <f t="shared" ref="AM75:AM106" ca="1" si="43">C75</f>
        <v>23.346</v>
      </c>
      <c r="AN75" s="408">
        <f ca="1">IF(OR(TYPE(I75)&gt;1,TYPE(MATCH(I75,I76:I$267,0))&gt;1),0,MATCH(I75,I76:I$267,0))+IF(OR(TYPE(I75)&gt;1,TYPE(MATCH(I75,O$11:O$267,0))&gt;1),0,MATCH(I75,O$11:O$267,0))+IF(OR(TYPE(I75)&gt;1,TYPE(MATCH(I75,U$11:U$267,0))&gt;1),0,MATCH(I75,U$11:U$267,0))+IF(OR(TYPE(I75)&gt;1,TYPE(MATCH(I75,AA$11:AA$267,0))&gt;1),0,MATCH(I75,AA$11:AA$267,0))</f>
        <v>0</v>
      </c>
      <c r="AO75" s="408">
        <f ca="1">IF(OR(TYPE(O75)&gt;1,TYPE(MATCH(O75,I$11:I$267,0))&gt;1),0,MATCH(O75,I$11:I$267,0))+IF(OR(TYPE(O75)&gt;1,TYPE(MATCH(O75,O76:O$267,0))&gt;1),0,MATCH(O75,O76:O$267,0))+IF(OR(TYPE(O75)&gt;1,TYPE(MATCH(O75,U$11:U$267,0))&gt;1),0,MATCH(O75,U$11:U$267,0))+IF(OR(TYPE(O75)&gt;1,TYPE(MATCH(O75,AA$11:AA$267,0))&gt;1),0,MATCH(O75,AA$11:AA$267,0))</f>
        <v>0</v>
      </c>
      <c r="AP75" s="408">
        <f ca="1">IF(OR(TYPE(U75)&gt;1,TYPE(MATCH(U75,I$11:I$267,0))&gt;1),0,MATCH(U75,I$11:I$267,0))+IF(OR(TYPE(U75)&gt;1,TYPE(MATCH(U75,O$11:O$267,0))&gt;1),0,MATCH(U75,O$11:O$267,0))+IF(OR(TYPE(U75)&gt;1,TYPE(MATCH(U75,U76:U$267,0))&gt;1),0,MATCH(U75,U76:U$267,0))+IF(OR(TYPE(U75)&gt;1,TYPE(MATCH(U75,AA$11:AA$267,0))&gt;1),0,MATCH(U75,AA$11:AA$267,0))</f>
        <v>0</v>
      </c>
      <c r="AQ75" s="408">
        <f ca="1">IF(OR(TYPE(AA75)&gt;1,TYPE(MATCH(AA75,I$11:I$267,0))&gt;1),0,MATCH(AA75,I$11:I$267,0))+IF(OR(TYPE(AA75)&gt;1,TYPE(MATCH(AA75,O$11:O$267,0))&gt;1),0,MATCH(AA75,O$11:O$267,0))+IF(OR(TYPE(AA75)&gt;1,TYPE(MATCH(AA75,U$11:U$267,0))&gt;1),0,MATCH(U75,U$11:U$267,0))+IF(OR(TYPE(AA75)&gt;1,TYPE(MATCH(AA75,AA76:AA$267,0))&gt;1),0,MATCH(AA75,AA76:AA$267,0))</f>
        <v>0</v>
      </c>
      <c r="AR75" s="408">
        <f t="shared" ca="1" si="14"/>
        <v>0</v>
      </c>
      <c r="BF75" s="408">
        <f t="shared" si="15"/>
        <v>65</v>
      </c>
    </row>
    <row r="76" spans="1:58" ht="14.25">
      <c r="A76" s="430">
        <f t="shared" ca="1" si="30"/>
        <v>1</v>
      </c>
      <c r="B76" s="430">
        <f t="shared" ca="1" si="31"/>
        <v>1</v>
      </c>
      <c r="C76" s="430">
        <f t="shared" ca="1" si="32"/>
        <v>22.954000000000001</v>
      </c>
      <c r="D76" s="430">
        <f t="shared" ca="1" si="33"/>
        <v>20051</v>
      </c>
      <c r="E76" s="430">
        <f t="shared" ca="1" si="34"/>
        <v>53</v>
      </c>
      <c r="F76" s="431" t="str">
        <f t="shared" ca="1" si="35"/>
        <v>91022954979948999946218766</v>
      </c>
      <c r="G76" s="467" t="b">
        <f t="shared" ca="1" si="36"/>
        <v>0</v>
      </c>
      <c r="H76" s="468">
        <f t="shared" si="37"/>
        <v>66</v>
      </c>
      <c r="I76" s="469">
        <f t="shared" ca="1" si="38"/>
        <v>11009</v>
      </c>
      <c r="J76" s="470" t="str">
        <f ca="1">IF(N(I76)&gt;0,VLOOKUP(I76,Hraci!$A$1:$I$1500,2,0),IF(TYPE(INDIRECT(ADDRESS(ROW() + $A$9-9 + (ROW()-11)*4,2,1,1,"Internet")))&gt;1,INDIRECT(ADDRESS(ROW() + $A$9-9 + (ROW()-11)*4,2,1,1,"Internet"))," "))</f>
        <v>Fereš</v>
      </c>
      <c r="K76" s="471" t="str">
        <f ca="1">IF(N(I76)&gt;0,VLOOKUP(I76,Hraci!$A$1:$I$1500,3,0)," ")</f>
        <v>Pavel</v>
      </c>
      <c r="L76" s="471" t="str">
        <f ca="1">IF(N(I76)&gt;0,VLOOKUP(I76,Hraci!$A$1:$I$1500,5,0),IF(TYPE(INDIRECT(ADDRESS(ROW() + $A$9-9 + (ROW()-11)*4,3,1,1,"Internet")))&gt;1,INDIRECT(ADDRESS(ROW() + $A$9-9 + (ROW()-11)*4,3,1,1,"Internet"))," "))</f>
        <v>PK 1293 Vojnův Městec</v>
      </c>
      <c r="M76" s="472">
        <f ca="1">IF(N(I76)=0,9999,VLOOKUP(I76,Hraci!$A$1:$I$1500,8,0))</f>
        <v>53</v>
      </c>
      <c r="N76" s="473">
        <f ca="1">IF(N(I76)=0,0,VLOOKUP(I76,Hraci!$A$1:$I$1500,9,0))</f>
        <v>22.954000000000001</v>
      </c>
      <c r="O76" s="469" t="str">
        <f t="shared" ca="1" si="39"/>
        <v/>
      </c>
      <c r="P76" s="470" t="str">
        <f ca="1">IF(N(O76)&gt;0,VLOOKUP(O76,Hraci!$A$1:$I$1500,2,0),IF(TYPE(INDIRECT(ADDRESS(ROW() + $A$9-8 + (ROW()-11)*4,2,1,1,"Internet")))&gt;1,INDIRECT(ADDRESS(ROW() + $A$9-8 + (ROW()-11)*4,2,1,1,"Internet"))," "))</f>
        <v xml:space="preserve"> </v>
      </c>
      <c r="Q76" s="471" t="str">
        <f ca="1">IF(N(O76)&gt;0,VLOOKUP(O76,Hraci!$A$1:$I$1500,3,0)," ")</f>
        <v xml:space="preserve"> </v>
      </c>
      <c r="R76" s="471" t="str">
        <f ca="1">IF(N(O76)&gt;0,VLOOKUP(O76,Hraci!$A$1:$I$1500,5,0),IF(TYPE(INDIRECT(ADDRESS(ROW() + $A$9-8 + (ROW()-11)*4,3,1,1,"Internet")))&gt;1,INDIRECT(ADDRESS(ROW() + $A$9-8 + (ROW()-11)*4,3,1,1,"Internet"))," "))</f>
        <v xml:space="preserve"> </v>
      </c>
      <c r="S76" s="472">
        <f ca="1">IF(N(O76)=0,9999,VLOOKUP(O76,Hraci!$A$1:$I$1500,8,0))</f>
        <v>9999</v>
      </c>
      <c r="T76" s="473">
        <f ca="1">IF(N(O76)=0,0,VLOOKUP(O76,Hraci!$A$1:$I$1500,9,0))</f>
        <v>0</v>
      </c>
      <c r="U76" s="469" t="str">
        <f t="shared" ca="1" si="40"/>
        <v/>
      </c>
      <c r="V76" s="470" t="str">
        <f ca="1">IF(N(U76)&gt;0,VLOOKUP(U76,Hraci!$A$1:$I$1500,2,0),IF(TYPE(INDIRECT(ADDRESS(ROW() + $A$9-7 + (ROW()-11)*4,2,1,1,"Internet")))&gt;1,INDIRECT(ADDRESS(ROW() + $A$9-7 + (ROW()-11)*4,2,1,1,"Internet"))," "))</f>
        <v xml:space="preserve"> </v>
      </c>
      <c r="W76" s="471" t="str">
        <f ca="1">IF(N(U76)&gt;0,VLOOKUP(U76,Hraci!$A$1:$I$1500,3,0)," ")</f>
        <v xml:space="preserve"> </v>
      </c>
      <c r="X76" s="471" t="str">
        <f ca="1">IF(N(U76)&gt;0,VLOOKUP(U76,Hraci!$A$1:$I$1500,5,0),IF(TYPE(INDIRECT(ADDRESS(ROW() + $A$9-7 + (ROW()-11)*4,3,1,1,"Internet")))&gt;1,INDIRECT(ADDRESS(ROW() + $A$9-7 + (ROW()-11)*4,3,1,1,"Internet"))," "))</f>
        <v xml:space="preserve"> </v>
      </c>
      <c r="Y76" s="472">
        <f ca="1">IF(N(U76)=0,9999,VLOOKUP(U76,Hraci!$A$1:$I$1500,8,0))</f>
        <v>9999</v>
      </c>
      <c r="Z76" s="473">
        <f ca="1">IF(N(U76)=0,0,VLOOKUP(U76,Hraci!$A$1:$I$1500,9,0))</f>
        <v>0</v>
      </c>
      <c r="AA76" s="469" t="str">
        <f t="shared" ca="1" si="41"/>
        <v/>
      </c>
      <c r="AB76" s="470" t="str">
        <f ca="1">IF(N(AA76)&gt;0,VLOOKUP(AA76,Hraci!$A$1:$I$1500,2,0)," ")</f>
        <v xml:space="preserve"> </v>
      </c>
      <c r="AC76" s="471" t="str">
        <f ca="1">IF(N(AA76)&gt;0,VLOOKUP(AA76,Hraci!$A$1:$I$1500,3,0)," ")</f>
        <v xml:space="preserve"> </v>
      </c>
      <c r="AD76" s="471" t="str">
        <f ca="1">IF(N(AA76)&gt;0,VLOOKUP(AA76,Hraci!$A$1:$I$1500,5,0)," ")</f>
        <v xml:space="preserve"> </v>
      </c>
      <c r="AE76" s="472">
        <f ca="1">IF(N(AA76)=0,9999,VLOOKUP(AA76,Hraci!$A$1:$I$1500,8,0))</f>
        <v>9999</v>
      </c>
      <c r="AF76" s="473">
        <f ca="1">IF(N(AA76)=0,0,VLOOKUP(AA76,Hraci!$A$1:$I$1500,9,0))</f>
        <v>0</v>
      </c>
      <c r="AG76" s="474"/>
      <c r="AH76" s="480">
        <v>2</v>
      </c>
      <c r="AI76" s="475">
        <f ca="1">IF(N($AH76)&gt;0,VLOOKUP($AH76,Body!$A$4:$F$259,5,0),"")</f>
        <v>509.23068749999999</v>
      </c>
      <c r="AJ76" s="476">
        <f ca="1">IF(N($AH76)&gt;0,VLOOKUP($AH76,Body!$A$4:$F$259,6,0),"")</f>
        <v>200</v>
      </c>
      <c r="AK76" s="475">
        <f ca="1">IF(N($AH76)&gt;0,VLOOKUP($AH76,Body!$A$4:$F$259,2,0),"")</f>
        <v>7</v>
      </c>
      <c r="AL76" s="477" t="str">
        <f t="shared" ca="1" si="42"/>
        <v>66 PK 1293 Vojnův Městec - Fereš Pavel</v>
      </c>
      <c r="AM76" s="478">
        <f t="shared" ca="1" si="43"/>
        <v>22.954000000000001</v>
      </c>
      <c r="AN76" s="408">
        <f ca="1">IF(OR(TYPE(I76)&gt;1,TYPE(MATCH(I76,I77:I$267,0))&gt;1),0,MATCH(I76,I77:I$267,0))+IF(OR(TYPE(I76)&gt;1,TYPE(MATCH(I76,O$11:O$267,0))&gt;1),0,MATCH(I76,O$11:O$267,0))+IF(OR(TYPE(I76)&gt;1,TYPE(MATCH(I76,U$11:U$267,0))&gt;1),0,MATCH(I76,U$11:U$267,0))+IF(OR(TYPE(I76)&gt;1,TYPE(MATCH(I76,AA$11:AA$267,0))&gt;1),0,MATCH(I76,AA$11:AA$267,0))</f>
        <v>0</v>
      </c>
      <c r="AO76" s="408">
        <f ca="1">IF(OR(TYPE(O76)&gt;1,TYPE(MATCH(O76,I$11:I$267,0))&gt;1),0,MATCH(O76,I$11:I$267,0))+IF(OR(TYPE(O76)&gt;1,TYPE(MATCH(O76,O77:O$267,0))&gt;1),0,MATCH(O76,O77:O$267,0))+IF(OR(TYPE(O76)&gt;1,TYPE(MATCH(O76,U$11:U$267,0))&gt;1),0,MATCH(O76,U$11:U$267,0))+IF(OR(TYPE(O76)&gt;1,TYPE(MATCH(O76,AA$11:AA$267,0))&gt;1),0,MATCH(O76,AA$11:AA$267,0))</f>
        <v>0</v>
      </c>
      <c r="AP76" s="408">
        <f ca="1">IF(OR(TYPE(U76)&gt;1,TYPE(MATCH(U76,I$11:I$267,0))&gt;1),0,MATCH(U76,I$11:I$267,0))+IF(OR(TYPE(U76)&gt;1,TYPE(MATCH(U76,O$11:O$267,0))&gt;1),0,MATCH(U76,O$11:O$267,0))+IF(OR(TYPE(U76)&gt;1,TYPE(MATCH(U76,U77:U$267,0))&gt;1),0,MATCH(U76,U77:U$267,0))+IF(OR(TYPE(U76)&gt;1,TYPE(MATCH(U76,AA$11:AA$267,0))&gt;1),0,MATCH(U76,AA$11:AA$267,0))</f>
        <v>0</v>
      </c>
      <c r="AQ76" s="408">
        <f ca="1">IF(OR(TYPE(AA76)&gt;1,TYPE(MATCH(AA76,I$11:I$267,0))&gt;1),0,MATCH(AA76,I$11:I$267,0))+IF(OR(TYPE(AA76)&gt;1,TYPE(MATCH(AA76,O$11:O$267,0))&gt;1),0,MATCH(AA76,O$11:O$267,0))+IF(OR(TYPE(AA76)&gt;1,TYPE(MATCH(AA76,U$11:U$267,0))&gt;1),0,MATCH(U76,U$11:U$267,0))+IF(OR(TYPE(AA76)&gt;1,TYPE(MATCH(AA76,AA77:AA$267,0))&gt;1),0,MATCH(AA76,AA77:AA$267,0))</f>
        <v>0</v>
      </c>
      <c r="AR76" s="408">
        <f t="shared" ref="AR76:AR139" ca="1" si="44">SUM(AN76:AQ76)</f>
        <v>0</v>
      </c>
      <c r="BF76" s="408">
        <f t="shared" ref="BF76:BF138" si="45">H76</f>
        <v>66</v>
      </c>
    </row>
    <row r="77" spans="1:58" ht="14.25">
      <c r="A77" s="430">
        <f t="shared" ca="1" si="30"/>
        <v>1</v>
      </c>
      <c r="B77" s="430">
        <f t="shared" ca="1" si="31"/>
        <v>1</v>
      </c>
      <c r="C77" s="430">
        <f t="shared" ca="1" si="32"/>
        <v>22.251000000000001</v>
      </c>
      <c r="D77" s="430">
        <f t="shared" ca="1" si="33"/>
        <v>20108</v>
      </c>
      <c r="E77" s="430">
        <f t="shared" ca="1" si="34"/>
        <v>110</v>
      </c>
      <c r="F77" s="431" t="str">
        <f t="shared" ca="1" si="35"/>
        <v>91022251979891999889790297</v>
      </c>
      <c r="G77" s="467" t="b">
        <f t="shared" ca="1" si="36"/>
        <v>0</v>
      </c>
      <c r="H77" s="468">
        <f t="shared" si="37"/>
        <v>67</v>
      </c>
      <c r="I77" s="469">
        <f t="shared" ca="1" si="38"/>
        <v>15068</v>
      </c>
      <c r="J77" s="470" t="str">
        <f ca="1">IF(N(I77)&gt;0,VLOOKUP(I77,Hraci!$A$1:$I$1500,2,0),IF(TYPE(INDIRECT(ADDRESS(ROW() + $A$9-9 + (ROW()-11)*4,2,1,1,"Internet")))&gt;1,INDIRECT(ADDRESS(ROW() + $A$9-9 + (ROW()-11)*4,2,1,1,"Internet"))," "))</f>
        <v>Žárský</v>
      </c>
      <c r="K77" s="471" t="str">
        <f ca="1">IF(N(I77)&gt;0,VLOOKUP(I77,Hraci!$A$1:$I$1500,3,0)," ")</f>
        <v>Kamil</v>
      </c>
      <c r="L77" s="471" t="str">
        <f ca="1">IF(N(I77)&gt;0,VLOOKUP(I77,Hraci!$A$1:$I$1500,5,0),IF(TYPE(INDIRECT(ADDRESS(ROW() + $A$9-9 + (ROW()-11)*4,3,1,1,"Internet")))&gt;1,INDIRECT(ADDRESS(ROW() + $A$9-9 + (ROW()-11)*4,3,1,1,"Internet"))," "))</f>
        <v>POP Praha</v>
      </c>
      <c r="M77" s="472">
        <f ca="1">IF(N(I77)=0,9999,VLOOKUP(I77,Hraci!$A$1:$I$1500,8,0))</f>
        <v>110</v>
      </c>
      <c r="N77" s="473">
        <f ca="1">IF(N(I77)=0,0,VLOOKUP(I77,Hraci!$A$1:$I$1500,9,0))</f>
        <v>22.251000000000001</v>
      </c>
      <c r="O77" s="469" t="str">
        <f t="shared" ca="1" si="39"/>
        <v/>
      </c>
      <c r="P77" s="470" t="str">
        <f ca="1">IF(N(O77)&gt;0,VLOOKUP(O77,Hraci!$A$1:$I$1500,2,0),IF(TYPE(INDIRECT(ADDRESS(ROW() + $A$9-8 + (ROW()-11)*4,2,1,1,"Internet")))&gt;1,INDIRECT(ADDRESS(ROW() + $A$9-8 + (ROW()-11)*4,2,1,1,"Internet"))," "))</f>
        <v xml:space="preserve"> </v>
      </c>
      <c r="Q77" s="471" t="str">
        <f ca="1">IF(N(O77)&gt;0,VLOOKUP(O77,Hraci!$A$1:$I$1500,3,0)," ")</f>
        <v xml:space="preserve"> </v>
      </c>
      <c r="R77" s="471" t="str">
        <f ca="1">IF(N(O77)&gt;0,VLOOKUP(O77,Hraci!$A$1:$I$1500,5,0),IF(TYPE(INDIRECT(ADDRESS(ROW() + $A$9-8 + (ROW()-11)*4,3,1,1,"Internet")))&gt;1,INDIRECT(ADDRESS(ROW() + $A$9-8 + (ROW()-11)*4,3,1,1,"Internet"))," "))</f>
        <v xml:space="preserve"> </v>
      </c>
      <c r="S77" s="472">
        <f ca="1">IF(N(O77)=0,9999,VLOOKUP(O77,Hraci!$A$1:$I$1500,8,0))</f>
        <v>9999</v>
      </c>
      <c r="T77" s="473">
        <f ca="1">IF(N(O77)=0,0,VLOOKUP(O77,Hraci!$A$1:$I$1500,9,0))</f>
        <v>0</v>
      </c>
      <c r="U77" s="469" t="str">
        <f t="shared" ca="1" si="40"/>
        <v/>
      </c>
      <c r="V77" s="470" t="str">
        <f ca="1">IF(N(U77)&gt;0,VLOOKUP(U77,Hraci!$A$1:$I$1500,2,0),IF(TYPE(INDIRECT(ADDRESS(ROW() + $A$9-7 + (ROW()-11)*4,2,1,1,"Internet")))&gt;1,INDIRECT(ADDRESS(ROW() + $A$9-7 + (ROW()-11)*4,2,1,1,"Internet"))," "))</f>
        <v xml:space="preserve"> </v>
      </c>
      <c r="W77" s="471" t="str">
        <f ca="1">IF(N(U77)&gt;0,VLOOKUP(U77,Hraci!$A$1:$I$1500,3,0)," ")</f>
        <v xml:space="preserve"> </v>
      </c>
      <c r="X77" s="471" t="str">
        <f ca="1">IF(N(U77)&gt;0,VLOOKUP(U77,Hraci!$A$1:$I$1500,5,0),IF(TYPE(INDIRECT(ADDRESS(ROW() + $A$9-7 + (ROW()-11)*4,3,1,1,"Internet")))&gt;1,INDIRECT(ADDRESS(ROW() + $A$9-7 + (ROW()-11)*4,3,1,1,"Internet"))," "))</f>
        <v xml:space="preserve"> </v>
      </c>
      <c r="Y77" s="472">
        <f ca="1">IF(N(U77)=0,9999,VLOOKUP(U77,Hraci!$A$1:$I$1500,8,0))</f>
        <v>9999</v>
      </c>
      <c r="Z77" s="473">
        <f ca="1">IF(N(U77)=0,0,VLOOKUP(U77,Hraci!$A$1:$I$1500,9,0))</f>
        <v>0</v>
      </c>
      <c r="AA77" s="469" t="str">
        <f t="shared" ca="1" si="41"/>
        <v/>
      </c>
      <c r="AB77" s="470" t="str">
        <f ca="1">IF(N(AA77)&gt;0,VLOOKUP(AA77,Hraci!$A$1:$I$1500,2,0)," ")</f>
        <v xml:space="preserve"> </v>
      </c>
      <c r="AC77" s="471" t="str">
        <f ca="1">IF(N(AA77)&gt;0,VLOOKUP(AA77,Hraci!$A$1:$I$1500,3,0)," ")</f>
        <v xml:space="preserve"> </v>
      </c>
      <c r="AD77" s="471" t="str">
        <f ca="1">IF(N(AA77)&gt;0,VLOOKUP(AA77,Hraci!$A$1:$I$1500,5,0)," ")</f>
        <v xml:space="preserve"> </v>
      </c>
      <c r="AE77" s="472">
        <f ca="1">IF(N(AA77)=0,9999,VLOOKUP(AA77,Hraci!$A$1:$I$1500,8,0))</f>
        <v>9999</v>
      </c>
      <c r="AF77" s="473">
        <f ca="1">IF(N(AA77)=0,0,VLOOKUP(AA77,Hraci!$A$1:$I$1500,9,0))</f>
        <v>0</v>
      </c>
      <c r="AG77" s="474"/>
      <c r="AH77" s="480">
        <v>64</v>
      </c>
      <c r="AI77" s="475">
        <f ca="1">IF(N($AH77)&gt;0,VLOOKUP($AH77,Body!$A$4:$F$259,5,0),"")</f>
        <v>288.35162500000001</v>
      </c>
      <c r="AJ77" s="476">
        <f ca="1">IF(N($AH77)&gt;0,VLOOKUP($AH77,Body!$A$4:$F$259,6,0),"")</f>
        <v>200</v>
      </c>
      <c r="AK77" s="475">
        <f ca="1">IF(N($AH77)&gt;0,VLOOKUP($AH77,Body!$A$4:$F$259,2,0),"")</f>
        <v>2</v>
      </c>
      <c r="AL77" s="477" t="str">
        <f t="shared" ca="1" si="42"/>
        <v>67 POP Praha - Žárský Kamil</v>
      </c>
      <c r="AM77" s="478">
        <f t="shared" ca="1" si="43"/>
        <v>22.251000000000001</v>
      </c>
      <c r="AN77" s="408">
        <f ca="1">IF(OR(TYPE(I77)&gt;1,TYPE(MATCH(I77,I78:I$267,0))&gt;1),0,MATCH(I77,I78:I$267,0))+IF(OR(TYPE(I77)&gt;1,TYPE(MATCH(I77,O$11:O$267,0))&gt;1),0,MATCH(I77,O$11:O$267,0))+IF(OR(TYPE(I77)&gt;1,TYPE(MATCH(I77,U$11:U$267,0))&gt;1),0,MATCH(I77,U$11:U$267,0))+IF(OR(TYPE(I77)&gt;1,TYPE(MATCH(I77,AA$11:AA$267,0))&gt;1),0,MATCH(I77,AA$11:AA$267,0))</f>
        <v>0</v>
      </c>
      <c r="AO77" s="408">
        <f ca="1">IF(OR(TYPE(O77)&gt;1,TYPE(MATCH(O77,I$11:I$267,0))&gt;1),0,MATCH(O77,I$11:I$267,0))+IF(OR(TYPE(O77)&gt;1,TYPE(MATCH(O77,O78:O$267,0))&gt;1),0,MATCH(O77,O78:O$267,0))+IF(OR(TYPE(O77)&gt;1,TYPE(MATCH(O77,U$11:U$267,0))&gt;1),0,MATCH(O77,U$11:U$267,0))+IF(OR(TYPE(O77)&gt;1,TYPE(MATCH(O77,AA$11:AA$267,0))&gt;1),0,MATCH(O77,AA$11:AA$267,0))</f>
        <v>0</v>
      </c>
      <c r="AP77" s="408">
        <f ca="1">IF(OR(TYPE(U77)&gt;1,TYPE(MATCH(U77,I$11:I$267,0))&gt;1),0,MATCH(U77,I$11:I$267,0))+IF(OR(TYPE(U77)&gt;1,TYPE(MATCH(U77,O$11:O$267,0))&gt;1),0,MATCH(U77,O$11:O$267,0))+IF(OR(TYPE(U77)&gt;1,TYPE(MATCH(U77,U78:U$267,0))&gt;1),0,MATCH(U77,U78:U$267,0))+IF(OR(TYPE(U77)&gt;1,TYPE(MATCH(U77,AA$11:AA$267,0))&gt;1),0,MATCH(U77,AA$11:AA$267,0))</f>
        <v>0</v>
      </c>
      <c r="AQ77" s="408">
        <f ca="1">IF(OR(TYPE(AA77)&gt;1,TYPE(MATCH(AA77,I$11:I$267,0))&gt;1),0,MATCH(AA77,I$11:I$267,0))+IF(OR(TYPE(AA77)&gt;1,TYPE(MATCH(AA77,O$11:O$267,0))&gt;1),0,MATCH(AA77,O$11:O$267,0))+IF(OR(TYPE(AA77)&gt;1,TYPE(MATCH(AA77,U$11:U$267,0))&gt;1),0,MATCH(U77,U$11:U$267,0))+IF(OR(TYPE(AA77)&gt;1,TYPE(MATCH(AA77,AA78:AA$267,0))&gt;1),0,MATCH(AA77,AA78:AA$267,0))</f>
        <v>0</v>
      </c>
      <c r="AR77" s="408">
        <f t="shared" ca="1" si="44"/>
        <v>0</v>
      </c>
      <c r="BF77" s="408">
        <f t="shared" si="45"/>
        <v>67</v>
      </c>
    </row>
    <row r="78" spans="1:58" ht="14.25">
      <c r="A78" s="430">
        <f t="shared" ca="1" si="30"/>
        <v>1</v>
      </c>
      <c r="B78" s="430">
        <f t="shared" ca="1" si="31"/>
        <v>1</v>
      </c>
      <c r="C78" s="430">
        <f t="shared" ca="1" si="32"/>
        <v>22.189</v>
      </c>
      <c r="D78" s="472">
        <f t="shared" ca="1" si="33"/>
        <v>20088</v>
      </c>
      <c r="E78" s="430">
        <f t="shared" ca="1" si="34"/>
        <v>90</v>
      </c>
      <c r="F78" s="431" t="str">
        <f t="shared" ca="1" si="35"/>
        <v>91022189979911999909046556</v>
      </c>
      <c r="G78" s="467" t="b">
        <f t="shared" ca="1" si="36"/>
        <v>0</v>
      </c>
      <c r="H78" s="468">
        <f t="shared" si="37"/>
        <v>68</v>
      </c>
      <c r="I78" s="469">
        <f t="shared" ca="1" si="38"/>
        <v>13007</v>
      </c>
      <c r="J78" s="470" t="str">
        <f ca="1">IF(N(I78)&gt;0,VLOOKUP(I78,Hraci!$A$1:$I$1500,2,0),IF(TYPE(INDIRECT(ADDRESS(ROW() + $A$9-9 + (ROW()-11)*4,2,1,1,"Internet")))&gt;1,INDIRECT(ADDRESS(ROW() + $A$9-9 + (ROW()-11)*4,2,1,1,"Internet"))," "))</f>
        <v>Burešová</v>
      </c>
      <c r="K78" s="471" t="str">
        <f ca="1">IF(N(I78)&gt;0,VLOOKUP(I78,Hraci!$A$1:$I$1500,3,0)," ")</f>
        <v>Jana</v>
      </c>
      <c r="L78" s="471" t="str">
        <f ca="1">IF(N(I78)&gt;0,VLOOKUP(I78,Hraci!$A$1:$I$1500,5,0),IF(TYPE(INDIRECT(ADDRESS(ROW() + $A$9-9 + (ROW()-11)*4,3,1,1,"Internet")))&gt;1,INDIRECT(ADDRESS(ROW() + $A$9-9 + (ROW()-11)*4,3,1,1,"Internet"))," "))</f>
        <v>HAPEK</v>
      </c>
      <c r="M78" s="472">
        <f ca="1">IF(N(I78)=0,9999,VLOOKUP(I78,Hraci!$A$1:$I$1500,8,0))</f>
        <v>90</v>
      </c>
      <c r="N78" s="473">
        <f ca="1">IF(N(I78)=0,0,VLOOKUP(I78,Hraci!$A$1:$I$1500,9,0))</f>
        <v>22.189</v>
      </c>
      <c r="O78" s="469" t="str">
        <f t="shared" ca="1" si="39"/>
        <v/>
      </c>
      <c r="P78" s="470" t="str">
        <f ca="1">IF(N(O78)&gt;0,VLOOKUP(O78,Hraci!$A$1:$I$1500,2,0),IF(TYPE(INDIRECT(ADDRESS(ROW() + $A$9-8 + (ROW()-11)*4,2,1,1,"Internet")))&gt;1,INDIRECT(ADDRESS(ROW() + $A$9-8 + (ROW()-11)*4,2,1,1,"Internet"))," "))</f>
        <v xml:space="preserve"> </v>
      </c>
      <c r="Q78" s="471" t="str">
        <f ca="1">IF(N(O78)&gt;0,VLOOKUP(O78,Hraci!$A$1:$I$1500,3,0)," ")</f>
        <v xml:space="preserve"> </v>
      </c>
      <c r="R78" s="471" t="str">
        <f ca="1">IF(N(O78)&gt;0,VLOOKUP(O78,Hraci!$A$1:$I$1500,5,0),IF(TYPE(INDIRECT(ADDRESS(ROW() + $A$9-8 + (ROW()-11)*4,3,1,1,"Internet")))&gt;1,INDIRECT(ADDRESS(ROW() + $A$9-8 + (ROW()-11)*4,3,1,1,"Internet"))," "))</f>
        <v xml:space="preserve"> </v>
      </c>
      <c r="S78" s="472">
        <f ca="1">IF(N(O78)=0,9999,VLOOKUP(O78,Hraci!$A$1:$I$1500,8,0))</f>
        <v>9999</v>
      </c>
      <c r="T78" s="473">
        <f ca="1">IF(N(O78)=0,0,VLOOKUP(O78,Hraci!$A$1:$I$1500,9,0))</f>
        <v>0</v>
      </c>
      <c r="U78" s="469" t="str">
        <f t="shared" ca="1" si="40"/>
        <v/>
      </c>
      <c r="V78" s="470" t="str">
        <f ca="1">IF(N(U78)&gt;0,VLOOKUP(U78,Hraci!$A$1:$I$1500,2,0),IF(TYPE(INDIRECT(ADDRESS(ROW() + $A$9-7 + (ROW()-11)*4,2,1,1,"Internet")))&gt;1,INDIRECT(ADDRESS(ROW() + $A$9-7 + (ROW()-11)*4,2,1,1,"Internet"))," "))</f>
        <v xml:space="preserve"> </v>
      </c>
      <c r="W78" s="471" t="str">
        <f ca="1">IF(N(U78)&gt;0,VLOOKUP(U78,Hraci!$A$1:$I$1500,3,0)," ")</f>
        <v xml:space="preserve"> </v>
      </c>
      <c r="X78" s="471" t="str">
        <f ca="1">IF(N(U78)&gt;0,VLOOKUP(U78,Hraci!$A$1:$I$1500,5,0),IF(TYPE(INDIRECT(ADDRESS(ROW() + $A$9-7 + (ROW()-11)*4,3,1,1,"Internet")))&gt;1,INDIRECT(ADDRESS(ROW() + $A$9-7 + (ROW()-11)*4,3,1,1,"Internet"))," "))</f>
        <v xml:space="preserve"> </v>
      </c>
      <c r="Y78" s="472">
        <f ca="1">IF(N(U78)=0,9999,VLOOKUP(U78,Hraci!$A$1:$I$1500,8,0))</f>
        <v>9999</v>
      </c>
      <c r="Z78" s="473">
        <f ca="1">IF(N(U78)=0,0,VLOOKUP(U78,Hraci!$A$1:$I$1500,9,0))</f>
        <v>0</v>
      </c>
      <c r="AA78" s="469" t="str">
        <f t="shared" ca="1" si="41"/>
        <v/>
      </c>
      <c r="AB78" s="470" t="str">
        <f ca="1">IF(N(AA78)&gt;0,VLOOKUP(AA78,Hraci!$A$1:$I$1500,2,0)," ")</f>
        <v xml:space="preserve"> </v>
      </c>
      <c r="AC78" s="471" t="str">
        <f ca="1">IF(N(AA78)&gt;0,VLOOKUP(AA78,Hraci!$A$1:$I$1500,3,0)," ")</f>
        <v xml:space="preserve"> </v>
      </c>
      <c r="AD78" s="471" t="str">
        <f ca="1">IF(N(AA78)&gt;0,VLOOKUP(AA78,Hraci!$A$1:$I$1500,5,0)," ")</f>
        <v xml:space="preserve"> </v>
      </c>
      <c r="AE78" s="472">
        <f ca="1">IF(N(AA78)=0,9999,VLOOKUP(AA78,Hraci!$A$1:$I$1500,8,0))</f>
        <v>9999</v>
      </c>
      <c r="AF78" s="473">
        <f ca="1">IF(N(AA78)=0,0,VLOOKUP(AA78,Hraci!$A$1:$I$1500,9,0))</f>
        <v>0</v>
      </c>
      <c r="AG78" s="474"/>
      <c r="AH78" s="480">
        <v>129</v>
      </c>
      <c r="AI78" s="475">
        <f ca="1">IF(N($AH78)&gt;0,VLOOKUP($AH78,Body!$A$4:$F$259,5,0),"")</f>
        <v>553.40650000000005</v>
      </c>
      <c r="AJ78" s="476">
        <f ca="1">IF(N($AH78)&gt;0,VLOOKUP($AH78,Body!$A$4:$F$259,6,0),"")</f>
        <v>200</v>
      </c>
      <c r="AK78" s="475">
        <f ca="1">IF(N($AH78)&gt;0,VLOOKUP($AH78,Body!$A$4:$F$259,2,0),"")</f>
        <v>8</v>
      </c>
      <c r="AL78" s="477" t="str">
        <f t="shared" ca="1" si="42"/>
        <v>68 HAPEK - Burešová Jana</v>
      </c>
      <c r="AM78" s="478">
        <f t="shared" ca="1" si="43"/>
        <v>22.189</v>
      </c>
      <c r="AN78" s="408">
        <f ca="1">IF(OR(TYPE(I78)&gt;1,TYPE(MATCH(I78,I79:I$267,0))&gt;1),0,MATCH(I78,I79:I$267,0))+IF(OR(TYPE(I78)&gt;1,TYPE(MATCH(I78,O$11:O$267,0))&gt;1),0,MATCH(I78,O$11:O$267,0))+IF(OR(TYPE(I78)&gt;1,TYPE(MATCH(I78,U$11:U$267,0))&gt;1),0,MATCH(I78,U$11:U$267,0))+IF(OR(TYPE(I78)&gt;1,TYPE(MATCH(I78,AA$11:AA$267,0))&gt;1),0,MATCH(I78,AA$11:AA$267,0))</f>
        <v>0</v>
      </c>
      <c r="AO78" s="408">
        <f ca="1">IF(OR(TYPE(O78)&gt;1,TYPE(MATCH(O78,I$11:I$267,0))&gt;1),0,MATCH(O78,I$11:I$267,0))+IF(OR(TYPE(O78)&gt;1,TYPE(MATCH(O78,O79:O$267,0))&gt;1),0,MATCH(O78,O79:O$267,0))+IF(OR(TYPE(O78)&gt;1,TYPE(MATCH(O78,U$11:U$267,0))&gt;1),0,MATCH(O78,U$11:U$267,0))+IF(OR(TYPE(O78)&gt;1,TYPE(MATCH(O78,AA$11:AA$267,0))&gt;1),0,MATCH(O78,AA$11:AA$267,0))</f>
        <v>0</v>
      </c>
      <c r="AP78" s="408">
        <f ca="1">IF(OR(TYPE(U78)&gt;1,TYPE(MATCH(U78,I$11:I$267,0))&gt;1),0,MATCH(U78,I$11:I$267,0))+IF(OR(TYPE(U78)&gt;1,TYPE(MATCH(U78,O$11:O$267,0))&gt;1),0,MATCH(U78,O$11:O$267,0))+IF(OR(TYPE(U78)&gt;1,TYPE(MATCH(U78,U79:U$267,0))&gt;1),0,MATCH(U78,U79:U$267,0))+IF(OR(TYPE(U78)&gt;1,TYPE(MATCH(U78,AA$11:AA$267,0))&gt;1),0,MATCH(U78,AA$11:AA$267,0))</f>
        <v>0</v>
      </c>
      <c r="AQ78" s="408">
        <f ca="1">IF(OR(TYPE(AA78)&gt;1,TYPE(MATCH(AA78,I$11:I$267,0))&gt;1),0,MATCH(AA78,I$11:I$267,0))+IF(OR(TYPE(AA78)&gt;1,TYPE(MATCH(AA78,O$11:O$267,0))&gt;1),0,MATCH(AA78,O$11:O$267,0))+IF(OR(TYPE(AA78)&gt;1,TYPE(MATCH(AA78,U$11:U$267,0))&gt;1),0,MATCH(U78,U$11:U$267,0))+IF(OR(TYPE(AA78)&gt;1,TYPE(MATCH(AA78,AA79:AA$267,0))&gt;1),0,MATCH(AA78,AA79:AA$267,0))</f>
        <v>0</v>
      </c>
      <c r="AR78" s="408">
        <f t="shared" ca="1" si="44"/>
        <v>0</v>
      </c>
      <c r="BF78" s="408">
        <f t="shared" si="45"/>
        <v>68</v>
      </c>
    </row>
    <row r="79" spans="1:58" ht="14.25">
      <c r="A79" s="430">
        <f t="shared" ca="1" si="30"/>
        <v>1</v>
      </c>
      <c r="B79" s="430">
        <f t="shared" ca="1" si="31"/>
        <v>1</v>
      </c>
      <c r="C79" s="430">
        <f t="shared" ca="1" si="32"/>
        <v>22.125</v>
      </c>
      <c r="D79" s="430">
        <f t="shared" ca="1" si="33"/>
        <v>20117</v>
      </c>
      <c r="E79" s="430">
        <f t="shared" ca="1" si="34"/>
        <v>119</v>
      </c>
      <c r="F79" s="431" t="str">
        <f t="shared" ca="1" si="35"/>
        <v>91022125979882999880938213</v>
      </c>
      <c r="G79" s="467" t="b">
        <f t="shared" ca="1" si="36"/>
        <v>0</v>
      </c>
      <c r="H79" s="468">
        <f t="shared" si="37"/>
        <v>69</v>
      </c>
      <c r="I79" s="469">
        <f t="shared" ca="1" si="38"/>
        <v>17086</v>
      </c>
      <c r="J79" s="470" t="str">
        <f ca="1">IF(N(I79)&gt;0,VLOOKUP(I79,Hraci!$A$1:$I$1500,2,0),IF(TYPE(INDIRECT(ADDRESS(ROW() + $A$9-9 + (ROW()-11)*4,2,1,1,"Internet")))&gt;1,INDIRECT(ADDRESS(ROW() + $A$9-9 + (ROW()-11)*4,2,1,1,"Internet"))," "))</f>
        <v>Radechovský</v>
      </c>
      <c r="K79" s="471" t="str">
        <f ca="1">IF(N(I79)&gt;0,VLOOKUP(I79,Hraci!$A$1:$I$1500,3,0)," ")</f>
        <v>Milan</v>
      </c>
      <c r="L79" s="471" t="str">
        <f ca="1">IF(N(I79)&gt;0,VLOOKUP(I79,Hraci!$A$1:$I$1500,5,0),IF(TYPE(INDIRECT(ADDRESS(ROW() + $A$9-9 + (ROW()-11)*4,3,1,1,"Internet")))&gt;1,INDIRECT(ADDRESS(ROW() + $A$9-9 + (ROW()-11)*4,3,1,1,"Internet"))," "))</f>
        <v>PC Mimo Done</v>
      </c>
      <c r="M79" s="472">
        <f ca="1">IF(N(I79)=0,9999,VLOOKUP(I79,Hraci!$A$1:$I$1500,8,0))</f>
        <v>119</v>
      </c>
      <c r="N79" s="473">
        <f ca="1">IF(N(I79)=0,0,VLOOKUP(I79,Hraci!$A$1:$I$1500,9,0))</f>
        <v>22.125</v>
      </c>
      <c r="O79" s="469" t="str">
        <f t="shared" ca="1" si="39"/>
        <v/>
      </c>
      <c r="P79" s="470" t="str">
        <f ca="1">IF(N(O79)&gt;0,VLOOKUP(O79,Hraci!$A$1:$I$1500,2,0),IF(TYPE(INDIRECT(ADDRESS(ROW() + $A$9-8 + (ROW()-11)*4,2,1,1,"Internet")))&gt;1,INDIRECT(ADDRESS(ROW() + $A$9-8 + (ROW()-11)*4,2,1,1,"Internet"))," "))</f>
        <v xml:space="preserve"> </v>
      </c>
      <c r="Q79" s="471" t="str">
        <f ca="1">IF(N(O79)&gt;0,VLOOKUP(O79,Hraci!$A$1:$I$1500,3,0)," ")</f>
        <v xml:space="preserve"> </v>
      </c>
      <c r="R79" s="471" t="str">
        <f ca="1">IF(N(O79)&gt;0,VLOOKUP(O79,Hraci!$A$1:$I$1500,5,0),IF(TYPE(INDIRECT(ADDRESS(ROW() + $A$9-8 + (ROW()-11)*4,3,1,1,"Internet")))&gt;1,INDIRECT(ADDRESS(ROW() + $A$9-8 + (ROW()-11)*4,3,1,1,"Internet"))," "))</f>
        <v xml:space="preserve"> </v>
      </c>
      <c r="S79" s="472">
        <f ca="1">IF(N(O79)=0,9999,VLOOKUP(O79,Hraci!$A$1:$I$1500,8,0))</f>
        <v>9999</v>
      </c>
      <c r="T79" s="473">
        <f ca="1">IF(N(O79)=0,0,VLOOKUP(O79,Hraci!$A$1:$I$1500,9,0))</f>
        <v>0</v>
      </c>
      <c r="U79" s="469" t="str">
        <f t="shared" ca="1" si="40"/>
        <v/>
      </c>
      <c r="V79" s="470" t="str">
        <f ca="1">IF(N(U79)&gt;0,VLOOKUP(U79,Hraci!$A$1:$I$1500,2,0),IF(TYPE(INDIRECT(ADDRESS(ROW() + $A$9-7 + (ROW()-11)*4,2,1,1,"Internet")))&gt;1,INDIRECT(ADDRESS(ROW() + $A$9-7 + (ROW()-11)*4,2,1,1,"Internet"))," "))</f>
        <v xml:space="preserve"> </v>
      </c>
      <c r="W79" s="471" t="str">
        <f ca="1">IF(N(U79)&gt;0,VLOOKUP(U79,Hraci!$A$1:$I$1500,3,0)," ")</f>
        <v xml:space="preserve"> </v>
      </c>
      <c r="X79" s="471" t="str">
        <f ca="1">IF(N(U79)&gt;0,VLOOKUP(U79,Hraci!$A$1:$I$1500,5,0),IF(TYPE(INDIRECT(ADDRESS(ROW() + $A$9-7 + (ROW()-11)*4,3,1,1,"Internet")))&gt;1,INDIRECT(ADDRESS(ROW() + $A$9-7 + (ROW()-11)*4,3,1,1,"Internet"))," "))</f>
        <v xml:space="preserve"> </v>
      </c>
      <c r="Y79" s="472">
        <f ca="1">IF(N(U79)=0,9999,VLOOKUP(U79,Hraci!$A$1:$I$1500,8,0))</f>
        <v>9999</v>
      </c>
      <c r="Z79" s="473">
        <f ca="1">IF(N(U79)=0,0,VLOOKUP(U79,Hraci!$A$1:$I$1500,9,0))</f>
        <v>0</v>
      </c>
      <c r="AA79" s="469" t="str">
        <f t="shared" ca="1" si="41"/>
        <v/>
      </c>
      <c r="AB79" s="470" t="str">
        <f ca="1">IF(N(AA79)&gt;0,VLOOKUP(AA79,Hraci!$A$1:$I$1500,2,0)," ")</f>
        <v xml:space="preserve"> </v>
      </c>
      <c r="AC79" s="471" t="str">
        <f ca="1">IF(N(AA79)&gt;0,VLOOKUP(AA79,Hraci!$A$1:$I$1500,3,0)," ")</f>
        <v xml:space="preserve"> </v>
      </c>
      <c r="AD79" s="471" t="str">
        <f ca="1">IF(N(AA79)&gt;0,VLOOKUP(AA79,Hraci!$A$1:$I$1500,5,0)," ")</f>
        <v xml:space="preserve"> </v>
      </c>
      <c r="AE79" s="472">
        <f ca="1">IF(N(AA79)=0,9999,VLOOKUP(AA79,Hraci!$A$1:$I$1500,8,0))</f>
        <v>9999</v>
      </c>
      <c r="AF79" s="473">
        <f ca="1">IF(N(AA79)=0,0,VLOOKUP(AA79,Hraci!$A$1:$I$1500,9,0))</f>
        <v>0</v>
      </c>
      <c r="AG79" s="474"/>
      <c r="AH79" s="480">
        <v>129</v>
      </c>
      <c r="AI79" s="475">
        <f ca="1">IF(N($AH79)&gt;0,VLOOKUP($AH79,Body!$A$4:$F$259,5,0),"")</f>
        <v>553.40650000000005</v>
      </c>
      <c r="AJ79" s="476">
        <f ca="1">IF(N($AH79)&gt;0,VLOOKUP($AH79,Body!$A$4:$F$259,6,0),"")</f>
        <v>200</v>
      </c>
      <c r="AK79" s="475">
        <f ca="1">IF(N($AH79)&gt;0,VLOOKUP($AH79,Body!$A$4:$F$259,2,0),"")</f>
        <v>8</v>
      </c>
      <c r="AL79" s="477" t="str">
        <f t="shared" ca="1" si="42"/>
        <v>69 PC Mimo Done - Radechovský Milan</v>
      </c>
      <c r="AM79" s="478">
        <f t="shared" ca="1" si="43"/>
        <v>22.125</v>
      </c>
      <c r="AN79" s="408">
        <f ca="1">IF(OR(TYPE(I79)&gt;1,TYPE(MATCH(I79,I80:I$267,0))&gt;1),0,MATCH(I79,I80:I$267,0))+IF(OR(TYPE(I79)&gt;1,TYPE(MATCH(I79,O$11:O$267,0))&gt;1),0,MATCH(I79,O$11:O$267,0))+IF(OR(TYPE(I79)&gt;1,TYPE(MATCH(I79,U$11:U$267,0))&gt;1),0,MATCH(I79,U$11:U$267,0))+IF(OR(TYPE(I79)&gt;1,TYPE(MATCH(I79,AA$11:AA$267,0))&gt;1),0,MATCH(I79,AA$11:AA$267,0))</f>
        <v>0</v>
      </c>
      <c r="AO79" s="408">
        <f ca="1">IF(OR(TYPE(O79)&gt;1,TYPE(MATCH(O79,I$11:I$267,0))&gt;1),0,MATCH(O79,I$11:I$267,0))+IF(OR(TYPE(O79)&gt;1,TYPE(MATCH(O79,O80:O$267,0))&gt;1),0,MATCH(O79,O80:O$267,0))+IF(OR(TYPE(O79)&gt;1,TYPE(MATCH(O79,U$11:U$267,0))&gt;1),0,MATCH(O79,U$11:U$267,0))+IF(OR(TYPE(O79)&gt;1,TYPE(MATCH(O79,AA$11:AA$267,0))&gt;1),0,MATCH(O79,AA$11:AA$267,0))</f>
        <v>0</v>
      </c>
      <c r="AP79" s="408">
        <f ca="1">IF(OR(TYPE(U79)&gt;1,TYPE(MATCH(U79,I$11:I$267,0))&gt;1),0,MATCH(U79,I$11:I$267,0))+IF(OR(TYPE(U79)&gt;1,TYPE(MATCH(U79,O$11:O$267,0))&gt;1),0,MATCH(U79,O$11:O$267,0))+IF(OR(TYPE(U79)&gt;1,TYPE(MATCH(U79,U80:U$267,0))&gt;1),0,MATCH(U79,U80:U$267,0))+IF(OR(TYPE(U79)&gt;1,TYPE(MATCH(U79,AA$11:AA$267,0))&gt;1),0,MATCH(U79,AA$11:AA$267,0))</f>
        <v>0</v>
      </c>
      <c r="AQ79" s="408">
        <f ca="1">IF(OR(TYPE(AA79)&gt;1,TYPE(MATCH(AA79,I$11:I$267,0))&gt;1),0,MATCH(AA79,I$11:I$267,0))+IF(OR(TYPE(AA79)&gt;1,TYPE(MATCH(AA79,O$11:O$267,0))&gt;1),0,MATCH(AA79,O$11:O$267,0))+IF(OR(TYPE(AA79)&gt;1,TYPE(MATCH(AA79,U$11:U$267,0))&gt;1),0,MATCH(U79,U$11:U$267,0))+IF(OR(TYPE(AA79)&gt;1,TYPE(MATCH(AA79,AA80:AA$267,0))&gt;1),0,MATCH(AA79,AA80:AA$267,0))</f>
        <v>0</v>
      </c>
      <c r="AR79" s="408">
        <f t="shared" ca="1" si="44"/>
        <v>0</v>
      </c>
      <c r="BF79" s="408">
        <f t="shared" si="45"/>
        <v>69</v>
      </c>
    </row>
    <row r="80" spans="1:58" ht="14.25">
      <c r="A80" s="430">
        <f t="shared" ca="1" si="30"/>
        <v>1</v>
      </c>
      <c r="B80" s="430">
        <f t="shared" ca="1" si="31"/>
        <v>1</v>
      </c>
      <c r="C80" s="430">
        <f t="shared" ca="1" si="32"/>
        <v>22.032</v>
      </c>
      <c r="D80" s="430">
        <f t="shared" ca="1" si="33"/>
        <v>20119</v>
      </c>
      <c r="E80" s="430">
        <f t="shared" ca="1" si="34"/>
        <v>121</v>
      </c>
      <c r="F80" s="431" t="str">
        <f t="shared" ca="1" si="35"/>
        <v>91022032979880999878746234</v>
      </c>
      <c r="G80" s="467" t="b">
        <f t="shared" ca="1" si="36"/>
        <v>0</v>
      </c>
      <c r="H80" s="468">
        <f t="shared" si="37"/>
        <v>70</v>
      </c>
      <c r="I80" s="469">
        <f t="shared" ca="1" si="38"/>
        <v>18136</v>
      </c>
      <c r="J80" s="470" t="str">
        <f ca="1">IF(N(I80)&gt;0,VLOOKUP(I80,Hraci!$A$1:$I$1500,2,0),IF(TYPE(INDIRECT(ADDRESS(ROW() + $A$9-9 + (ROW()-11)*4,2,1,1,"Internet")))&gt;1,INDIRECT(ADDRESS(ROW() + $A$9-9 + (ROW()-11)*4,2,1,1,"Internet"))," "))</f>
        <v>Hanák</v>
      </c>
      <c r="K80" s="471" t="str">
        <f ca="1">IF(N(I80)&gt;0,VLOOKUP(I80,Hraci!$A$1:$I$1500,3,0)," ")</f>
        <v>Pavel</v>
      </c>
      <c r="L80" s="471" t="str">
        <f ca="1">IF(N(I80)&gt;0,VLOOKUP(I80,Hraci!$A$1:$I$1500,5,0),IF(TYPE(INDIRECT(ADDRESS(ROW() + $A$9-9 + (ROW()-11)*4,3,1,1,"Internet")))&gt;1,INDIRECT(ADDRESS(ROW() + $A$9-9 + (ROW()-11)*4,3,1,1,"Internet"))," "))</f>
        <v>Orel Řečkovice</v>
      </c>
      <c r="M80" s="472">
        <f ca="1">IF(N(I80)=0,9999,VLOOKUP(I80,Hraci!$A$1:$I$1500,8,0))</f>
        <v>121</v>
      </c>
      <c r="N80" s="473">
        <f ca="1">IF(N(I80)=0,0,VLOOKUP(I80,Hraci!$A$1:$I$1500,9,0))</f>
        <v>22.032</v>
      </c>
      <c r="O80" s="469" t="str">
        <f t="shared" ca="1" si="39"/>
        <v/>
      </c>
      <c r="P80" s="470" t="str">
        <f ca="1">IF(N(O80)&gt;0,VLOOKUP(O80,Hraci!$A$1:$I$1500,2,0),IF(TYPE(INDIRECT(ADDRESS(ROW() + $A$9-8 + (ROW()-11)*4,2,1,1,"Internet")))&gt;1,INDIRECT(ADDRESS(ROW() + $A$9-8 + (ROW()-11)*4,2,1,1,"Internet"))," "))</f>
        <v xml:space="preserve"> </v>
      </c>
      <c r="Q80" s="471" t="str">
        <f ca="1">IF(N(O80)&gt;0,VLOOKUP(O80,Hraci!$A$1:$I$1500,3,0)," ")</f>
        <v xml:space="preserve"> </v>
      </c>
      <c r="R80" s="471" t="str">
        <f ca="1">IF(N(O80)&gt;0,VLOOKUP(O80,Hraci!$A$1:$I$1500,5,0),IF(TYPE(INDIRECT(ADDRESS(ROW() + $A$9-8 + (ROW()-11)*4,3,1,1,"Internet")))&gt;1,INDIRECT(ADDRESS(ROW() + $A$9-8 + (ROW()-11)*4,3,1,1,"Internet"))," "))</f>
        <v xml:space="preserve"> </v>
      </c>
      <c r="S80" s="472">
        <f ca="1">IF(N(O80)=0,9999,VLOOKUP(O80,Hraci!$A$1:$I$1500,8,0))</f>
        <v>9999</v>
      </c>
      <c r="T80" s="473">
        <f ca="1">IF(N(O80)=0,0,VLOOKUP(O80,Hraci!$A$1:$I$1500,9,0))</f>
        <v>0</v>
      </c>
      <c r="U80" s="469" t="str">
        <f t="shared" ca="1" si="40"/>
        <v/>
      </c>
      <c r="V80" s="470" t="str">
        <f ca="1">IF(N(U80)&gt;0,VLOOKUP(U80,Hraci!$A$1:$I$1500,2,0),IF(TYPE(INDIRECT(ADDRESS(ROW() + $A$9-7 + (ROW()-11)*4,2,1,1,"Internet")))&gt;1,INDIRECT(ADDRESS(ROW() + $A$9-7 + (ROW()-11)*4,2,1,1,"Internet"))," "))</f>
        <v xml:space="preserve"> </v>
      </c>
      <c r="W80" s="471" t="str">
        <f ca="1">IF(N(U80)&gt;0,VLOOKUP(U80,Hraci!$A$1:$I$1500,3,0)," ")</f>
        <v xml:space="preserve"> </v>
      </c>
      <c r="X80" s="471" t="str">
        <f ca="1">IF(N(U80)&gt;0,VLOOKUP(U80,Hraci!$A$1:$I$1500,5,0),IF(TYPE(INDIRECT(ADDRESS(ROW() + $A$9-7 + (ROW()-11)*4,3,1,1,"Internet")))&gt;1,INDIRECT(ADDRESS(ROW() + $A$9-7 + (ROW()-11)*4,3,1,1,"Internet"))," "))</f>
        <v xml:space="preserve"> </v>
      </c>
      <c r="Y80" s="472">
        <f ca="1">IF(N(U80)=0,9999,VLOOKUP(U80,Hraci!$A$1:$I$1500,8,0))</f>
        <v>9999</v>
      </c>
      <c r="Z80" s="473">
        <f ca="1">IF(N(U80)=0,0,VLOOKUP(U80,Hraci!$A$1:$I$1500,9,0))</f>
        <v>0</v>
      </c>
      <c r="AA80" s="469" t="str">
        <f t="shared" ca="1" si="41"/>
        <v/>
      </c>
      <c r="AB80" s="470" t="str">
        <f ca="1">IF(N(AA80)&gt;0,VLOOKUP(AA80,Hraci!$A$1:$I$1500,2,0)," ")</f>
        <v xml:space="preserve"> </v>
      </c>
      <c r="AC80" s="471" t="str">
        <f ca="1">IF(N(AA80)&gt;0,VLOOKUP(AA80,Hraci!$A$1:$I$1500,3,0)," ")</f>
        <v xml:space="preserve"> </v>
      </c>
      <c r="AD80" s="471" t="str">
        <f ca="1">IF(N(AA80)&gt;0,VLOOKUP(AA80,Hraci!$A$1:$I$1500,5,0)," ")</f>
        <v xml:space="preserve"> </v>
      </c>
      <c r="AE80" s="472">
        <f ca="1">IF(N(AA80)=0,9999,VLOOKUP(AA80,Hraci!$A$1:$I$1500,8,0))</f>
        <v>9999</v>
      </c>
      <c r="AF80" s="473">
        <f ca="1">IF(N(AA80)=0,0,VLOOKUP(AA80,Hraci!$A$1:$I$1500,9,0))</f>
        <v>0</v>
      </c>
      <c r="AG80" s="474"/>
      <c r="AH80" s="480">
        <v>32</v>
      </c>
      <c r="AI80" s="475">
        <f ca="1">IF(N($AH80)&gt;0,VLOOKUP($AH80,Body!$A$4:$F$259,5,0),"")</f>
        <v>332.52743750000002</v>
      </c>
      <c r="AJ80" s="476">
        <f ca="1">IF(N($AH80)&gt;0,VLOOKUP($AH80,Body!$A$4:$F$259,6,0),"")</f>
        <v>200</v>
      </c>
      <c r="AK80" s="475">
        <f ca="1">IF(N($AH80)&gt;0,VLOOKUP($AH80,Body!$A$4:$F$259,2,0),"")</f>
        <v>3</v>
      </c>
      <c r="AL80" s="477" t="str">
        <f t="shared" ca="1" si="42"/>
        <v>70 Orel Řečkovice - Hanák Pavel</v>
      </c>
      <c r="AM80" s="478">
        <f t="shared" ca="1" si="43"/>
        <v>22.032</v>
      </c>
      <c r="AN80" s="408">
        <f ca="1">IF(OR(TYPE(I80)&gt;1,TYPE(MATCH(I80,I81:I$267,0))&gt;1),0,MATCH(I80,I81:I$267,0))+IF(OR(TYPE(I80)&gt;1,TYPE(MATCH(I80,O$11:O$267,0))&gt;1),0,MATCH(I80,O$11:O$267,0))+IF(OR(TYPE(I80)&gt;1,TYPE(MATCH(I80,U$11:U$267,0))&gt;1),0,MATCH(I80,U$11:U$267,0))+IF(OR(TYPE(I80)&gt;1,TYPE(MATCH(I80,AA$11:AA$267,0))&gt;1),0,MATCH(I80,AA$11:AA$267,0))</f>
        <v>0</v>
      </c>
      <c r="AO80" s="408">
        <f ca="1">IF(OR(TYPE(O80)&gt;1,TYPE(MATCH(O80,I$11:I$267,0))&gt;1),0,MATCH(O80,I$11:I$267,0))+IF(OR(TYPE(O80)&gt;1,TYPE(MATCH(O80,O81:O$267,0))&gt;1),0,MATCH(O80,O81:O$267,0))+IF(OR(TYPE(O80)&gt;1,TYPE(MATCH(O80,U$11:U$267,0))&gt;1),0,MATCH(O80,U$11:U$267,0))+IF(OR(TYPE(O80)&gt;1,TYPE(MATCH(O80,AA$11:AA$267,0))&gt;1),0,MATCH(O80,AA$11:AA$267,0))</f>
        <v>0</v>
      </c>
      <c r="AP80" s="408">
        <f ca="1">IF(OR(TYPE(U80)&gt;1,TYPE(MATCH(U80,I$11:I$267,0))&gt;1),0,MATCH(U80,I$11:I$267,0))+IF(OR(TYPE(U80)&gt;1,TYPE(MATCH(U80,O$11:O$267,0))&gt;1),0,MATCH(U80,O$11:O$267,0))+IF(OR(TYPE(U80)&gt;1,TYPE(MATCH(U80,U81:U$267,0))&gt;1),0,MATCH(U80,U81:U$267,0))+IF(OR(TYPE(U80)&gt;1,TYPE(MATCH(U80,AA$11:AA$267,0))&gt;1),0,MATCH(U80,AA$11:AA$267,0))</f>
        <v>0</v>
      </c>
      <c r="AQ80" s="408">
        <f ca="1">IF(OR(TYPE(AA80)&gt;1,TYPE(MATCH(AA80,I$11:I$267,0))&gt;1),0,MATCH(AA80,I$11:I$267,0))+IF(OR(TYPE(AA80)&gt;1,TYPE(MATCH(AA80,O$11:O$267,0))&gt;1),0,MATCH(AA80,O$11:O$267,0))+IF(OR(TYPE(AA80)&gt;1,TYPE(MATCH(AA80,U$11:U$267,0))&gt;1),0,MATCH(U80,U$11:U$267,0))+IF(OR(TYPE(AA80)&gt;1,TYPE(MATCH(AA80,AA81:AA$267,0))&gt;1),0,MATCH(AA80,AA81:AA$267,0))</f>
        <v>0</v>
      </c>
      <c r="AR80" s="408">
        <f t="shared" ca="1" si="44"/>
        <v>0</v>
      </c>
      <c r="BF80" s="408">
        <f t="shared" si="45"/>
        <v>70</v>
      </c>
    </row>
    <row r="81" spans="1:58" ht="14.25">
      <c r="A81" s="430">
        <f t="shared" ca="1" si="30"/>
        <v>1</v>
      </c>
      <c r="B81" s="430">
        <f t="shared" ca="1" si="31"/>
        <v>1</v>
      </c>
      <c r="C81" s="430">
        <f t="shared" ca="1" si="32"/>
        <v>22.001999999999999</v>
      </c>
      <c r="D81" s="430">
        <f t="shared" ca="1" si="33"/>
        <v>20101</v>
      </c>
      <c r="E81" s="430">
        <f t="shared" ca="1" si="34"/>
        <v>103</v>
      </c>
      <c r="F81" s="431" t="str">
        <f t="shared" ca="1" si="35"/>
        <v>91022002979898999896907174</v>
      </c>
      <c r="G81" s="467" t="b">
        <f t="shared" ca="1" si="36"/>
        <v>0</v>
      </c>
      <c r="H81" s="468">
        <f t="shared" si="37"/>
        <v>71</v>
      </c>
      <c r="I81" s="469">
        <f t="shared" ca="1" si="38"/>
        <v>18058</v>
      </c>
      <c r="J81" s="470" t="str">
        <f ca="1">IF(N(I81)&gt;0,VLOOKUP(I81,Hraci!$A$1:$I$1500,2,0),IF(TYPE(INDIRECT(ADDRESS(ROW() + $A$9-9 + (ROW()-11)*4,2,1,1,"Internet")))&gt;1,INDIRECT(ADDRESS(ROW() + $A$9-9 + (ROW()-11)*4,2,1,1,"Internet"))," "))</f>
        <v>Hulec</v>
      </c>
      <c r="K81" s="471" t="str">
        <f ca="1">IF(N(I81)&gt;0,VLOOKUP(I81,Hraci!$A$1:$I$1500,3,0)," ")</f>
        <v>Zdeněk</v>
      </c>
      <c r="L81" s="471" t="str">
        <f ca="1">IF(N(I81)&gt;0,VLOOKUP(I81,Hraci!$A$1:$I$1500,5,0),IF(TYPE(INDIRECT(ADDRESS(ROW() + $A$9-9 + (ROW()-11)*4,3,1,1,"Internet")))&gt;1,INDIRECT(ADDRESS(ROW() + $A$9-9 + (ROW()-11)*4,3,1,1,"Internet"))," "))</f>
        <v>Bowle 09 Klatovy</v>
      </c>
      <c r="M81" s="472">
        <f ca="1">IF(N(I81)=0,9999,VLOOKUP(I81,Hraci!$A$1:$I$1500,8,0))</f>
        <v>103</v>
      </c>
      <c r="N81" s="473">
        <f ca="1">IF(N(I81)=0,0,VLOOKUP(I81,Hraci!$A$1:$I$1500,9,0))</f>
        <v>22.001999999999999</v>
      </c>
      <c r="O81" s="469" t="str">
        <f t="shared" ca="1" si="39"/>
        <v/>
      </c>
      <c r="P81" s="470" t="str">
        <f ca="1">IF(N(O81)&gt;0,VLOOKUP(O81,Hraci!$A$1:$I$1500,2,0),IF(TYPE(INDIRECT(ADDRESS(ROW() + $A$9-8 + (ROW()-11)*4,2,1,1,"Internet")))&gt;1,INDIRECT(ADDRESS(ROW() + $A$9-8 + (ROW()-11)*4,2,1,1,"Internet"))," "))</f>
        <v xml:space="preserve"> </v>
      </c>
      <c r="Q81" s="471" t="str">
        <f ca="1">IF(N(O81)&gt;0,VLOOKUP(O81,Hraci!$A$1:$I$1500,3,0)," ")</f>
        <v xml:space="preserve"> </v>
      </c>
      <c r="R81" s="471" t="str">
        <f ca="1">IF(N(O81)&gt;0,VLOOKUP(O81,Hraci!$A$1:$I$1500,5,0),IF(TYPE(INDIRECT(ADDRESS(ROW() + $A$9-8 + (ROW()-11)*4,3,1,1,"Internet")))&gt;1,INDIRECT(ADDRESS(ROW() + $A$9-8 + (ROW()-11)*4,3,1,1,"Internet"))," "))</f>
        <v xml:space="preserve"> </v>
      </c>
      <c r="S81" s="472">
        <f ca="1">IF(N(O81)=0,9999,VLOOKUP(O81,Hraci!$A$1:$I$1500,8,0))</f>
        <v>9999</v>
      </c>
      <c r="T81" s="473">
        <f ca="1">IF(N(O81)=0,0,VLOOKUP(O81,Hraci!$A$1:$I$1500,9,0))</f>
        <v>0</v>
      </c>
      <c r="U81" s="469" t="str">
        <f t="shared" ca="1" si="40"/>
        <v/>
      </c>
      <c r="V81" s="470" t="str">
        <f ca="1">IF(N(U81)&gt;0,VLOOKUP(U81,Hraci!$A$1:$I$1500,2,0),IF(TYPE(INDIRECT(ADDRESS(ROW() + $A$9-7 + (ROW()-11)*4,2,1,1,"Internet")))&gt;1,INDIRECT(ADDRESS(ROW() + $A$9-7 + (ROW()-11)*4,2,1,1,"Internet"))," "))</f>
        <v xml:space="preserve"> </v>
      </c>
      <c r="W81" s="471" t="str">
        <f ca="1">IF(N(U81)&gt;0,VLOOKUP(U81,Hraci!$A$1:$I$1500,3,0)," ")</f>
        <v xml:space="preserve"> </v>
      </c>
      <c r="X81" s="471" t="str">
        <f ca="1">IF(N(U81)&gt;0,VLOOKUP(U81,Hraci!$A$1:$I$1500,5,0),IF(TYPE(INDIRECT(ADDRESS(ROW() + $A$9-7 + (ROW()-11)*4,3,1,1,"Internet")))&gt;1,INDIRECT(ADDRESS(ROW() + $A$9-7 + (ROW()-11)*4,3,1,1,"Internet"))," "))</f>
        <v xml:space="preserve"> </v>
      </c>
      <c r="Y81" s="472">
        <f ca="1">IF(N(U81)=0,9999,VLOOKUP(U81,Hraci!$A$1:$I$1500,8,0))</f>
        <v>9999</v>
      </c>
      <c r="Z81" s="473">
        <f ca="1">IF(N(U81)=0,0,VLOOKUP(U81,Hraci!$A$1:$I$1500,9,0))</f>
        <v>0</v>
      </c>
      <c r="AA81" s="469" t="str">
        <f t="shared" ca="1" si="41"/>
        <v/>
      </c>
      <c r="AB81" s="470" t="str">
        <f ca="1">IF(N(AA81)&gt;0,VLOOKUP(AA81,Hraci!$A$1:$I$1500,2,0)," ")</f>
        <v xml:space="preserve"> </v>
      </c>
      <c r="AC81" s="471" t="str">
        <f ca="1">IF(N(AA81)&gt;0,VLOOKUP(AA81,Hraci!$A$1:$I$1500,3,0)," ")</f>
        <v xml:space="preserve"> </v>
      </c>
      <c r="AD81" s="471" t="str">
        <f ca="1">IF(N(AA81)&gt;0,VLOOKUP(AA81,Hraci!$A$1:$I$1500,5,0)," ")</f>
        <v xml:space="preserve"> </v>
      </c>
      <c r="AE81" s="472">
        <f ca="1">IF(N(AA81)=0,9999,VLOOKUP(AA81,Hraci!$A$1:$I$1500,8,0))</f>
        <v>9999</v>
      </c>
      <c r="AF81" s="473">
        <f ca="1">IF(N(AA81)=0,0,VLOOKUP(AA81,Hraci!$A$1:$I$1500,9,0))</f>
        <v>0</v>
      </c>
      <c r="AG81" s="474"/>
      <c r="AH81" s="480">
        <f ca="1">IF(TYPE(VLOOKUP(H81,Nasazení!$A$3:$E$258,5,0))&lt;4,VLOOKUP(H81,Nasazení!$A$3:$E$258,5,0),0)</f>
        <v>64</v>
      </c>
      <c r="AI81" s="475">
        <f ca="1">IF(N($AH81)&gt;0,VLOOKUP($AH81,Body!$A$4:$F$259,5,0),"")</f>
        <v>288.35162500000001</v>
      </c>
      <c r="AJ81" s="476">
        <f ca="1">IF(N($AH81)&gt;0,VLOOKUP($AH81,Body!$A$4:$F$259,6,0),"")</f>
        <v>200</v>
      </c>
      <c r="AK81" s="475">
        <f ca="1">IF(N($AH81)&gt;0,VLOOKUP($AH81,Body!$A$4:$F$259,2,0),"")</f>
        <v>2</v>
      </c>
      <c r="AL81" s="477" t="str">
        <f t="shared" ca="1" si="42"/>
        <v>71 Bowle 09 Klatovy - Hulec Zdeněk</v>
      </c>
      <c r="AM81" s="478">
        <f t="shared" ca="1" si="43"/>
        <v>22.001999999999999</v>
      </c>
      <c r="AN81" s="408">
        <f ca="1">IF(OR(TYPE(I81)&gt;1,TYPE(MATCH(I81,I82:I$267,0))&gt;1),0,MATCH(I81,I82:I$267,0))+IF(OR(TYPE(I81)&gt;1,TYPE(MATCH(I81,O$11:O$267,0))&gt;1),0,MATCH(I81,O$11:O$267,0))+IF(OR(TYPE(I81)&gt;1,TYPE(MATCH(I81,U$11:U$267,0))&gt;1),0,MATCH(I81,U$11:U$267,0))+IF(OR(TYPE(I81)&gt;1,TYPE(MATCH(I81,AA$11:AA$267,0))&gt;1),0,MATCH(I81,AA$11:AA$267,0))</f>
        <v>0</v>
      </c>
      <c r="AO81" s="408">
        <f ca="1">IF(OR(TYPE(O81)&gt;1,TYPE(MATCH(O81,I$11:I$267,0))&gt;1),0,MATCH(O81,I$11:I$267,0))+IF(OR(TYPE(O81)&gt;1,TYPE(MATCH(O81,O82:O$267,0))&gt;1),0,MATCH(O81,O82:O$267,0))+IF(OR(TYPE(O81)&gt;1,TYPE(MATCH(O81,U$11:U$267,0))&gt;1),0,MATCH(O81,U$11:U$267,0))+IF(OR(TYPE(O81)&gt;1,TYPE(MATCH(O81,AA$11:AA$267,0))&gt;1),0,MATCH(O81,AA$11:AA$267,0))</f>
        <v>0</v>
      </c>
      <c r="AP81" s="408">
        <f ca="1">IF(OR(TYPE(U81)&gt;1,TYPE(MATCH(U81,I$11:I$267,0))&gt;1),0,MATCH(U81,I$11:I$267,0))+IF(OR(TYPE(U81)&gt;1,TYPE(MATCH(U81,O$11:O$267,0))&gt;1),0,MATCH(U81,O$11:O$267,0))+IF(OR(TYPE(U81)&gt;1,TYPE(MATCH(U81,U82:U$267,0))&gt;1),0,MATCH(U81,U82:U$267,0))+IF(OR(TYPE(U81)&gt;1,TYPE(MATCH(U81,AA$11:AA$267,0))&gt;1),0,MATCH(U81,AA$11:AA$267,0))</f>
        <v>0</v>
      </c>
      <c r="AQ81" s="408">
        <f ca="1">IF(OR(TYPE(AA81)&gt;1,TYPE(MATCH(AA81,I$11:I$267,0))&gt;1),0,MATCH(AA81,I$11:I$267,0))+IF(OR(TYPE(AA81)&gt;1,TYPE(MATCH(AA81,O$11:O$267,0))&gt;1),0,MATCH(AA81,O$11:O$267,0))+IF(OR(TYPE(AA81)&gt;1,TYPE(MATCH(AA81,U$11:U$267,0))&gt;1),0,MATCH(U81,U$11:U$267,0))+IF(OR(TYPE(AA81)&gt;1,TYPE(MATCH(AA81,AA82:AA$267,0))&gt;1),0,MATCH(AA81,AA82:AA$267,0))</f>
        <v>0</v>
      </c>
      <c r="AR81" s="408">
        <f t="shared" ca="1" si="44"/>
        <v>0</v>
      </c>
      <c r="BF81" s="408">
        <f t="shared" si="45"/>
        <v>71</v>
      </c>
    </row>
    <row r="82" spans="1:58" ht="14.25">
      <c r="A82" s="430">
        <f t="shared" ca="1" si="30"/>
        <v>1</v>
      </c>
      <c r="B82" s="430">
        <f t="shared" ca="1" si="31"/>
        <v>1</v>
      </c>
      <c r="C82" s="430">
        <f t="shared" ca="1" si="32"/>
        <v>21.69</v>
      </c>
      <c r="D82" s="430">
        <f t="shared" ca="1" si="33"/>
        <v>20096</v>
      </c>
      <c r="E82" s="430">
        <f t="shared" ca="1" si="34"/>
        <v>98</v>
      </c>
      <c r="F82" s="431" t="str">
        <f t="shared" ca="1" si="35"/>
        <v>91021690979903999901714128</v>
      </c>
      <c r="G82" s="467" t="b">
        <f t="shared" ca="1" si="36"/>
        <v>0</v>
      </c>
      <c r="H82" s="468">
        <f t="shared" si="37"/>
        <v>72</v>
      </c>
      <c r="I82" s="469">
        <f t="shared" ca="1" si="38"/>
        <v>10048</v>
      </c>
      <c r="J82" s="470" t="str">
        <f ca="1">IF(N(I82)&gt;0,VLOOKUP(I82,Hraci!$A$1:$I$1500,2,0),IF(TYPE(INDIRECT(ADDRESS(ROW() + $A$9-9 + (ROW()-11)*4,2,1,1,"Internet")))&gt;1,INDIRECT(ADDRESS(ROW() + $A$9-9 + (ROW()-11)*4,2,1,1,"Internet"))," "))</f>
        <v>Valík</v>
      </c>
      <c r="K82" s="471" t="str">
        <f ca="1">IF(N(I82)&gt;0,VLOOKUP(I82,Hraci!$A$1:$I$1500,3,0)," ")</f>
        <v>Václav</v>
      </c>
      <c r="L82" s="471" t="str">
        <f ca="1">IF(N(I82)&gt;0,VLOOKUP(I82,Hraci!$A$1:$I$1500,5,0),IF(TYPE(INDIRECT(ADDRESS(ROW() + $A$9-9 + (ROW()-11)*4,3,1,1,"Internet")))&gt;1,INDIRECT(ADDRESS(ROW() + $A$9-9 + (ROW()-11)*4,3,1,1,"Internet"))," "))</f>
        <v>PAK Albrechtice</v>
      </c>
      <c r="M82" s="472">
        <f ca="1">IF(N(I82)=0,9999,VLOOKUP(I82,Hraci!$A$1:$I$1500,8,0))</f>
        <v>98</v>
      </c>
      <c r="N82" s="473">
        <f ca="1">IF(N(I82)=0,0,VLOOKUP(I82,Hraci!$A$1:$I$1500,9,0))</f>
        <v>21.69</v>
      </c>
      <c r="O82" s="469" t="str">
        <f t="shared" ca="1" si="39"/>
        <v/>
      </c>
      <c r="P82" s="470" t="str">
        <f ca="1">IF(N(O82)&gt;0,VLOOKUP(O82,Hraci!$A$1:$I$1500,2,0),IF(TYPE(INDIRECT(ADDRESS(ROW() + $A$9-8 + (ROW()-11)*4,2,1,1,"Internet")))&gt;1,INDIRECT(ADDRESS(ROW() + $A$9-8 + (ROW()-11)*4,2,1,1,"Internet"))," "))</f>
        <v xml:space="preserve"> </v>
      </c>
      <c r="Q82" s="471" t="str">
        <f ca="1">IF(N(O82)&gt;0,VLOOKUP(O82,Hraci!$A$1:$I$1500,3,0)," ")</f>
        <v xml:space="preserve"> </v>
      </c>
      <c r="R82" s="471" t="str">
        <f ca="1">IF(N(O82)&gt;0,VLOOKUP(O82,Hraci!$A$1:$I$1500,5,0),IF(TYPE(INDIRECT(ADDRESS(ROW() + $A$9-8 + (ROW()-11)*4,3,1,1,"Internet")))&gt;1,INDIRECT(ADDRESS(ROW() + $A$9-8 + (ROW()-11)*4,3,1,1,"Internet"))," "))</f>
        <v xml:space="preserve"> </v>
      </c>
      <c r="S82" s="472">
        <f ca="1">IF(N(O82)=0,9999,VLOOKUP(O82,Hraci!$A$1:$I$1500,8,0))</f>
        <v>9999</v>
      </c>
      <c r="T82" s="473">
        <f ca="1">IF(N(O82)=0,0,VLOOKUP(O82,Hraci!$A$1:$I$1500,9,0))</f>
        <v>0</v>
      </c>
      <c r="U82" s="469" t="str">
        <f t="shared" ca="1" si="40"/>
        <v/>
      </c>
      <c r="V82" s="470" t="str">
        <f ca="1">IF(N(U82)&gt;0,VLOOKUP(U82,Hraci!$A$1:$I$1500,2,0),IF(TYPE(INDIRECT(ADDRESS(ROW() + $A$9-7 + (ROW()-11)*4,2,1,1,"Internet")))&gt;1,INDIRECT(ADDRESS(ROW() + $A$9-7 + (ROW()-11)*4,2,1,1,"Internet"))," "))</f>
        <v xml:space="preserve"> </v>
      </c>
      <c r="W82" s="471" t="str">
        <f ca="1">IF(N(U82)&gt;0,VLOOKUP(U82,Hraci!$A$1:$I$1500,3,0)," ")</f>
        <v xml:space="preserve"> </v>
      </c>
      <c r="X82" s="471" t="str">
        <f ca="1">IF(N(U82)&gt;0,VLOOKUP(U82,Hraci!$A$1:$I$1500,5,0),IF(TYPE(INDIRECT(ADDRESS(ROW() + $A$9-7 + (ROW()-11)*4,3,1,1,"Internet")))&gt;1,INDIRECT(ADDRESS(ROW() + $A$9-7 + (ROW()-11)*4,3,1,1,"Internet"))," "))</f>
        <v xml:space="preserve"> </v>
      </c>
      <c r="Y82" s="472">
        <f ca="1">IF(N(U82)=0,9999,VLOOKUP(U82,Hraci!$A$1:$I$1500,8,0))</f>
        <v>9999</v>
      </c>
      <c r="Z82" s="473">
        <f ca="1">IF(N(U82)=0,0,VLOOKUP(U82,Hraci!$A$1:$I$1500,9,0))</f>
        <v>0</v>
      </c>
      <c r="AA82" s="469" t="str">
        <f t="shared" ca="1" si="41"/>
        <v/>
      </c>
      <c r="AB82" s="470" t="str">
        <f ca="1">IF(N(AA82)&gt;0,VLOOKUP(AA82,Hraci!$A$1:$I$1500,2,0)," ")</f>
        <v xml:space="preserve"> </v>
      </c>
      <c r="AC82" s="471" t="str">
        <f ca="1">IF(N(AA82)&gt;0,VLOOKUP(AA82,Hraci!$A$1:$I$1500,3,0)," ")</f>
        <v xml:space="preserve"> </v>
      </c>
      <c r="AD82" s="471" t="str">
        <f ca="1">IF(N(AA82)&gt;0,VLOOKUP(AA82,Hraci!$A$1:$I$1500,5,0)," ")</f>
        <v xml:space="preserve"> </v>
      </c>
      <c r="AE82" s="472">
        <f ca="1">IF(N(AA82)=0,9999,VLOOKUP(AA82,Hraci!$A$1:$I$1500,8,0))</f>
        <v>9999</v>
      </c>
      <c r="AF82" s="473">
        <f ca="1">IF(N(AA82)=0,0,VLOOKUP(AA82,Hraci!$A$1:$I$1500,9,0))</f>
        <v>0</v>
      </c>
      <c r="AG82" s="474"/>
      <c r="AH82" s="480">
        <v>86</v>
      </c>
      <c r="AI82" s="475">
        <f ca="1">IF(N($AH82)&gt;0,VLOOKUP($AH82,Body!$A$4:$F$259,5,0),"")</f>
        <v>553.40650000000005</v>
      </c>
      <c r="AJ82" s="476">
        <f ca="1">IF(N($AH82)&gt;0,VLOOKUP($AH82,Body!$A$4:$F$259,6,0),"")</f>
        <v>200</v>
      </c>
      <c r="AK82" s="475">
        <f ca="1">IF(N($AH82)&gt;0,VLOOKUP($AH82,Body!$A$4:$F$259,2,0),"")</f>
        <v>8</v>
      </c>
      <c r="AL82" s="477" t="str">
        <f t="shared" ca="1" si="42"/>
        <v>72 PAK Albrechtice - Valík Václav</v>
      </c>
      <c r="AM82" s="478">
        <f t="shared" ca="1" si="43"/>
        <v>21.69</v>
      </c>
      <c r="AN82" s="408">
        <f ca="1">IF(OR(TYPE(I82)&gt;1,TYPE(MATCH(I82,I83:I$267,0))&gt;1),0,MATCH(I82,I83:I$267,0))+IF(OR(TYPE(I82)&gt;1,TYPE(MATCH(I82,O$11:O$267,0))&gt;1),0,MATCH(I82,O$11:O$267,0))+IF(OR(TYPE(I82)&gt;1,TYPE(MATCH(I82,U$11:U$267,0))&gt;1),0,MATCH(I82,U$11:U$267,0))+IF(OR(TYPE(I82)&gt;1,TYPE(MATCH(I82,AA$11:AA$267,0))&gt;1),0,MATCH(I82,AA$11:AA$267,0))</f>
        <v>0</v>
      </c>
      <c r="AO82" s="408">
        <f ca="1">IF(OR(TYPE(O82)&gt;1,TYPE(MATCH(O82,I$11:I$267,0))&gt;1),0,MATCH(O82,I$11:I$267,0))+IF(OR(TYPE(O82)&gt;1,TYPE(MATCH(O82,O83:O$267,0))&gt;1),0,MATCH(O82,O83:O$267,0))+IF(OR(TYPE(O82)&gt;1,TYPE(MATCH(O82,U$11:U$267,0))&gt;1),0,MATCH(O82,U$11:U$267,0))+IF(OR(TYPE(O82)&gt;1,TYPE(MATCH(O82,AA$11:AA$267,0))&gt;1),0,MATCH(O82,AA$11:AA$267,0))</f>
        <v>0</v>
      </c>
      <c r="AP82" s="408">
        <f ca="1">IF(OR(TYPE(U82)&gt;1,TYPE(MATCH(U82,I$11:I$267,0))&gt;1),0,MATCH(U82,I$11:I$267,0))+IF(OR(TYPE(U82)&gt;1,TYPE(MATCH(U82,O$11:O$267,0))&gt;1),0,MATCH(U82,O$11:O$267,0))+IF(OR(TYPE(U82)&gt;1,TYPE(MATCH(U82,U83:U$267,0))&gt;1),0,MATCH(U82,U83:U$267,0))+IF(OR(TYPE(U82)&gt;1,TYPE(MATCH(U82,AA$11:AA$267,0))&gt;1),0,MATCH(U82,AA$11:AA$267,0))</f>
        <v>0</v>
      </c>
      <c r="AQ82" s="408">
        <f ca="1">IF(OR(TYPE(AA82)&gt;1,TYPE(MATCH(AA82,I$11:I$267,0))&gt;1),0,MATCH(AA82,I$11:I$267,0))+IF(OR(TYPE(AA82)&gt;1,TYPE(MATCH(AA82,O$11:O$267,0))&gt;1),0,MATCH(AA82,O$11:O$267,0))+IF(OR(TYPE(AA82)&gt;1,TYPE(MATCH(AA82,U$11:U$267,0))&gt;1),0,MATCH(U82,U$11:U$267,0))+IF(OR(TYPE(AA82)&gt;1,TYPE(MATCH(AA82,AA83:AA$267,0))&gt;1),0,MATCH(AA82,AA83:AA$267,0))</f>
        <v>0</v>
      </c>
      <c r="AR82" s="408">
        <f t="shared" ca="1" si="44"/>
        <v>0</v>
      </c>
      <c r="BF82" s="408">
        <f t="shared" si="45"/>
        <v>72</v>
      </c>
    </row>
    <row r="83" spans="1:58" ht="14.25">
      <c r="A83" s="430">
        <f t="shared" ca="1" si="30"/>
        <v>1</v>
      </c>
      <c r="B83" s="430">
        <f t="shared" ca="1" si="31"/>
        <v>1</v>
      </c>
      <c r="C83" s="430">
        <f t="shared" ca="1" si="32"/>
        <v>21.501999999999999</v>
      </c>
      <c r="D83" s="430">
        <f t="shared" ca="1" si="33"/>
        <v>20092</v>
      </c>
      <c r="E83" s="430">
        <f t="shared" ca="1" si="34"/>
        <v>94</v>
      </c>
      <c r="F83" s="431" t="str">
        <f t="shared" ca="1" si="35"/>
        <v>91021502979907999905578830</v>
      </c>
      <c r="G83" s="467" t="b">
        <f t="shared" ca="1" si="36"/>
        <v>0</v>
      </c>
      <c r="H83" s="468">
        <f t="shared" si="37"/>
        <v>73</v>
      </c>
      <c r="I83" s="469">
        <f t="shared" ca="1" si="38"/>
        <v>16109</v>
      </c>
      <c r="J83" s="470" t="str">
        <f ca="1">IF(N(I83)&gt;0,VLOOKUP(I83,Hraci!$A$1:$I$1500,2,0),IF(TYPE(INDIRECT(ADDRESS(ROW() + $A$9-9 + (ROW()-11)*4,2,1,1,"Internet")))&gt;1,INDIRECT(ADDRESS(ROW() + $A$9-9 + (ROW()-11)*4,2,1,1,"Internet"))," "))</f>
        <v>Sjögren</v>
      </c>
      <c r="K83" s="471" t="str">
        <f ca="1">IF(N(I83)&gt;0,VLOOKUP(I83,Hraci!$A$1:$I$1500,3,0)," ")</f>
        <v>Magda</v>
      </c>
      <c r="L83" s="471" t="str">
        <f ca="1">IF(N(I83)&gt;0,VLOOKUP(I83,Hraci!$A$1:$I$1500,5,0),IF(TYPE(INDIRECT(ADDRESS(ROW() + $A$9-9 + (ROW()-11)*4,3,1,1,"Internet")))&gt;1,INDIRECT(ADDRESS(ROW() + $A$9-9 + (ROW()-11)*4,3,1,1,"Internet"))," "))</f>
        <v>SKP Kulová osma</v>
      </c>
      <c r="M83" s="472">
        <f ca="1">IF(N(I83)=0,9999,VLOOKUP(I83,Hraci!$A$1:$I$1500,8,0))</f>
        <v>94</v>
      </c>
      <c r="N83" s="473">
        <f ca="1">IF(N(I83)=0,0,VLOOKUP(I83,Hraci!$A$1:$I$1500,9,0))</f>
        <v>21.501999999999999</v>
      </c>
      <c r="O83" s="469" t="str">
        <f t="shared" ca="1" si="39"/>
        <v/>
      </c>
      <c r="P83" s="470" t="str">
        <f ca="1">IF(N(O83)&gt;0,VLOOKUP(O83,Hraci!$A$1:$I$1500,2,0),IF(TYPE(INDIRECT(ADDRESS(ROW() + $A$9-8 + (ROW()-11)*4,2,1,1,"Internet")))&gt;1,INDIRECT(ADDRESS(ROW() + $A$9-8 + (ROW()-11)*4,2,1,1,"Internet"))," "))</f>
        <v xml:space="preserve"> </v>
      </c>
      <c r="Q83" s="471" t="str">
        <f ca="1">IF(N(O83)&gt;0,VLOOKUP(O83,Hraci!$A$1:$I$1500,3,0)," ")</f>
        <v xml:space="preserve"> </v>
      </c>
      <c r="R83" s="471" t="str">
        <f ca="1">IF(N(O83)&gt;0,VLOOKUP(O83,Hraci!$A$1:$I$1500,5,0),IF(TYPE(INDIRECT(ADDRESS(ROW() + $A$9-8 + (ROW()-11)*4,3,1,1,"Internet")))&gt;1,INDIRECT(ADDRESS(ROW() + $A$9-8 + (ROW()-11)*4,3,1,1,"Internet"))," "))</f>
        <v xml:space="preserve"> </v>
      </c>
      <c r="S83" s="472">
        <f ca="1">IF(N(O83)=0,9999,VLOOKUP(O83,Hraci!$A$1:$I$1500,8,0))</f>
        <v>9999</v>
      </c>
      <c r="T83" s="473">
        <f ca="1">IF(N(O83)=0,0,VLOOKUP(O83,Hraci!$A$1:$I$1500,9,0))</f>
        <v>0</v>
      </c>
      <c r="U83" s="469" t="str">
        <f t="shared" ca="1" si="40"/>
        <v/>
      </c>
      <c r="V83" s="470" t="str">
        <f ca="1">IF(N(U83)&gt;0,VLOOKUP(U83,Hraci!$A$1:$I$1500,2,0),IF(TYPE(INDIRECT(ADDRESS(ROW() + $A$9-7 + (ROW()-11)*4,2,1,1,"Internet")))&gt;1,INDIRECT(ADDRESS(ROW() + $A$9-7 + (ROW()-11)*4,2,1,1,"Internet"))," "))</f>
        <v xml:space="preserve"> </v>
      </c>
      <c r="W83" s="471" t="str">
        <f ca="1">IF(N(U83)&gt;0,VLOOKUP(U83,Hraci!$A$1:$I$1500,3,0)," ")</f>
        <v xml:space="preserve"> </v>
      </c>
      <c r="X83" s="471" t="str">
        <f ca="1">IF(N(U83)&gt;0,VLOOKUP(U83,Hraci!$A$1:$I$1500,5,0),IF(TYPE(INDIRECT(ADDRESS(ROW() + $A$9-7 + (ROW()-11)*4,3,1,1,"Internet")))&gt;1,INDIRECT(ADDRESS(ROW() + $A$9-7 + (ROW()-11)*4,3,1,1,"Internet"))," "))</f>
        <v xml:space="preserve"> </v>
      </c>
      <c r="Y83" s="472">
        <f ca="1">IF(N(U83)=0,9999,VLOOKUP(U83,Hraci!$A$1:$I$1500,8,0))</f>
        <v>9999</v>
      </c>
      <c r="Z83" s="473">
        <f ca="1">IF(N(U83)=0,0,VLOOKUP(U83,Hraci!$A$1:$I$1500,9,0))</f>
        <v>0</v>
      </c>
      <c r="AA83" s="469" t="str">
        <f t="shared" ca="1" si="41"/>
        <v/>
      </c>
      <c r="AB83" s="470" t="str">
        <f ca="1">IF(N(AA83)&gt;0,VLOOKUP(AA83,Hraci!$A$1:$I$1500,2,0)," ")</f>
        <v xml:space="preserve"> </v>
      </c>
      <c r="AC83" s="471" t="str">
        <f ca="1">IF(N(AA83)&gt;0,VLOOKUP(AA83,Hraci!$A$1:$I$1500,3,0)," ")</f>
        <v xml:space="preserve"> </v>
      </c>
      <c r="AD83" s="471" t="str">
        <f ca="1">IF(N(AA83)&gt;0,VLOOKUP(AA83,Hraci!$A$1:$I$1500,5,0)," ")</f>
        <v xml:space="preserve"> </v>
      </c>
      <c r="AE83" s="472">
        <f ca="1">IF(N(AA83)=0,9999,VLOOKUP(AA83,Hraci!$A$1:$I$1500,8,0))</f>
        <v>9999</v>
      </c>
      <c r="AF83" s="473">
        <f ca="1">IF(N(AA83)=0,0,VLOOKUP(AA83,Hraci!$A$1:$I$1500,9,0))</f>
        <v>0</v>
      </c>
      <c r="AG83" s="474"/>
      <c r="AH83" s="480">
        <v>129</v>
      </c>
      <c r="AI83" s="475">
        <f ca="1">IF(N($AH83)&gt;0,VLOOKUP($AH83,Body!$A$4:$F$259,5,0),"")</f>
        <v>553.40650000000005</v>
      </c>
      <c r="AJ83" s="476">
        <f ca="1">IF(N($AH83)&gt;0,VLOOKUP($AH83,Body!$A$4:$F$259,6,0),"")</f>
        <v>200</v>
      </c>
      <c r="AK83" s="475">
        <f ca="1">IF(N($AH83)&gt;0,VLOOKUP($AH83,Body!$A$4:$F$259,2,0),"")</f>
        <v>8</v>
      </c>
      <c r="AL83" s="477" t="str">
        <f t="shared" ca="1" si="42"/>
        <v>73 SKP Kulová osma - Sjögren Magda</v>
      </c>
      <c r="AM83" s="478">
        <f t="shared" ca="1" si="43"/>
        <v>21.501999999999999</v>
      </c>
      <c r="AN83" s="408">
        <f ca="1">IF(OR(TYPE(I83)&gt;1,TYPE(MATCH(I83,I84:I$267,0))&gt;1),0,MATCH(I83,I84:I$267,0))+IF(OR(TYPE(I83)&gt;1,TYPE(MATCH(I83,O$11:O$267,0))&gt;1),0,MATCH(I83,O$11:O$267,0))+IF(OR(TYPE(I83)&gt;1,TYPE(MATCH(I83,U$11:U$267,0))&gt;1),0,MATCH(I83,U$11:U$267,0))+IF(OR(TYPE(I83)&gt;1,TYPE(MATCH(I83,AA$11:AA$267,0))&gt;1),0,MATCH(I83,AA$11:AA$267,0))</f>
        <v>0</v>
      </c>
      <c r="AO83" s="408">
        <f ca="1">IF(OR(TYPE(O83)&gt;1,TYPE(MATCH(O83,I$11:I$267,0))&gt;1),0,MATCH(O83,I$11:I$267,0))+IF(OR(TYPE(O83)&gt;1,TYPE(MATCH(O83,O84:O$267,0))&gt;1),0,MATCH(O83,O84:O$267,0))+IF(OR(TYPE(O83)&gt;1,TYPE(MATCH(O83,U$11:U$267,0))&gt;1),0,MATCH(O83,U$11:U$267,0))+IF(OR(TYPE(O83)&gt;1,TYPE(MATCH(O83,AA$11:AA$267,0))&gt;1),0,MATCH(O83,AA$11:AA$267,0))</f>
        <v>0</v>
      </c>
      <c r="AP83" s="408">
        <f ca="1">IF(OR(TYPE(U83)&gt;1,TYPE(MATCH(U83,I$11:I$267,0))&gt;1),0,MATCH(U83,I$11:I$267,0))+IF(OR(TYPE(U83)&gt;1,TYPE(MATCH(U83,O$11:O$267,0))&gt;1),0,MATCH(U83,O$11:O$267,0))+IF(OR(TYPE(U83)&gt;1,TYPE(MATCH(U83,U84:U$267,0))&gt;1),0,MATCH(U83,U84:U$267,0))+IF(OR(TYPE(U83)&gt;1,TYPE(MATCH(U83,AA$11:AA$267,0))&gt;1),0,MATCH(U83,AA$11:AA$267,0))</f>
        <v>0</v>
      </c>
      <c r="AQ83" s="408">
        <f ca="1">IF(OR(TYPE(AA83)&gt;1,TYPE(MATCH(AA83,I$11:I$267,0))&gt;1),0,MATCH(AA83,I$11:I$267,0))+IF(OR(TYPE(AA83)&gt;1,TYPE(MATCH(AA83,O$11:O$267,0))&gt;1),0,MATCH(AA83,O$11:O$267,0))+IF(OR(TYPE(AA83)&gt;1,TYPE(MATCH(AA83,U$11:U$267,0))&gt;1),0,MATCH(U83,U$11:U$267,0))+IF(OR(TYPE(AA83)&gt;1,TYPE(MATCH(AA83,AA84:AA$267,0))&gt;1),0,MATCH(AA83,AA84:AA$267,0))</f>
        <v>0</v>
      </c>
      <c r="AR83" s="408">
        <f t="shared" ca="1" si="44"/>
        <v>0</v>
      </c>
      <c r="BF83" s="408">
        <f t="shared" si="45"/>
        <v>73</v>
      </c>
    </row>
    <row r="84" spans="1:58" ht="14.25">
      <c r="A84" s="430">
        <f t="shared" ca="1" si="30"/>
        <v>1</v>
      </c>
      <c r="B84" s="430">
        <f t="shared" ca="1" si="31"/>
        <v>1</v>
      </c>
      <c r="C84" s="430">
        <f t="shared" ca="1" si="32"/>
        <v>21.376000000000001</v>
      </c>
      <c r="D84" s="430">
        <f t="shared" ca="1" si="33"/>
        <v>20091</v>
      </c>
      <c r="E84" s="430">
        <f t="shared" ca="1" si="34"/>
        <v>93</v>
      </c>
      <c r="F84" s="431" t="str">
        <f t="shared" ca="1" si="35"/>
        <v>91021376979908999906774371</v>
      </c>
      <c r="G84" s="467" t="b">
        <f t="shared" ca="1" si="36"/>
        <v>0</v>
      </c>
      <c r="H84" s="468">
        <f t="shared" si="37"/>
        <v>74</v>
      </c>
      <c r="I84" s="469">
        <f t="shared" ca="1" si="38"/>
        <v>25011</v>
      </c>
      <c r="J84" s="470" t="str">
        <f ca="1">IF(N(I84)&gt;0,VLOOKUP(I84,Hraci!$A$1:$I$1500,2,0),IF(TYPE(INDIRECT(ADDRESS(ROW() + $A$9-9 + (ROW()-11)*4,2,1,1,"Internet")))&gt;1,INDIRECT(ADDRESS(ROW() + $A$9-9 + (ROW()-11)*4,2,1,1,"Internet"))," "))</f>
        <v>Jirkovský</v>
      </c>
      <c r="K84" s="471" t="str">
        <f ca="1">IF(N(I84)&gt;0,VLOOKUP(I84,Hraci!$A$1:$I$1500,3,0)," ")</f>
        <v>Tomáš</v>
      </c>
      <c r="L84" s="471" t="str">
        <f ca="1">IF(N(I84)&gt;0,VLOOKUP(I84,Hraci!$A$1:$I$1500,5,0),IF(TYPE(INDIRECT(ADDRESS(ROW() + $A$9-9 + (ROW()-11)*4,3,1,1,"Internet")))&gt;1,INDIRECT(ADDRESS(ROW() + $A$9-9 + (ROW()-11)*4,3,1,1,"Internet"))," "))</f>
        <v>PK Osika Plzeň</v>
      </c>
      <c r="M84" s="472">
        <f ca="1">IF(N(I84)=0,9999,VLOOKUP(I84,Hraci!$A$1:$I$1500,8,0))</f>
        <v>93</v>
      </c>
      <c r="N84" s="473">
        <f ca="1">IF(N(I84)=0,0,VLOOKUP(I84,Hraci!$A$1:$I$1500,9,0))</f>
        <v>21.376000000000001</v>
      </c>
      <c r="O84" s="469" t="str">
        <f t="shared" ca="1" si="39"/>
        <v/>
      </c>
      <c r="P84" s="470" t="str">
        <f ca="1">IF(N(O84)&gt;0,VLOOKUP(O84,Hraci!$A$1:$I$1500,2,0),IF(TYPE(INDIRECT(ADDRESS(ROW() + $A$9-8 + (ROW()-11)*4,2,1,1,"Internet")))&gt;1,INDIRECT(ADDRESS(ROW() + $A$9-8 + (ROW()-11)*4,2,1,1,"Internet"))," "))</f>
        <v xml:space="preserve"> </v>
      </c>
      <c r="Q84" s="471" t="str">
        <f ca="1">IF(N(O84)&gt;0,VLOOKUP(O84,Hraci!$A$1:$I$1500,3,0)," ")</f>
        <v xml:space="preserve"> </v>
      </c>
      <c r="R84" s="471" t="str">
        <f ca="1">IF(N(O84)&gt;0,VLOOKUP(O84,Hraci!$A$1:$I$1500,5,0),IF(TYPE(INDIRECT(ADDRESS(ROW() + $A$9-8 + (ROW()-11)*4,3,1,1,"Internet")))&gt;1,INDIRECT(ADDRESS(ROW() + $A$9-8 + (ROW()-11)*4,3,1,1,"Internet"))," "))</f>
        <v xml:space="preserve"> </v>
      </c>
      <c r="S84" s="472">
        <f ca="1">IF(N(O84)=0,9999,VLOOKUP(O84,Hraci!$A$1:$I$1500,8,0))</f>
        <v>9999</v>
      </c>
      <c r="T84" s="473">
        <f ca="1">IF(N(O84)=0,0,VLOOKUP(O84,Hraci!$A$1:$I$1500,9,0))</f>
        <v>0</v>
      </c>
      <c r="U84" s="469" t="str">
        <f t="shared" ca="1" si="40"/>
        <v/>
      </c>
      <c r="V84" s="470" t="str">
        <f ca="1">IF(N(U84)&gt;0,VLOOKUP(U84,Hraci!$A$1:$I$1500,2,0),IF(TYPE(INDIRECT(ADDRESS(ROW() + $A$9-7 + (ROW()-11)*4,2,1,1,"Internet")))&gt;1,INDIRECT(ADDRESS(ROW() + $A$9-7 + (ROW()-11)*4,2,1,1,"Internet"))," "))</f>
        <v xml:space="preserve"> </v>
      </c>
      <c r="W84" s="471" t="str">
        <f ca="1">IF(N(U84)&gt;0,VLOOKUP(U84,Hraci!$A$1:$I$1500,3,0)," ")</f>
        <v xml:space="preserve"> </v>
      </c>
      <c r="X84" s="471" t="str">
        <f ca="1">IF(N(U84)&gt;0,VLOOKUP(U84,Hraci!$A$1:$I$1500,5,0),IF(TYPE(INDIRECT(ADDRESS(ROW() + $A$9-7 + (ROW()-11)*4,3,1,1,"Internet")))&gt;1,INDIRECT(ADDRESS(ROW() + $A$9-7 + (ROW()-11)*4,3,1,1,"Internet"))," "))</f>
        <v xml:space="preserve"> </v>
      </c>
      <c r="Y84" s="472">
        <f ca="1">IF(N(U84)=0,9999,VLOOKUP(U84,Hraci!$A$1:$I$1500,8,0))</f>
        <v>9999</v>
      </c>
      <c r="Z84" s="473">
        <f ca="1">IF(N(U84)=0,0,VLOOKUP(U84,Hraci!$A$1:$I$1500,9,0))</f>
        <v>0</v>
      </c>
      <c r="AA84" s="469" t="str">
        <f t="shared" ca="1" si="41"/>
        <v/>
      </c>
      <c r="AB84" s="470" t="str">
        <f ca="1">IF(N(AA84)&gt;0,VLOOKUP(AA84,Hraci!$A$1:$I$1500,2,0)," ")</f>
        <v xml:space="preserve"> </v>
      </c>
      <c r="AC84" s="471" t="str">
        <f ca="1">IF(N(AA84)&gt;0,VLOOKUP(AA84,Hraci!$A$1:$I$1500,3,0)," ")</f>
        <v xml:space="preserve"> </v>
      </c>
      <c r="AD84" s="471" t="str">
        <f ca="1">IF(N(AA84)&gt;0,VLOOKUP(AA84,Hraci!$A$1:$I$1500,5,0)," ")</f>
        <v xml:space="preserve"> </v>
      </c>
      <c r="AE84" s="472">
        <f ca="1">IF(N(AA84)=0,9999,VLOOKUP(AA84,Hraci!$A$1:$I$1500,8,0))</f>
        <v>9999</v>
      </c>
      <c r="AF84" s="473">
        <f ca="1">IF(N(AA84)=0,0,VLOOKUP(AA84,Hraci!$A$1:$I$1500,9,0))</f>
        <v>0</v>
      </c>
      <c r="AG84" s="474"/>
      <c r="AH84" s="480">
        <v>129</v>
      </c>
      <c r="AI84" s="475">
        <f ca="1">IF(N($AH84)&gt;0,VLOOKUP($AH84,Body!$A$4:$F$259,5,0),"")</f>
        <v>553.40650000000005</v>
      </c>
      <c r="AJ84" s="476">
        <f ca="1">IF(N($AH84)&gt;0,VLOOKUP($AH84,Body!$A$4:$F$259,6,0),"")</f>
        <v>200</v>
      </c>
      <c r="AK84" s="475">
        <f ca="1">IF(N($AH84)&gt;0,VLOOKUP($AH84,Body!$A$4:$F$259,2,0),"")</f>
        <v>8</v>
      </c>
      <c r="AL84" s="477" t="str">
        <f t="shared" ca="1" si="42"/>
        <v>74 PK Osika Plzeň - Jirkovský Tomáš</v>
      </c>
      <c r="AM84" s="478">
        <f t="shared" ca="1" si="43"/>
        <v>21.376000000000001</v>
      </c>
      <c r="AN84" s="408">
        <f ca="1">IF(OR(TYPE(I84)&gt;1,TYPE(MATCH(I84,I85:I$267,0))&gt;1),0,MATCH(I84,I85:I$267,0))+IF(OR(TYPE(I84)&gt;1,TYPE(MATCH(I84,O$11:O$267,0))&gt;1),0,MATCH(I84,O$11:O$267,0))+IF(OR(TYPE(I84)&gt;1,TYPE(MATCH(I84,U$11:U$267,0))&gt;1),0,MATCH(I84,U$11:U$267,0))+IF(OR(TYPE(I84)&gt;1,TYPE(MATCH(I84,AA$11:AA$267,0))&gt;1),0,MATCH(I84,AA$11:AA$267,0))</f>
        <v>0</v>
      </c>
      <c r="AO84" s="408">
        <f ca="1">IF(OR(TYPE(O84)&gt;1,TYPE(MATCH(O84,I$11:I$267,0))&gt;1),0,MATCH(O84,I$11:I$267,0))+IF(OR(TYPE(O84)&gt;1,TYPE(MATCH(O84,O85:O$267,0))&gt;1),0,MATCH(O84,O85:O$267,0))+IF(OR(TYPE(O84)&gt;1,TYPE(MATCH(O84,U$11:U$267,0))&gt;1),0,MATCH(O84,U$11:U$267,0))+IF(OR(TYPE(O84)&gt;1,TYPE(MATCH(O84,AA$11:AA$267,0))&gt;1),0,MATCH(O84,AA$11:AA$267,0))</f>
        <v>0</v>
      </c>
      <c r="AP84" s="408">
        <f ca="1">IF(OR(TYPE(U84)&gt;1,TYPE(MATCH(U84,I$11:I$267,0))&gt;1),0,MATCH(U84,I$11:I$267,0))+IF(OR(TYPE(U84)&gt;1,TYPE(MATCH(U84,O$11:O$267,0))&gt;1),0,MATCH(U84,O$11:O$267,0))+IF(OR(TYPE(U84)&gt;1,TYPE(MATCH(U84,U85:U$267,0))&gt;1),0,MATCH(U84,U85:U$267,0))+IF(OR(TYPE(U84)&gt;1,TYPE(MATCH(U84,AA$11:AA$267,0))&gt;1),0,MATCH(U84,AA$11:AA$267,0))</f>
        <v>0</v>
      </c>
      <c r="AQ84" s="408">
        <f ca="1">IF(OR(TYPE(AA84)&gt;1,TYPE(MATCH(AA84,I$11:I$267,0))&gt;1),0,MATCH(AA84,I$11:I$267,0))+IF(OR(TYPE(AA84)&gt;1,TYPE(MATCH(AA84,O$11:O$267,0))&gt;1),0,MATCH(AA84,O$11:O$267,0))+IF(OR(TYPE(AA84)&gt;1,TYPE(MATCH(AA84,U$11:U$267,0))&gt;1),0,MATCH(U84,U$11:U$267,0))+IF(OR(TYPE(AA84)&gt;1,TYPE(MATCH(AA84,AA85:AA$267,0))&gt;1),0,MATCH(AA84,AA85:AA$267,0))</f>
        <v>0</v>
      </c>
      <c r="AR84" s="408">
        <f t="shared" ca="1" si="44"/>
        <v>0</v>
      </c>
      <c r="BF84" s="408">
        <f t="shared" si="45"/>
        <v>74</v>
      </c>
    </row>
    <row r="85" spans="1:58" ht="14.25">
      <c r="A85" s="430">
        <f t="shared" ca="1" si="30"/>
        <v>1</v>
      </c>
      <c r="B85" s="430">
        <f t="shared" ca="1" si="31"/>
        <v>1</v>
      </c>
      <c r="C85" s="430">
        <f t="shared" ca="1" si="32"/>
        <v>20.689</v>
      </c>
      <c r="D85" s="430">
        <f t="shared" ca="1" si="33"/>
        <v>20106</v>
      </c>
      <c r="E85" s="430">
        <f t="shared" ca="1" si="34"/>
        <v>108</v>
      </c>
      <c r="F85" s="431" t="str">
        <f t="shared" ca="1" si="35"/>
        <v>91020689979893999891068310</v>
      </c>
      <c r="G85" s="467" t="b">
        <f t="shared" ca="1" si="36"/>
        <v>0</v>
      </c>
      <c r="H85" s="468">
        <f t="shared" si="37"/>
        <v>75</v>
      </c>
      <c r="I85" s="469">
        <f t="shared" ca="1" si="38"/>
        <v>19025</v>
      </c>
      <c r="J85" s="470" t="str">
        <f ca="1">IF(N(I85)&gt;0,VLOOKUP(I85,Hraci!$A$1:$I$1500,2,0),IF(TYPE(INDIRECT(ADDRESS(ROW() + $A$9-9 + (ROW()-11)*4,2,1,1,"Internet")))&gt;1,INDIRECT(ADDRESS(ROW() + $A$9-9 + (ROW()-11)*4,2,1,1,"Internet"))," "))</f>
        <v>Maňák</v>
      </c>
      <c r="K85" s="471" t="str">
        <f ca="1">IF(N(I85)&gt;0,VLOOKUP(I85,Hraci!$A$1:$I$1500,3,0)," ")</f>
        <v>Jan</v>
      </c>
      <c r="L85" s="471" t="str">
        <f ca="1">IF(N(I85)&gt;0,VLOOKUP(I85,Hraci!$A$1:$I$1500,5,0),IF(TYPE(INDIRECT(ADDRESS(ROW() + $A$9-9 + (ROW()-11)*4,3,1,1,"Internet")))&gt;1,INDIRECT(ADDRESS(ROW() + $A$9-9 + (ROW()-11)*4,3,1,1,"Internet"))," "))</f>
        <v>Petank Club Praha</v>
      </c>
      <c r="M85" s="472">
        <f ca="1">IF(N(I85)=0,9999,VLOOKUP(I85,Hraci!$A$1:$I$1500,8,0))</f>
        <v>108</v>
      </c>
      <c r="N85" s="473">
        <f ca="1">IF(N(I85)=0,0,VLOOKUP(I85,Hraci!$A$1:$I$1500,9,0))</f>
        <v>20.689</v>
      </c>
      <c r="O85" s="469" t="str">
        <f t="shared" ca="1" si="39"/>
        <v/>
      </c>
      <c r="P85" s="470" t="str">
        <f ca="1">IF(N(O85)&gt;0,VLOOKUP(O85,Hraci!$A$1:$I$1500,2,0),IF(TYPE(INDIRECT(ADDRESS(ROW() + $A$9-8 + (ROW()-11)*4,2,1,1,"Internet")))&gt;1,INDIRECT(ADDRESS(ROW() + $A$9-8 + (ROW()-11)*4,2,1,1,"Internet"))," "))</f>
        <v xml:space="preserve"> </v>
      </c>
      <c r="Q85" s="471" t="str">
        <f ca="1">IF(N(O85)&gt;0,VLOOKUP(O85,Hraci!$A$1:$I$1500,3,0)," ")</f>
        <v xml:space="preserve"> </v>
      </c>
      <c r="R85" s="471" t="str">
        <f ca="1">IF(N(O85)&gt;0,VLOOKUP(O85,Hraci!$A$1:$I$1500,5,0),IF(TYPE(INDIRECT(ADDRESS(ROW() + $A$9-8 + (ROW()-11)*4,3,1,1,"Internet")))&gt;1,INDIRECT(ADDRESS(ROW() + $A$9-8 + (ROW()-11)*4,3,1,1,"Internet"))," "))</f>
        <v xml:space="preserve"> </v>
      </c>
      <c r="S85" s="472">
        <f ca="1">IF(N(O85)=0,9999,VLOOKUP(O85,Hraci!$A$1:$I$1500,8,0))</f>
        <v>9999</v>
      </c>
      <c r="T85" s="473">
        <f ca="1">IF(N(O85)=0,0,VLOOKUP(O85,Hraci!$A$1:$I$1500,9,0))</f>
        <v>0</v>
      </c>
      <c r="U85" s="469" t="str">
        <f t="shared" ca="1" si="40"/>
        <v/>
      </c>
      <c r="V85" s="470" t="str">
        <f ca="1">IF(N(U85)&gt;0,VLOOKUP(U85,Hraci!$A$1:$I$1500,2,0),IF(TYPE(INDIRECT(ADDRESS(ROW() + $A$9-7 + (ROW()-11)*4,2,1,1,"Internet")))&gt;1,INDIRECT(ADDRESS(ROW() + $A$9-7 + (ROW()-11)*4,2,1,1,"Internet"))," "))</f>
        <v xml:space="preserve"> </v>
      </c>
      <c r="W85" s="471" t="str">
        <f ca="1">IF(N(U85)&gt;0,VLOOKUP(U85,Hraci!$A$1:$I$1500,3,0)," ")</f>
        <v xml:space="preserve"> </v>
      </c>
      <c r="X85" s="471" t="str">
        <f ca="1">IF(N(U85)&gt;0,VLOOKUP(U85,Hraci!$A$1:$I$1500,5,0),IF(TYPE(INDIRECT(ADDRESS(ROW() + $A$9-7 + (ROW()-11)*4,3,1,1,"Internet")))&gt;1,INDIRECT(ADDRESS(ROW() + $A$9-7 + (ROW()-11)*4,3,1,1,"Internet"))," "))</f>
        <v xml:space="preserve"> </v>
      </c>
      <c r="Y85" s="472">
        <f ca="1">IF(N(U85)=0,9999,VLOOKUP(U85,Hraci!$A$1:$I$1500,8,0))</f>
        <v>9999</v>
      </c>
      <c r="Z85" s="473">
        <f ca="1">IF(N(U85)=0,0,VLOOKUP(U85,Hraci!$A$1:$I$1500,9,0))</f>
        <v>0</v>
      </c>
      <c r="AA85" s="469" t="str">
        <f t="shared" ca="1" si="41"/>
        <v/>
      </c>
      <c r="AB85" s="470" t="str">
        <f ca="1">IF(N(AA85)&gt;0,VLOOKUP(AA85,Hraci!$A$1:$I$1500,2,0)," ")</f>
        <v xml:space="preserve"> </v>
      </c>
      <c r="AC85" s="471" t="str">
        <f ca="1">IF(N(AA85)&gt;0,VLOOKUP(AA85,Hraci!$A$1:$I$1500,3,0)," ")</f>
        <v xml:space="preserve"> </v>
      </c>
      <c r="AD85" s="471" t="str">
        <f ca="1">IF(N(AA85)&gt;0,VLOOKUP(AA85,Hraci!$A$1:$I$1500,5,0)," ")</f>
        <v xml:space="preserve"> </v>
      </c>
      <c r="AE85" s="472">
        <f ca="1">IF(N(AA85)=0,9999,VLOOKUP(AA85,Hraci!$A$1:$I$1500,8,0))</f>
        <v>9999</v>
      </c>
      <c r="AF85" s="473">
        <f ca="1">IF(N(AA85)=0,0,VLOOKUP(AA85,Hraci!$A$1:$I$1500,9,0))</f>
        <v>0</v>
      </c>
      <c r="AG85" s="474"/>
      <c r="AH85" s="480">
        <v>129</v>
      </c>
      <c r="AI85" s="475">
        <f ca="1">IF(N($AH85)&gt;0,VLOOKUP($AH85,Body!$A$4:$F$259,5,0),"")</f>
        <v>553.40650000000005</v>
      </c>
      <c r="AJ85" s="476">
        <f ca="1">IF(N($AH85)&gt;0,VLOOKUP($AH85,Body!$A$4:$F$259,6,0),"")</f>
        <v>200</v>
      </c>
      <c r="AK85" s="475">
        <f ca="1">IF(N($AH85)&gt;0,VLOOKUP($AH85,Body!$A$4:$F$259,2,0),"")</f>
        <v>8</v>
      </c>
      <c r="AL85" s="477" t="str">
        <f t="shared" ca="1" si="42"/>
        <v>75 Petank Club Praha - Maňák Jan</v>
      </c>
      <c r="AM85" s="478">
        <f t="shared" ca="1" si="43"/>
        <v>20.689</v>
      </c>
      <c r="AN85" s="408">
        <f ca="1">IF(OR(TYPE(I85)&gt;1,TYPE(MATCH(I85,I86:I$267,0))&gt;1),0,MATCH(I85,I86:I$267,0))+IF(OR(TYPE(I85)&gt;1,TYPE(MATCH(I85,O$11:O$267,0))&gt;1),0,MATCH(I85,O$11:O$267,0))+IF(OR(TYPE(I85)&gt;1,TYPE(MATCH(I85,U$11:U$267,0))&gt;1),0,MATCH(I85,U$11:U$267,0))+IF(OR(TYPE(I85)&gt;1,TYPE(MATCH(I85,AA$11:AA$267,0))&gt;1),0,MATCH(I85,AA$11:AA$267,0))</f>
        <v>0</v>
      </c>
      <c r="AO85" s="408">
        <f ca="1">IF(OR(TYPE(O85)&gt;1,TYPE(MATCH(O85,I$11:I$267,0))&gt;1),0,MATCH(O85,I$11:I$267,0))+IF(OR(TYPE(O85)&gt;1,TYPE(MATCH(O85,O86:O$267,0))&gt;1),0,MATCH(O85,O86:O$267,0))+IF(OR(TYPE(O85)&gt;1,TYPE(MATCH(O85,U$11:U$267,0))&gt;1),0,MATCH(O85,U$11:U$267,0))+IF(OR(TYPE(O85)&gt;1,TYPE(MATCH(O85,AA$11:AA$267,0))&gt;1),0,MATCH(O85,AA$11:AA$267,0))</f>
        <v>0</v>
      </c>
      <c r="AP85" s="408">
        <f ca="1">IF(OR(TYPE(U85)&gt;1,TYPE(MATCH(U85,I$11:I$267,0))&gt;1),0,MATCH(U85,I$11:I$267,0))+IF(OR(TYPE(U85)&gt;1,TYPE(MATCH(U85,O$11:O$267,0))&gt;1),0,MATCH(U85,O$11:O$267,0))+IF(OR(TYPE(U85)&gt;1,TYPE(MATCH(U85,U86:U$267,0))&gt;1),0,MATCH(U85,U86:U$267,0))+IF(OR(TYPE(U85)&gt;1,TYPE(MATCH(U85,AA$11:AA$267,0))&gt;1),0,MATCH(U85,AA$11:AA$267,0))</f>
        <v>0</v>
      </c>
      <c r="AQ85" s="408">
        <f ca="1">IF(OR(TYPE(AA85)&gt;1,TYPE(MATCH(AA85,I$11:I$267,0))&gt;1),0,MATCH(AA85,I$11:I$267,0))+IF(OR(TYPE(AA85)&gt;1,TYPE(MATCH(AA85,O$11:O$267,0))&gt;1),0,MATCH(AA85,O$11:O$267,0))+IF(OR(TYPE(AA85)&gt;1,TYPE(MATCH(AA85,U$11:U$267,0))&gt;1),0,MATCH(U85,U$11:U$267,0))+IF(OR(TYPE(AA85)&gt;1,TYPE(MATCH(AA85,AA86:AA$267,0))&gt;1),0,MATCH(AA85,AA86:AA$267,0))</f>
        <v>0</v>
      </c>
      <c r="AR85" s="408">
        <f t="shared" ca="1" si="44"/>
        <v>0</v>
      </c>
      <c r="BF85" s="408">
        <f t="shared" si="45"/>
        <v>75</v>
      </c>
    </row>
    <row r="86" spans="1:58" ht="14.25">
      <c r="A86" s="430">
        <f t="shared" ca="1" si="30"/>
        <v>1</v>
      </c>
      <c r="B86" s="430">
        <f t="shared" ca="1" si="31"/>
        <v>1</v>
      </c>
      <c r="C86" s="430">
        <f t="shared" ca="1" si="32"/>
        <v>20.094000000000001</v>
      </c>
      <c r="D86" s="430">
        <f t="shared" ca="1" si="33"/>
        <v>20172</v>
      </c>
      <c r="E86" s="430">
        <f t="shared" ca="1" si="34"/>
        <v>174</v>
      </c>
      <c r="F86" s="431" t="str">
        <f t="shared" ca="1" si="35"/>
        <v>91020094979827999825285274</v>
      </c>
      <c r="G86" s="467" t="b">
        <f t="shared" ca="1" si="36"/>
        <v>0</v>
      </c>
      <c r="H86" s="468">
        <f t="shared" si="37"/>
        <v>76</v>
      </c>
      <c r="I86" s="469">
        <f t="shared" ca="1" si="38"/>
        <v>28051</v>
      </c>
      <c r="J86" s="470" t="str">
        <f ca="1">IF(N(I86)&gt;0,VLOOKUP(I86,Hraci!$A$1:$I$1500,2,0),IF(TYPE(INDIRECT(ADDRESS(ROW() + $A$9-9 + (ROW()-11)*4,2,1,1,"Internet")))&gt;1,INDIRECT(ADDRESS(ROW() + $A$9-9 + (ROW()-11)*4,2,1,1,"Internet"))," "))</f>
        <v>Horáček</v>
      </c>
      <c r="K86" s="471" t="str">
        <f ca="1">IF(N(I86)&gt;0,VLOOKUP(I86,Hraci!$A$1:$I$1500,3,0)," ")</f>
        <v>Jindřich</v>
      </c>
      <c r="L86" s="471" t="str">
        <f ca="1">IF(N(I86)&gt;0,VLOOKUP(I86,Hraci!$A$1:$I$1500,5,0),IF(TYPE(INDIRECT(ADDRESS(ROW() + $A$9-9 + (ROW()-11)*4,3,1,1,"Internet")))&gt;1,INDIRECT(ADDRESS(ROW() + $A$9-9 + (ROW()-11)*4,3,1,1,"Internet"))," "))</f>
        <v>PC Kolová</v>
      </c>
      <c r="M86" s="472">
        <f ca="1">IF(N(I86)=0,9999,VLOOKUP(I86,Hraci!$A$1:$I$1500,8,0))</f>
        <v>174</v>
      </c>
      <c r="N86" s="473">
        <f ca="1">IF(N(I86)=0,0,VLOOKUP(I86,Hraci!$A$1:$I$1500,9,0))</f>
        <v>20.094000000000001</v>
      </c>
      <c r="O86" s="469" t="str">
        <f t="shared" ca="1" si="39"/>
        <v/>
      </c>
      <c r="P86" s="470" t="str">
        <f ca="1">IF(N(O86)&gt;0,VLOOKUP(O86,Hraci!$A$1:$I$1500,2,0),IF(TYPE(INDIRECT(ADDRESS(ROW() + $A$9-8 + (ROW()-11)*4,2,1,1,"Internet")))&gt;1,INDIRECT(ADDRESS(ROW() + $A$9-8 + (ROW()-11)*4,2,1,1,"Internet"))," "))</f>
        <v xml:space="preserve"> </v>
      </c>
      <c r="Q86" s="471" t="str">
        <f ca="1">IF(N(O86)&gt;0,VLOOKUP(O86,Hraci!$A$1:$I$1500,3,0)," ")</f>
        <v xml:space="preserve"> </v>
      </c>
      <c r="R86" s="471" t="str">
        <f ca="1">IF(N(O86)&gt;0,VLOOKUP(O86,Hraci!$A$1:$I$1500,5,0),IF(TYPE(INDIRECT(ADDRESS(ROW() + $A$9-8 + (ROW()-11)*4,3,1,1,"Internet")))&gt;1,INDIRECT(ADDRESS(ROW() + $A$9-8 + (ROW()-11)*4,3,1,1,"Internet"))," "))</f>
        <v xml:space="preserve"> </v>
      </c>
      <c r="S86" s="472">
        <f ca="1">IF(N(O86)=0,9999,VLOOKUP(O86,Hraci!$A$1:$I$1500,8,0))</f>
        <v>9999</v>
      </c>
      <c r="T86" s="473">
        <f ca="1">IF(N(O86)=0,0,VLOOKUP(O86,Hraci!$A$1:$I$1500,9,0))</f>
        <v>0</v>
      </c>
      <c r="U86" s="469" t="str">
        <f t="shared" ca="1" si="40"/>
        <v/>
      </c>
      <c r="V86" s="470" t="str">
        <f ca="1">IF(N(U86)&gt;0,VLOOKUP(U86,Hraci!$A$1:$I$1500,2,0),IF(TYPE(INDIRECT(ADDRESS(ROW() + $A$9-7 + (ROW()-11)*4,2,1,1,"Internet")))&gt;1,INDIRECT(ADDRESS(ROW() + $A$9-7 + (ROW()-11)*4,2,1,1,"Internet"))," "))</f>
        <v xml:space="preserve"> </v>
      </c>
      <c r="W86" s="471" t="str">
        <f ca="1">IF(N(U86)&gt;0,VLOOKUP(U86,Hraci!$A$1:$I$1500,3,0)," ")</f>
        <v xml:space="preserve"> </v>
      </c>
      <c r="X86" s="471" t="str">
        <f ca="1">IF(N(U86)&gt;0,VLOOKUP(U86,Hraci!$A$1:$I$1500,5,0),IF(TYPE(INDIRECT(ADDRESS(ROW() + $A$9-7 + (ROW()-11)*4,3,1,1,"Internet")))&gt;1,INDIRECT(ADDRESS(ROW() + $A$9-7 + (ROW()-11)*4,3,1,1,"Internet"))," "))</f>
        <v xml:space="preserve"> </v>
      </c>
      <c r="Y86" s="472">
        <f ca="1">IF(N(U86)=0,9999,VLOOKUP(U86,Hraci!$A$1:$I$1500,8,0))</f>
        <v>9999</v>
      </c>
      <c r="Z86" s="473">
        <f ca="1">IF(N(U86)=0,0,VLOOKUP(U86,Hraci!$A$1:$I$1500,9,0))</f>
        <v>0</v>
      </c>
      <c r="AA86" s="469" t="str">
        <f t="shared" ca="1" si="41"/>
        <v/>
      </c>
      <c r="AB86" s="470" t="str">
        <f ca="1">IF(N(AA86)&gt;0,VLOOKUP(AA86,Hraci!$A$1:$I$1500,2,0)," ")</f>
        <v xml:space="preserve"> </v>
      </c>
      <c r="AC86" s="471" t="str">
        <f ca="1">IF(N(AA86)&gt;0,VLOOKUP(AA86,Hraci!$A$1:$I$1500,3,0)," ")</f>
        <v xml:space="preserve"> </v>
      </c>
      <c r="AD86" s="471" t="str">
        <f ca="1">IF(N(AA86)&gt;0,VLOOKUP(AA86,Hraci!$A$1:$I$1500,5,0)," ")</f>
        <v xml:space="preserve"> </v>
      </c>
      <c r="AE86" s="472">
        <f ca="1">IF(N(AA86)=0,9999,VLOOKUP(AA86,Hraci!$A$1:$I$1500,8,0))</f>
        <v>9999</v>
      </c>
      <c r="AF86" s="473">
        <f ca="1">IF(N(AA86)=0,0,VLOOKUP(AA86,Hraci!$A$1:$I$1500,9,0))</f>
        <v>0</v>
      </c>
      <c r="AG86" s="474"/>
      <c r="AH86" s="480">
        <v>32</v>
      </c>
      <c r="AI86" s="475">
        <f ca="1">IF(N($AH86)&gt;0,VLOOKUP($AH86,Body!$A$4:$F$259,5,0),"")</f>
        <v>332.52743750000002</v>
      </c>
      <c r="AJ86" s="476">
        <f ca="1">IF(N($AH86)&gt;0,VLOOKUP($AH86,Body!$A$4:$F$259,6,0),"")</f>
        <v>200</v>
      </c>
      <c r="AK86" s="475">
        <f ca="1">IF(N($AH86)&gt;0,VLOOKUP($AH86,Body!$A$4:$F$259,2,0),"")</f>
        <v>3</v>
      </c>
      <c r="AL86" s="477" t="str">
        <f t="shared" ca="1" si="42"/>
        <v>76 PC Kolová - Horáček Jindřich</v>
      </c>
      <c r="AM86" s="478">
        <f t="shared" ca="1" si="43"/>
        <v>20.094000000000001</v>
      </c>
      <c r="AN86" s="408">
        <f ca="1">IF(OR(TYPE(I86)&gt;1,TYPE(MATCH(I86,I87:I$267,0))&gt;1),0,MATCH(I86,I87:I$267,0))+IF(OR(TYPE(I86)&gt;1,TYPE(MATCH(I86,O$11:O$267,0))&gt;1),0,MATCH(I86,O$11:O$267,0))+IF(OR(TYPE(I86)&gt;1,TYPE(MATCH(I86,U$11:U$267,0))&gt;1),0,MATCH(I86,U$11:U$267,0))+IF(OR(TYPE(I86)&gt;1,TYPE(MATCH(I86,AA$11:AA$267,0))&gt;1),0,MATCH(I86,AA$11:AA$267,0))</f>
        <v>0</v>
      </c>
      <c r="AO86" s="408">
        <f ca="1">IF(OR(TYPE(O86)&gt;1,TYPE(MATCH(O86,I$11:I$267,0))&gt;1),0,MATCH(O86,I$11:I$267,0))+IF(OR(TYPE(O86)&gt;1,TYPE(MATCH(O86,O87:O$267,0))&gt;1),0,MATCH(O86,O87:O$267,0))+IF(OR(TYPE(O86)&gt;1,TYPE(MATCH(O86,U$11:U$267,0))&gt;1),0,MATCH(O86,U$11:U$267,0))+IF(OR(TYPE(O86)&gt;1,TYPE(MATCH(O86,AA$11:AA$267,0))&gt;1),0,MATCH(O86,AA$11:AA$267,0))</f>
        <v>0</v>
      </c>
      <c r="AP86" s="408">
        <f ca="1">IF(OR(TYPE(U86)&gt;1,TYPE(MATCH(U86,I$11:I$267,0))&gt;1),0,MATCH(U86,I$11:I$267,0))+IF(OR(TYPE(U86)&gt;1,TYPE(MATCH(U86,O$11:O$267,0))&gt;1),0,MATCH(U86,O$11:O$267,0))+IF(OR(TYPE(U86)&gt;1,TYPE(MATCH(U86,U87:U$267,0))&gt;1),0,MATCH(U86,U87:U$267,0))+IF(OR(TYPE(U86)&gt;1,TYPE(MATCH(U86,AA$11:AA$267,0))&gt;1),0,MATCH(U86,AA$11:AA$267,0))</f>
        <v>0</v>
      </c>
      <c r="AQ86" s="408">
        <f ca="1">IF(OR(TYPE(AA86)&gt;1,TYPE(MATCH(AA86,I$11:I$267,0))&gt;1),0,MATCH(AA86,I$11:I$267,0))+IF(OR(TYPE(AA86)&gt;1,TYPE(MATCH(AA86,O$11:O$267,0))&gt;1),0,MATCH(AA86,O$11:O$267,0))+IF(OR(TYPE(AA86)&gt;1,TYPE(MATCH(AA86,U$11:U$267,0))&gt;1),0,MATCH(U86,U$11:U$267,0))+IF(OR(TYPE(AA86)&gt;1,TYPE(MATCH(AA86,AA87:AA$267,0))&gt;1),0,MATCH(AA86,AA87:AA$267,0))</f>
        <v>0</v>
      </c>
      <c r="AR86" s="408">
        <f t="shared" ca="1" si="44"/>
        <v>0</v>
      </c>
      <c r="BF86" s="408">
        <f t="shared" si="45"/>
        <v>76</v>
      </c>
    </row>
    <row r="87" spans="1:58" ht="14.25">
      <c r="A87" s="430">
        <f t="shared" ca="1" si="30"/>
        <v>1</v>
      </c>
      <c r="B87" s="430">
        <f t="shared" ca="1" si="31"/>
        <v>1</v>
      </c>
      <c r="C87" s="430">
        <f t="shared" ca="1" si="32"/>
        <v>19.72</v>
      </c>
      <c r="D87" s="430">
        <f t="shared" ca="1" si="33"/>
        <v>20104</v>
      </c>
      <c r="E87" s="430">
        <f t="shared" ca="1" si="34"/>
        <v>106</v>
      </c>
      <c r="F87" s="431" t="str">
        <f t="shared" ca="1" si="35"/>
        <v>91019720979895999893649334</v>
      </c>
      <c r="G87" s="467" t="b">
        <f t="shared" ca="1" si="36"/>
        <v>0</v>
      </c>
      <c r="H87" s="468">
        <f t="shared" si="37"/>
        <v>77</v>
      </c>
      <c r="I87" s="469">
        <f t="shared" ca="1" si="38"/>
        <v>96217</v>
      </c>
      <c r="J87" s="470" t="str">
        <f ca="1">IF(N(I87)&gt;0,VLOOKUP(I87,Hraci!$A$1:$I$1500,2,0),IF(TYPE(INDIRECT(ADDRESS(ROW() + $A$9-9 + (ROW()-11)*4,2,1,1,"Internet")))&gt;1,INDIRECT(ADDRESS(ROW() + $A$9-9 + (ROW()-11)*4,2,1,1,"Internet"))," "))</f>
        <v>Gorroňo López</v>
      </c>
      <c r="K87" s="471" t="str">
        <f ca="1">IF(N(I87)&gt;0,VLOOKUP(I87,Hraci!$A$1:$I$1500,3,0)," ")</f>
        <v>Rubi</v>
      </c>
      <c r="L87" s="471" t="str">
        <f ca="1">IF(N(I87)&gt;0,VLOOKUP(I87,Hraci!$A$1:$I$1500,5,0),IF(TYPE(INDIRECT(ADDRESS(ROW() + $A$9-9 + (ROW()-11)*4,3,1,1,"Internet")))&gt;1,INDIRECT(ADDRESS(ROW() + $A$9-9 + (ROW()-11)*4,3,1,1,"Internet"))," "))</f>
        <v>CdP Loděnice</v>
      </c>
      <c r="M87" s="472">
        <f ca="1">IF(N(I87)=0,9999,VLOOKUP(I87,Hraci!$A$1:$I$1500,8,0))</f>
        <v>106</v>
      </c>
      <c r="N87" s="473">
        <f ca="1">IF(N(I87)=0,0,VLOOKUP(I87,Hraci!$A$1:$I$1500,9,0))</f>
        <v>19.72</v>
      </c>
      <c r="O87" s="469" t="str">
        <f t="shared" ca="1" si="39"/>
        <v/>
      </c>
      <c r="P87" s="470" t="str">
        <f ca="1">IF(N(O87)&gt;0,VLOOKUP(O87,Hraci!$A$1:$I$1500,2,0),IF(TYPE(INDIRECT(ADDRESS(ROW() + $A$9-8 + (ROW()-11)*4,2,1,1,"Internet")))&gt;1,INDIRECT(ADDRESS(ROW() + $A$9-8 + (ROW()-11)*4,2,1,1,"Internet"))," "))</f>
        <v xml:space="preserve"> </v>
      </c>
      <c r="Q87" s="471" t="str">
        <f ca="1">IF(N(O87)&gt;0,VLOOKUP(O87,Hraci!$A$1:$I$1500,3,0)," ")</f>
        <v xml:space="preserve"> </v>
      </c>
      <c r="R87" s="471" t="str">
        <f ca="1">IF(N(O87)&gt;0,VLOOKUP(O87,Hraci!$A$1:$I$1500,5,0),IF(TYPE(INDIRECT(ADDRESS(ROW() + $A$9-8 + (ROW()-11)*4,3,1,1,"Internet")))&gt;1,INDIRECT(ADDRESS(ROW() + $A$9-8 + (ROW()-11)*4,3,1,1,"Internet"))," "))</f>
        <v xml:space="preserve"> </v>
      </c>
      <c r="S87" s="472">
        <f ca="1">IF(N(O87)=0,9999,VLOOKUP(O87,Hraci!$A$1:$I$1500,8,0))</f>
        <v>9999</v>
      </c>
      <c r="T87" s="473">
        <f ca="1">IF(N(O87)=0,0,VLOOKUP(O87,Hraci!$A$1:$I$1500,9,0))</f>
        <v>0</v>
      </c>
      <c r="U87" s="469" t="str">
        <f t="shared" ca="1" si="40"/>
        <v/>
      </c>
      <c r="V87" s="470" t="str">
        <f ca="1">IF(N(U87)&gt;0,VLOOKUP(U87,Hraci!$A$1:$I$1500,2,0),IF(TYPE(INDIRECT(ADDRESS(ROW() + $A$9-7 + (ROW()-11)*4,2,1,1,"Internet")))&gt;1,INDIRECT(ADDRESS(ROW() + $A$9-7 + (ROW()-11)*4,2,1,1,"Internet"))," "))</f>
        <v xml:space="preserve"> </v>
      </c>
      <c r="W87" s="471" t="str">
        <f ca="1">IF(N(U87)&gt;0,VLOOKUP(U87,Hraci!$A$1:$I$1500,3,0)," ")</f>
        <v xml:space="preserve"> </v>
      </c>
      <c r="X87" s="471" t="str">
        <f ca="1">IF(N(U87)&gt;0,VLOOKUP(U87,Hraci!$A$1:$I$1500,5,0),IF(TYPE(INDIRECT(ADDRESS(ROW() + $A$9-7 + (ROW()-11)*4,3,1,1,"Internet")))&gt;1,INDIRECT(ADDRESS(ROW() + $A$9-7 + (ROW()-11)*4,3,1,1,"Internet"))," "))</f>
        <v xml:space="preserve"> </v>
      </c>
      <c r="Y87" s="472">
        <f ca="1">IF(N(U87)=0,9999,VLOOKUP(U87,Hraci!$A$1:$I$1500,8,0))</f>
        <v>9999</v>
      </c>
      <c r="Z87" s="473">
        <f ca="1">IF(N(U87)=0,0,VLOOKUP(U87,Hraci!$A$1:$I$1500,9,0))</f>
        <v>0</v>
      </c>
      <c r="AA87" s="469" t="str">
        <f t="shared" ca="1" si="41"/>
        <v/>
      </c>
      <c r="AB87" s="470" t="str">
        <f ca="1">IF(N(AA87)&gt;0,VLOOKUP(AA87,Hraci!$A$1:$I$1500,2,0)," ")</f>
        <v xml:space="preserve"> </v>
      </c>
      <c r="AC87" s="471" t="str">
        <f ca="1">IF(N(AA87)&gt;0,VLOOKUP(AA87,Hraci!$A$1:$I$1500,3,0)," ")</f>
        <v xml:space="preserve"> </v>
      </c>
      <c r="AD87" s="471" t="str">
        <f ca="1">IF(N(AA87)&gt;0,VLOOKUP(AA87,Hraci!$A$1:$I$1500,5,0)," ")</f>
        <v xml:space="preserve"> </v>
      </c>
      <c r="AE87" s="472">
        <f ca="1">IF(N(AA87)=0,9999,VLOOKUP(AA87,Hraci!$A$1:$I$1500,8,0))</f>
        <v>9999</v>
      </c>
      <c r="AF87" s="473">
        <f ca="1">IF(N(AA87)=0,0,VLOOKUP(AA87,Hraci!$A$1:$I$1500,9,0))</f>
        <v>0</v>
      </c>
      <c r="AG87" s="474"/>
      <c r="AH87" s="480">
        <v>129</v>
      </c>
      <c r="AI87" s="475">
        <f ca="1">IF(N($AH87)&gt;0,VLOOKUP($AH87,Body!$A$4:$F$259,5,0),"")</f>
        <v>553.40650000000005</v>
      </c>
      <c r="AJ87" s="476">
        <f ca="1">IF(N($AH87)&gt;0,VLOOKUP($AH87,Body!$A$4:$F$259,6,0),"")</f>
        <v>200</v>
      </c>
      <c r="AK87" s="475">
        <f ca="1">IF(N($AH87)&gt;0,VLOOKUP($AH87,Body!$A$4:$F$259,2,0),"")</f>
        <v>8</v>
      </c>
      <c r="AL87" s="477" t="str">
        <f t="shared" ca="1" si="42"/>
        <v>77 CdP Loděnice - Gorroňo López Rubi</v>
      </c>
      <c r="AM87" s="478">
        <f t="shared" ca="1" si="43"/>
        <v>19.72</v>
      </c>
      <c r="AN87" s="408">
        <f ca="1">IF(OR(TYPE(I87)&gt;1,TYPE(MATCH(I87,I88:I$267,0))&gt;1),0,MATCH(I87,I88:I$267,0))+IF(OR(TYPE(I87)&gt;1,TYPE(MATCH(I87,O$11:O$267,0))&gt;1),0,MATCH(I87,O$11:O$267,0))+IF(OR(TYPE(I87)&gt;1,TYPE(MATCH(I87,U$11:U$267,0))&gt;1),0,MATCH(I87,U$11:U$267,0))+IF(OR(TYPE(I87)&gt;1,TYPE(MATCH(I87,AA$11:AA$267,0))&gt;1),0,MATCH(I87,AA$11:AA$267,0))</f>
        <v>0</v>
      </c>
      <c r="AO87" s="408">
        <f ca="1">IF(OR(TYPE(O87)&gt;1,TYPE(MATCH(O87,I$11:I$267,0))&gt;1),0,MATCH(O87,I$11:I$267,0))+IF(OR(TYPE(O87)&gt;1,TYPE(MATCH(O87,O88:O$267,0))&gt;1),0,MATCH(O87,O88:O$267,0))+IF(OR(TYPE(O87)&gt;1,TYPE(MATCH(O87,U$11:U$267,0))&gt;1),0,MATCH(O87,U$11:U$267,0))+IF(OR(TYPE(O87)&gt;1,TYPE(MATCH(O87,AA$11:AA$267,0))&gt;1),0,MATCH(O87,AA$11:AA$267,0))</f>
        <v>0</v>
      </c>
      <c r="AP87" s="408">
        <f ca="1">IF(OR(TYPE(U87)&gt;1,TYPE(MATCH(U87,I$11:I$267,0))&gt;1),0,MATCH(U87,I$11:I$267,0))+IF(OR(TYPE(U87)&gt;1,TYPE(MATCH(U87,O$11:O$267,0))&gt;1),0,MATCH(U87,O$11:O$267,0))+IF(OR(TYPE(U87)&gt;1,TYPE(MATCH(U87,U88:U$267,0))&gt;1),0,MATCH(U87,U88:U$267,0))+IF(OR(TYPE(U87)&gt;1,TYPE(MATCH(U87,AA$11:AA$267,0))&gt;1),0,MATCH(U87,AA$11:AA$267,0))</f>
        <v>0</v>
      </c>
      <c r="AQ87" s="408">
        <f ca="1">IF(OR(TYPE(AA87)&gt;1,TYPE(MATCH(AA87,I$11:I$267,0))&gt;1),0,MATCH(AA87,I$11:I$267,0))+IF(OR(TYPE(AA87)&gt;1,TYPE(MATCH(AA87,O$11:O$267,0))&gt;1),0,MATCH(AA87,O$11:O$267,0))+IF(OR(TYPE(AA87)&gt;1,TYPE(MATCH(AA87,U$11:U$267,0))&gt;1),0,MATCH(U87,U$11:U$267,0))+IF(OR(TYPE(AA87)&gt;1,TYPE(MATCH(AA87,AA88:AA$267,0))&gt;1),0,MATCH(AA87,AA88:AA$267,0))</f>
        <v>0</v>
      </c>
      <c r="AR87" s="408">
        <f t="shared" ca="1" si="44"/>
        <v>0</v>
      </c>
      <c r="BF87" s="408">
        <f t="shared" si="45"/>
        <v>77</v>
      </c>
    </row>
    <row r="88" spans="1:58" ht="14.25">
      <c r="A88" s="430">
        <f t="shared" ca="1" si="30"/>
        <v>1</v>
      </c>
      <c r="B88" s="430">
        <f t="shared" ca="1" si="31"/>
        <v>1</v>
      </c>
      <c r="C88" s="430">
        <f t="shared" ca="1" si="32"/>
        <v>19.689</v>
      </c>
      <c r="D88" s="430">
        <f t="shared" ca="1" si="33"/>
        <v>20145</v>
      </c>
      <c r="E88" s="430">
        <f t="shared" ca="1" si="34"/>
        <v>147</v>
      </c>
      <c r="F88" s="431" t="str">
        <f t="shared" ca="1" si="35"/>
        <v>91019689979854999852848974</v>
      </c>
      <c r="G88" s="467" t="b">
        <f t="shared" ca="1" si="36"/>
        <v>0</v>
      </c>
      <c r="H88" s="468">
        <f t="shared" si="37"/>
        <v>78</v>
      </c>
      <c r="I88" s="469">
        <f t="shared" ca="1" si="38"/>
        <v>12047</v>
      </c>
      <c r="J88" s="470" t="str">
        <f ca="1">IF(N(I88)&gt;0,VLOOKUP(I88,Hraci!$A$1:$I$1500,2,0),IF(TYPE(INDIRECT(ADDRESS(ROW() + $A$9-9 + (ROW()-11)*4,2,1,1,"Internet")))&gt;1,INDIRECT(ADDRESS(ROW() + $A$9-9 + (ROW()-11)*4,2,1,1,"Internet"))," "))</f>
        <v>Karásková</v>
      </c>
      <c r="K88" s="471" t="str">
        <f ca="1">IF(N(I88)&gt;0,VLOOKUP(I88,Hraci!$A$1:$I$1500,3,0)," ")</f>
        <v>Františka</v>
      </c>
      <c r="L88" s="471" t="str">
        <f ca="1">IF(N(I88)&gt;0,VLOOKUP(I88,Hraci!$A$1:$I$1500,5,0),IF(TYPE(INDIRECT(ADDRESS(ROW() + $A$9-9 + (ROW()-11)*4,3,1,1,"Internet")))&gt;1,INDIRECT(ADDRESS(ROW() + $A$9-9 + (ROW()-11)*4,3,1,1,"Internet"))," "))</f>
        <v>HRODE KRUMSÍN</v>
      </c>
      <c r="M88" s="472">
        <f ca="1">IF(N(I88)=0,9999,VLOOKUP(I88,Hraci!$A$1:$I$1500,8,0))</f>
        <v>147</v>
      </c>
      <c r="N88" s="473">
        <f ca="1">IF(N(I88)=0,0,VLOOKUP(I88,Hraci!$A$1:$I$1500,9,0))</f>
        <v>19.689</v>
      </c>
      <c r="O88" s="469" t="str">
        <f t="shared" ca="1" si="39"/>
        <v/>
      </c>
      <c r="P88" s="470" t="str">
        <f ca="1">IF(N(O88)&gt;0,VLOOKUP(O88,Hraci!$A$1:$I$1500,2,0),IF(TYPE(INDIRECT(ADDRESS(ROW() + $A$9-8 + (ROW()-11)*4,2,1,1,"Internet")))&gt;1,INDIRECT(ADDRESS(ROW() + $A$9-8 + (ROW()-11)*4,2,1,1,"Internet"))," "))</f>
        <v xml:space="preserve"> </v>
      </c>
      <c r="Q88" s="471" t="str">
        <f ca="1">IF(N(O88)&gt;0,VLOOKUP(O88,Hraci!$A$1:$I$1500,3,0)," ")</f>
        <v xml:space="preserve"> </v>
      </c>
      <c r="R88" s="471" t="str">
        <f ca="1">IF(N(O88)&gt;0,VLOOKUP(O88,Hraci!$A$1:$I$1500,5,0),IF(TYPE(INDIRECT(ADDRESS(ROW() + $A$9-8 + (ROW()-11)*4,3,1,1,"Internet")))&gt;1,INDIRECT(ADDRESS(ROW() + $A$9-8 + (ROW()-11)*4,3,1,1,"Internet"))," "))</f>
        <v xml:space="preserve"> </v>
      </c>
      <c r="S88" s="472">
        <f ca="1">IF(N(O88)=0,9999,VLOOKUP(O88,Hraci!$A$1:$I$1500,8,0))</f>
        <v>9999</v>
      </c>
      <c r="T88" s="473">
        <f ca="1">IF(N(O88)=0,0,VLOOKUP(O88,Hraci!$A$1:$I$1500,9,0))</f>
        <v>0</v>
      </c>
      <c r="U88" s="469" t="str">
        <f t="shared" ca="1" si="40"/>
        <v/>
      </c>
      <c r="V88" s="470" t="str">
        <f ca="1">IF(N(U88)&gt;0,VLOOKUP(U88,Hraci!$A$1:$I$1500,2,0),IF(TYPE(INDIRECT(ADDRESS(ROW() + $A$9-7 + (ROW()-11)*4,2,1,1,"Internet")))&gt;1,INDIRECT(ADDRESS(ROW() + $A$9-7 + (ROW()-11)*4,2,1,1,"Internet"))," "))</f>
        <v xml:space="preserve"> </v>
      </c>
      <c r="W88" s="471" t="str">
        <f ca="1">IF(N(U88)&gt;0,VLOOKUP(U88,Hraci!$A$1:$I$1500,3,0)," ")</f>
        <v xml:space="preserve"> </v>
      </c>
      <c r="X88" s="471" t="str">
        <f ca="1">IF(N(U88)&gt;0,VLOOKUP(U88,Hraci!$A$1:$I$1500,5,0),IF(TYPE(INDIRECT(ADDRESS(ROW() + $A$9-7 + (ROW()-11)*4,3,1,1,"Internet")))&gt;1,INDIRECT(ADDRESS(ROW() + $A$9-7 + (ROW()-11)*4,3,1,1,"Internet"))," "))</f>
        <v xml:space="preserve"> </v>
      </c>
      <c r="Y88" s="472">
        <f ca="1">IF(N(U88)=0,9999,VLOOKUP(U88,Hraci!$A$1:$I$1500,8,0))</f>
        <v>9999</v>
      </c>
      <c r="Z88" s="473">
        <f ca="1">IF(N(U88)=0,0,VLOOKUP(U88,Hraci!$A$1:$I$1500,9,0))</f>
        <v>0</v>
      </c>
      <c r="AA88" s="469" t="str">
        <f t="shared" ca="1" si="41"/>
        <v/>
      </c>
      <c r="AB88" s="470" t="str">
        <f ca="1">IF(N(AA88)&gt;0,VLOOKUP(AA88,Hraci!$A$1:$I$1500,2,0)," ")</f>
        <v xml:space="preserve"> </v>
      </c>
      <c r="AC88" s="471" t="str">
        <f ca="1">IF(N(AA88)&gt;0,VLOOKUP(AA88,Hraci!$A$1:$I$1500,3,0)," ")</f>
        <v xml:space="preserve"> </v>
      </c>
      <c r="AD88" s="471" t="str">
        <f ca="1">IF(N(AA88)&gt;0,VLOOKUP(AA88,Hraci!$A$1:$I$1500,5,0)," ")</f>
        <v xml:space="preserve"> </v>
      </c>
      <c r="AE88" s="472">
        <f ca="1">IF(N(AA88)=0,9999,VLOOKUP(AA88,Hraci!$A$1:$I$1500,8,0))</f>
        <v>9999</v>
      </c>
      <c r="AF88" s="473">
        <f ca="1">IF(N(AA88)=0,0,VLOOKUP(AA88,Hraci!$A$1:$I$1500,9,0))</f>
        <v>0</v>
      </c>
      <c r="AG88" s="474"/>
      <c r="AH88" s="480">
        <v>129</v>
      </c>
      <c r="AI88" s="475">
        <f ca="1">IF(N($AH88)&gt;0,VLOOKUP($AH88,Body!$A$4:$F$259,5,0),"")</f>
        <v>553.40650000000005</v>
      </c>
      <c r="AJ88" s="476">
        <f ca="1">IF(N($AH88)&gt;0,VLOOKUP($AH88,Body!$A$4:$F$259,6,0),"")</f>
        <v>200</v>
      </c>
      <c r="AK88" s="475">
        <f ca="1">IF(N($AH88)&gt;0,VLOOKUP($AH88,Body!$A$4:$F$259,2,0),"")</f>
        <v>8</v>
      </c>
      <c r="AL88" s="477" t="str">
        <f t="shared" ca="1" si="42"/>
        <v>78 HRODE KRUMSÍN - Karásková Františka</v>
      </c>
      <c r="AM88" s="478">
        <f t="shared" ca="1" si="43"/>
        <v>19.689</v>
      </c>
      <c r="AN88" s="408">
        <f ca="1">IF(OR(TYPE(I88)&gt;1,TYPE(MATCH(I88,I89:I$267,0))&gt;1),0,MATCH(I88,I89:I$267,0))+IF(OR(TYPE(I88)&gt;1,TYPE(MATCH(I88,O$11:O$267,0))&gt;1),0,MATCH(I88,O$11:O$267,0))+IF(OR(TYPE(I88)&gt;1,TYPE(MATCH(I88,U$11:U$267,0))&gt;1),0,MATCH(I88,U$11:U$267,0))+IF(OR(TYPE(I88)&gt;1,TYPE(MATCH(I88,AA$11:AA$267,0))&gt;1),0,MATCH(I88,AA$11:AA$267,0))</f>
        <v>0</v>
      </c>
      <c r="AO88" s="408">
        <f ca="1">IF(OR(TYPE(O88)&gt;1,TYPE(MATCH(O88,I$11:I$267,0))&gt;1),0,MATCH(O88,I$11:I$267,0))+IF(OR(TYPE(O88)&gt;1,TYPE(MATCH(O88,O89:O$267,0))&gt;1),0,MATCH(O88,O89:O$267,0))+IF(OR(TYPE(O88)&gt;1,TYPE(MATCH(O88,U$11:U$267,0))&gt;1),0,MATCH(O88,U$11:U$267,0))+IF(OR(TYPE(O88)&gt;1,TYPE(MATCH(O88,AA$11:AA$267,0))&gt;1),0,MATCH(O88,AA$11:AA$267,0))</f>
        <v>0</v>
      </c>
      <c r="AP88" s="408">
        <f ca="1">IF(OR(TYPE(U88)&gt;1,TYPE(MATCH(U88,I$11:I$267,0))&gt;1),0,MATCH(U88,I$11:I$267,0))+IF(OR(TYPE(U88)&gt;1,TYPE(MATCH(U88,O$11:O$267,0))&gt;1),0,MATCH(U88,O$11:O$267,0))+IF(OR(TYPE(U88)&gt;1,TYPE(MATCH(U88,U89:U$267,0))&gt;1),0,MATCH(U88,U89:U$267,0))+IF(OR(TYPE(U88)&gt;1,TYPE(MATCH(U88,AA$11:AA$267,0))&gt;1),0,MATCH(U88,AA$11:AA$267,0))</f>
        <v>0</v>
      </c>
      <c r="AQ88" s="408">
        <f ca="1">IF(OR(TYPE(AA88)&gt;1,TYPE(MATCH(AA88,I$11:I$267,0))&gt;1),0,MATCH(AA88,I$11:I$267,0))+IF(OR(TYPE(AA88)&gt;1,TYPE(MATCH(AA88,O$11:O$267,0))&gt;1),0,MATCH(AA88,O$11:O$267,0))+IF(OR(TYPE(AA88)&gt;1,TYPE(MATCH(AA88,U$11:U$267,0))&gt;1),0,MATCH(U88,U$11:U$267,0))+IF(OR(TYPE(AA88)&gt;1,TYPE(MATCH(AA88,AA89:AA$267,0))&gt;1),0,MATCH(AA88,AA89:AA$267,0))</f>
        <v>0</v>
      </c>
      <c r="AR88" s="408">
        <f t="shared" ca="1" si="44"/>
        <v>0</v>
      </c>
      <c r="BF88" s="408">
        <f t="shared" si="45"/>
        <v>78</v>
      </c>
    </row>
    <row r="89" spans="1:58" ht="14.25">
      <c r="A89" s="430">
        <f t="shared" ca="1" si="30"/>
        <v>1</v>
      </c>
      <c r="B89" s="430">
        <f t="shared" ca="1" si="31"/>
        <v>1</v>
      </c>
      <c r="C89" s="430">
        <f t="shared" ca="1" si="32"/>
        <v>19.594999999999999</v>
      </c>
      <c r="D89" s="430">
        <f t="shared" ca="1" si="33"/>
        <v>20133</v>
      </c>
      <c r="E89" s="430">
        <f t="shared" ca="1" si="34"/>
        <v>135</v>
      </c>
      <c r="F89" s="431" t="str">
        <f t="shared" ca="1" si="35"/>
        <v>91019595979866999864665179</v>
      </c>
      <c r="G89" s="467" t="b">
        <f t="shared" ca="1" si="36"/>
        <v>0</v>
      </c>
      <c r="H89" s="468">
        <f t="shared" si="37"/>
        <v>79</v>
      </c>
      <c r="I89" s="469">
        <f t="shared" ca="1" si="38"/>
        <v>12010</v>
      </c>
      <c r="J89" s="470" t="str">
        <f ca="1">IF(N(I89)&gt;0,VLOOKUP(I89,Hraci!$A$1:$I$1500,2,0),IF(TYPE(INDIRECT(ADDRESS(ROW() + $A$9-9 + (ROW()-11)*4,2,1,1,"Internet")))&gt;1,INDIRECT(ADDRESS(ROW() + $A$9-9 + (ROW()-11)*4,2,1,1,"Internet"))," "))</f>
        <v>Pachla</v>
      </c>
      <c r="K89" s="471" t="str">
        <f ca="1">IF(N(I89)&gt;0,VLOOKUP(I89,Hraci!$A$1:$I$1500,3,0)," ")</f>
        <v>Pavel</v>
      </c>
      <c r="L89" s="471" t="str">
        <f ca="1">IF(N(I89)&gt;0,VLOOKUP(I89,Hraci!$A$1:$I$1500,5,0),IF(TYPE(INDIRECT(ADDRESS(ROW() + $A$9-9 + (ROW()-11)*4,3,1,1,"Internet")))&gt;1,INDIRECT(ADDRESS(ROW() + $A$9-9 + (ROW()-11)*4,3,1,1,"Internet"))," "))</f>
        <v>PO Chotěboř</v>
      </c>
      <c r="M89" s="472">
        <f ca="1">IF(N(I89)=0,9999,VLOOKUP(I89,Hraci!$A$1:$I$1500,8,0))</f>
        <v>135</v>
      </c>
      <c r="N89" s="473">
        <f ca="1">IF(N(I89)=0,0,VLOOKUP(I89,Hraci!$A$1:$I$1500,9,0))</f>
        <v>19.594999999999999</v>
      </c>
      <c r="O89" s="469" t="str">
        <f t="shared" ca="1" si="39"/>
        <v/>
      </c>
      <c r="P89" s="470" t="str">
        <f ca="1">IF(N(O89)&gt;0,VLOOKUP(O89,Hraci!$A$1:$I$1500,2,0),IF(TYPE(INDIRECT(ADDRESS(ROW() + $A$9-8 + (ROW()-11)*4,2,1,1,"Internet")))&gt;1,INDIRECT(ADDRESS(ROW() + $A$9-8 + (ROW()-11)*4,2,1,1,"Internet"))," "))</f>
        <v xml:space="preserve"> </v>
      </c>
      <c r="Q89" s="471" t="str">
        <f ca="1">IF(N(O89)&gt;0,VLOOKUP(O89,Hraci!$A$1:$I$1500,3,0)," ")</f>
        <v xml:space="preserve"> </v>
      </c>
      <c r="R89" s="471" t="str">
        <f ca="1">IF(N(O89)&gt;0,VLOOKUP(O89,Hraci!$A$1:$I$1500,5,0),IF(TYPE(INDIRECT(ADDRESS(ROW() + $A$9-8 + (ROW()-11)*4,3,1,1,"Internet")))&gt;1,INDIRECT(ADDRESS(ROW() + $A$9-8 + (ROW()-11)*4,3,1,1,"Internet"))," "))</f>
        <v xml:space="preserve"> </v>
      </c>
      <c r="S89" s="472">
        <f ca="1">IF(N(O89)=0,9999,VLOOKUP(O89,Hraci!$A$1:$I$1500,8,0))</f>
        <v>9999</v>
      </c>
      <c r="T89" s="473">
        <f ca="1">IF(N(O89)=0,0,VLOOKUP(O89,Hraci!$A$1:$I$1500,9,0))</f>
        <v>0</v>
      </c>
      <c r="U89" s="469" t="str">
        <f t="shared" ca="1" si="40"/>
        <v/>
      </c>
      <c r="V89" s="470" t="str">
        <f ca="1">IF(N(U89)&gt;0,VLOOKUP(U89,Hraci!$A$1:$I$1500,2,0),IF(TYPE(INDIRECT(ADDRESS(ROW() + $A$9-7 + (ROW()-11)*4,2,1,1,"Internet")))&gt;1,INDIRECT(ADDRESS(ROW() + $A$9-7 + (ROW()-11)*4,2,1,1,"Internet"))," "))</f>
        <v xml:space="preserve"> </v>
      </c>
      <c r="W89" s="471" t="str">
        <f ca="1">IF(N(U89)&gt;0,VLOOKUP(U89,Hraci!$A$1:$I$1500,3,0)," ")</f>
        <v xml:space="preserve"> </v>
      </c>
      <c r="X89" s="471" t="str">
        <f ca="1">IF(N(U89)&gt;0,VLOOKUP(U89,Hraci!$A$1:$I$1500,5,0),IF(TYPE(INDIRECT(ADDRESS(ROW() + $A$9-7 + (ROW()-11)*4,3,1,1,"Internet")))&gt;1,INDIRECT(ADDRESS(ROW() + $A$9-7 + (ROW()-11)*4,3,1,1,"Internet"))," "))</f>
        <v xml:space="preserve"> </v>
      </c>
      <c r="Y89" s="472">
        <f ca="1">IF(N(U89)=0,9999,VLOOKUP(U89,Hraci!$A$1:$I$1500,8,0))</f>
        <v>9999</v>
      </c>
      <c r="Z89" s="473">
        <f ca="1">IF(N(U89)=0,0,VLOOKUP(U89,Hraci!$A$1:$I$1500,9,0))</f>
        <v>0</v>
      </c>
      <c r="AA89" s="469" t="str">
        <f t="shared" ca="1" si="41"/>
        <v/>
      </c>
      <c r="AB89" s="470" t="str">
        <f ca="1">IF(N(AA89)&gt;0,VLOOKUP(AA89,Hraci!$A$1:$I$1500,2,0)," ")</f>
        <v xml:space="preserve"> </v>
      </c>
      <c r="AC89" s="471" t="str">
        <f ca="1">IF(N(AA89)&gt;0,VLOOKUP(AA89,Hraci!$A$1:$I$1500,3,0)," ")</f>
        <v xml:space="preserve"> </v>
      </c>
      <c r="AD89" s="471" t="str">
        <f ca="1">IF(N(AA89)&gt;0,VLOOKUP(AA89,Hraci!$A$1:$I$1500,5,0)," ")</f>
        <v xml:space="preserve"> </v>
      </c>
      <c r="AE89" s="472">
        <f ca="1">IF(N(AA89)=0,9999,VLOOKUP(AA89,Hraci!$A$1:$I$1500,8,0))</f>
        <v>9999</v>
      </c>
      <c r="AF89" s="473">
        <f ca="1">IF(N(AA89)=0,0,VLOOKUP(AA89,Hraci!$A$1:$I$1500,9,0))</f>
        <v>0</v>
      </c>
      <c r="AG89" s="474"/>
      <c r="AH89" s="480">
        <v>86</v>
      </c>
      <c r="AI89" s="475">
        <f ca="1">IF(N($AH89)&gt;0,VLOOKUP($AH89,Body!$A$4:$F$259,5,0),"")</f>
        <v>553.40650000000005</v>
      </c>
      <c r="AJ89" s="476">
        <f ca="1">IF(N($AH89)&gt;0,VLOOKUP($AH89,Body!$A$4:$F$259,6,0),"")</f>
        <v>200</v>
      </c>
      <c r="AK89" s="475">
        <f ca="1">IF(N($AH89)&gt;0,VLOOKUP($AH89,Body!$A$4:$F$259,2,0),"")</f>
        <v>8</v>
      </c>
      <c r="AL89" s="477" t="str">
        <f t="shared" ca="1" si="42"/>
        <v>79 PO Chotěboř - Pachla Pavel</v>
      </c>
      <c r="AM89" s="478">
        <f t="shared" ca="1" si="43"/>
        <v>19.594999999999999</v>
      </c>
      <c r="AN89" s="408">
        <f ca="1">IF(OR(TYPE(I89)&gt;1,TYPE(MATCH(I89,I90:I$267,0))&gt;1),0,MATCH(I89,I90:I$267,0))+IF(OR(TYPE(I89)&gt;1,TYPE(MATCH(I89,O$11:O$267,0))&gt;1),0,MATCH(I89,O$11:O$267,0))+IF(OR(TYPE(I89)&gt;1,TYPE(MATCH(I89,U$11:U$267,0))&gt;1),0,MATCH(I89,U$11:U$267,0))+IF(OR(TYPE(I89)&gt;1,TYPE(MATCH(I89,AA$11:AA$267,0))&gt;1),0,MATCH(I89,AA$11:AA$267,0))</f>
        <v>0</v>
      </c>
      <c r="AO89" s="408">
        <f ca="1">IF(OR(TYPE(O89)&gt;1,TYPE(MATCH(O89,I$11:I$267,0))&gt;1),0,MATCH(O89,I$11:I$267,0))+IF(OR(TYPE(O89)&gt;1,TYPE(MATCH(O89,O90:O$267,0))&gt;1),0,MATCH(O89,O90:O$267,0))+IF(OR(TYPE(O89)&gt;1,TYPE(MATCH(O89,U$11:U$267,0))&gt;1),0,MATCH(O89,U$11:U$267,0))+IF(OR(TYPE(O89)&gt;1,TYPE(MATCH(O89,AA$11:AA$267,0))&gt;1),0,MATCH(O89,AA$11:AA$267,0))</f>
        <v>0</v>
      </c>
      <c r="AP89" s="408">
        <f ca="1">IF(OR(TYPE(U89)&gt;1,TYPE(MATCH(U89,I$11:I$267,0))&gt;1),0,MATCH(U89,I$11:I$267,0))+IF(OR(TYPE(U89)&gt;1,TYPE(MATCH(U89,O$11:O$267,0))&gt;1),0,MATCH(U89,O$11:O$267,0))+IF(OR(TYPE(U89)&gt;1,TYPE(MATCH(U89,U90:U$267,0))&gt;1),0,MATCH(U89,U90:U$267,0))+IF(OR(TYPE(U89)&gt;1,TYPE(MATCH(U89,AA$11:AA$267,0))&gt;1),0,MATCH(U89,AA$11:AA$267,0))</f>
        <v>0</v>
      </c>
      <c r="AQ89" s="408">
        <f ca="1">IF(OR(TYPE(AA89)&gt;1,TYPE(MATCH(AA89,I$11:I$267,0))&gt;1),0,MATCH(AA89,I$11:I$267,0))+IF(OR(TYPE(AA89)&gt;1,TYPE(MATCH(AA89,O$11:O$267,0))&gt;1),0,MATCH(AA89,O$11:O$267,0))+IF(OR(TYPE(AA89)&gt;1,TYPE(MATCH(AA89,U$11:U$267,0))&gt;1),0,MATCH(U89,U$11:U$267,0))+IF(OR(TYPE(AA89)&gt;1,TYPE(MATCH(AA89,AA90:AA$267,0))&gt;1),0,MATCH(AA89,AA90:AA$267,0))</f>
        <v>0</v>
      </c>
      <c r="AR89" s="408">
        <f t="shared" ca="1" si="44"/>
        <v>0</v>
      </c>
      <c r="BF89" s="408">
        <f t="shared" si="45"/>
        <v>79</v>
      </c>
    </row>
    <row r="90" spans="1:58" ht="14.25">
      <c r="A90" s="430">
        <f t="shared" ca="1" si="30"/>
        <v>1</v>
      </c>
      <c r="B90" s="430">
        <f t="shared" ca="1" si="31"/>
        <v>1</v>
      </c>
      <c r="C90" s="430">
        <f t="shared" ca="1" si="32"/>
        <v>19.001999999999999</v>
      </c>
      <c r="D90" s="430">
        <f t="shared" ca="1" si="33"/>
        <v>20121</v>
      </c>
      <c r="E90" s="430">
        <f t="shared" ca="1" si="34"/>
        <v>123</v>
      </c>
      <c r="F90" s="431" t="str">
        <f t="shared" ca="1" si="35"/>
        <v>91019002979878999876831248</v>
      </c>
      <c r="G90" s="467" t="b">
        <f t="shared" ca="1" si="36"/>
        <v>0</v>
      </c>
      <c r="H90" s="468">
        <f t="shared" si="37"/>
        <v>80</v>
      </c>
      <c r="I90" s="469">
        <f t="shared" ca="1" si="38"/>
        <v>17090</v>
      </c>
      <c r="J90" s="470" t="str">
        <f ca="1">IF(N(I90)&gt;0,VLOOKUP(I90,Hraci!$A$1:$I$1500,2,0),IF(TYPE(INDIRECT(ADDRESS(ROW() + $A$9-9 + (ROW()-11)*4,2,1,1,"Internet")))&gt;1,INDIRECT(ADDRESS(ROW() + $A$9-9 + (ROW()-11)*4,2,1,1,"Internet"))," "))</f>
        <v>Sedláčková</v>
      </c>
      <c r="K90" s="471" t="str">
        <f ca="1">IF(N(I90)&gt;0,VLOOKUP(I90,Hraci!$A$1:$I$1500,3,0)," ")</f>
        <v>Marie</v>
      </c>
      <c r="L90" s="471" t="str">
        <f ca="1">IF(N(I90)&gt;0,VLOOKUP(I90,Hraci!$A$1:$I$1500,5,0),IF(TYPE(INDIRECT(ADDRESS(ROW() + $A$9-9 + (ROW()-11)*4,3,1,1,"Internet")))&gt;1,INDIRECT(ADDRESS(ROW() + $A$9-9 + (ROW()-11)*4,3,1,1,"Internet"))," "))</f>
        <v>PKT Velký Šanc</v>
      </c>
      <c r="M90" s="472">
        <f ca="1">IF(N(I90)=0,9999,VLOOKUP(I90,Hraci!$A$1:$I$1500,8,0))</f>
        <v>123</v>
      </c>
      <c r="N90" s="473">
        <f ca="1">IF(N(I90)=0,0,VLOOKUP(I90,Hraci!$A$1:$I$1500,9,0))</f>
        <v>19.001999999999999</v>
      </c>
      <c r="O90" s="469" t="str">
        <f t="shared" ca="1" si="39"/>
        <v/>
      </c>
      <c r="P90" s="470" t="str">
        <f ca="1">IF(N(O90)&gt;0,VLOOKUP(O90,Hraci!$A$1:$I$1500,2,0),IF(TYPE(INDIRECT(ADDRESS(ROW() + $A$9-8 + (ROW()-11)*4,2,1,1,"Internet")))&gt;1,INDIRECT(ADDRESS(ROW() + $A$9-8 + (ROW()-11)*4,2,1,1,"Internet"))," "))</f>
        <v xml:space="preserve"> </v>
      </c>
      <c r="Q90" s="471" t="str">
        <f ca="1">IF(N(O90)&gt;0,VLOOKUP(O90,Hraci!$A$1:$I$1500,3,0)," ")</f>
        <v xml:space="preserve"> </v>
      </c>
      <c r="R90" s="471" t="str">
        <f ca="1">IF(N(O90)&gt;0,VLOOKUP(O90,Hraci!$A$1:$I$1500,5,0),IF(TYPE(INDIRECT(ADDRESS(ROW() + $A$9-8 + (ROW()-11)*4,3,1,1,"Internet")))&gt;1,INDIRECT(ADDRESS(ROW() + $A$9-8 + (ROW()-11)*4,3,1,1,"Internet"))," "))</f>
        <v xml:space="preserve"> </v>
      </c>
      <c r="S90" s="472">
        <f ca="1">IF(N(O90)=0,9999,VLOOKUP(O90,Hraci!$A$1:$I$1500,8,0))</f>
        <v>9999</v>
      </c>
      <c r="T90" s="473">
        <f ca="1">IF(N(O90)=0,0,VLOOKUP(O90,Hraci!$A$1:$I$1500,9,0))</f>
        <v>0</v>
      </c>
      <c r="U90" s="469" t="str">
        <f t="shared" ca="1" si="40"/>
        <v/>
      </c>
      <c r="V90" s="470" t="str">
        <f ca="1">IF(N(U90)&gt;0,VLOOKUP(U90,Hraci!$A$1:$I$1500,2,0),IF(TYPE(INDIRECT(ADDRESS(ROW() + $A$9-7 + (ROW()-11)*4,2,1,1,"Internet")))&gt;1,INDIRECT(ADDRESS(ROW() + $A$9-7 + (ROW()-11)*4,2,1,1,"Internet"))," "))</f>
        <v xml:space="preserve"> </v>
      </c>
      <c r="W90" s="471" t="str">
        <f ca="1">IF(N(U90)&gt;0,VLOOKUP(U90,Hraci!$A$1:$I$1500,3,0)," ")</f>
        <v xml:space="preserve"> </v>
      </c>
      <c r="X90" s="471" t="str">
        <f ca="1">IF(N(U90)&gt;0,VLOOKUP(U90,Hraci!$A$1:$I$1500,5,0),IF(TYPE(INDIRECT(ADDRESS(ROW() + $A$9-7 + (ROW()-11)*4,3,1,1,"Internet")))&gt;1,INDIRECT(ADDRESS(ROW() + $A$9-7 + (ROW()-11)*4,3,1,1,"Internet"))," "))</f>
        <v xml:space="preserve"> </v>
      </c>
      <c r="Y90" s="472">
        <f ca="1">IF(N(U90)=0,9999,VLOOKUP(U90,Hraci!$A$1:$I$1500,8,0))</f>
        <v>9999</v>
      </c>
      <c r="Z90" s="473">
        <f ca="1">IF(N(U90)=0,0,VLOOKUP(U90,Hraci!$A$1:$I$1500,9,0))</f>
        <v>0</v>
      </c>
      <c r="AA90" s="469" t="str">
        <f t="shared" ca="1" si="41"/>
        <v/>
      </c>
      <c r="AB90" s="470" t="str">
        <f ca="1">IF(N(AA90)&gt;0,VLOOKUP(AA90,Hraci!$A$1:$I$1500,2,0)," ")</f>
        <v xml:space="preserve"> </v>
      </c>
      <c r="AC90" s="471" t="str">
        <f ca="1">IF(N(AA90)&gt;0,VLOOKUP(AA90,Hraci!$A$1:$I$1500,3,0)," ")</f>
        <v xml:space="preserve"> </v>
      </c>
      <c r="AD90" s="471" t="str">
        <f ca="1">IF(N(AA90)&gt;0,VLOOKUP(AA90,Hraci!$A$1:$I$1500,5,0)," ")</f>
        <v xml:space="preserve"> </v>
      </c>
      <c r="AE90" s="472">
        <f ca="1">IF(N(AA90)=0,9999,VLOOKUP(AA90,Hraci!$A$1:$I$1500,8,0))</f>
        <v>9999</v>
      </c>
      <c r="AF90" s="473">
        <f ca="1">IF(N(AA90)=0,0,VLOOKUP(AA90,Hraci!$A$1:$I$1500,9,0))</f>
        <v>0</v>
      </c>
      <c r="AG90" s="474"/>
      <c r="AH90" s="480">
        <v>129</v>
      </c>
      <c r="AI90" s="475">
        <f ca="1">IF(N($AH90)&gt;0,VLOOKUP($AH90,Body!$A$4:$F$259,5,0),"")</f>
        <v>553.40650000000005</v>
      </c>
      <c r="AJ90" s="476">
        <f ca="1">IF(N($AH90)&gt;0,VLOOKUP($AH90,Body!$A$4:$F$259,6,0),"")</f>
        <v>200</v>
      </c>
      <c r="AK90" s="475">
        <f ca="1">IF(N($AH90)&gt;0,VLOOKUP($AH90,Body!$A$4:$F$259,2,0),"")</f>
        <v>8</v>
      </c>
      <c r="AL90" s="477" t="str">
        <f t="shared" ca="1" si="42"/>
        <v>80 PKT Velký Šanc - Sedláčková Marie</v>
      </c>
      <c r="AM90" s="478">
        <f t="shared" ca="1" si="43"/>
        <v>19.001999999999999</v>
      </c>
      <c r="AN90" s="408">
        <f ca="1">IF(OR(TYPE(I90)&gt;1,TYPE(MATCH(I90,I91:I$267,0))&gt;1),0,MATCH(I90,I91:I$267,0))+IF(OR(TYPE(I90)&gt;1,TYPE(MATCH(I90,O$11:O$267,0))&gt;1),0,MATCH(I90,O$11:O$267,0))+IF(OR(TYPE(I90)&gt;1,TYPE(MATCH(I90,U$11:U$267,0))&gt;1),0,MATCH(I90,U$11:U$267,0))+IF(OR(TYPE(I90)&gt;1,TYPE(MATCH(I90,AA$11:AA$267,0))&gt;1),0,MATCH(I90,AA$11:AA$267,0))</f>
        <v>0</v>
      </c>
      <c r="AO90" s="408">
        <f ca="1">IF(OR(TYPE(O90)&gt;1,TYPE(MATCH(O90,I$11:I$267,0))&gt;1),0,MATCH(O90,I$11:I$267,0))+IF(OR(TYPE(O90)&gt;1,TYPE(MATCH(O90,O91:O$267,0))&gt;1),0,MATCH(O90,O91:O$267,0))+IF(OR(TYPE(O90)&gt;1,TYPE(MATCH(O90,U$11:U$267,0))&gt;1),0,MATCH(O90,U$11:U$267,0))+IF(OR(TYPE(O90)&gt;1,TYPE(MATCH(O90,AA$11:AA$267,0))&gt;1),0,MATCH(O90,AA$11:AA$267,0))</f>
        <v>0</v>
      </c>
      <c r="AP90" s="408">
        <f ca="1">IF(OR(TYPE(U90)&gt;1,TYPE(MATCH(U90,I$11:I$267,0))&gt;1),0,MATCH(U90,I$11:I$267,0))+IF(OR(TYPE(U90)&gt;1,TYPE(MATCH(U90,O$11:O$267,0))&gt;1),0,MATCH(U90,O$11:O$267,0))+IF(OR(TYPE(U90)&gt;1,TYPE(MATCH(U90,U91:U$267,0))&gt;1),0,MATCH(U90,U91:U$267,0))+IF(OR(TYPE(U90)&gt;1,TYPE(MATCH(U90,AA$11:AA$267,0))&gt;1),0,MATCH(U90,AA$11:AA$267,0))</f>
        <v>0</v>
      </c>
      <c r="AQ90" s="408">
        <f ca="1">IF(OR(TYPE(AA90)&gt;1,TYPE(MATCH(AA90,I$11:I$267,0))&gt;1),0,MATCH(AA90,I$11:I$267,0))+IF(OR(TYPE(AA90)&gt;1,TYPE(MATCH(AA90,O$11:O$267,0))&gt;1),0,MATCH(AA90,O$11:O$267,0))+IF(OR(TYPE(AA90)&gt;1,TYPE(MATCH(AA90,U$11:U$267,0))&gt;1),0,MATCH(U90,U$11:U$267,0))+IF(OR(TYPE(AA90)&gt;1,TYPE(MATCH(AA90,AA91:AA$267,0))&gt;1),0,MATCH(AA90,AA91:AA$267,0))</f>
        <v>0</v>
      </c>
      <c r="AR90" s="408">
        <f t="shared" ca="1" si="44"/>
        <v>0</v>
      </c>
      <c r="BF90" s="408">
        <f t="shared" si="45"/>
        <v>80</v>
      </c>
    </row>
    <row r="91" spans="1:58" ht="14.25">
      <c r="A91" s="430">
        <f t="shared" ca="1" si="30"/>
        <v>1</v>
      </c>
      <c r="B91" s="430">
        <f t="shared" ca="1" si="31"/>
        <v>1</v>
      </c>
      <c r="C91" s="430">
        <f t="shared" ca="1" si="32"/>
        <v>19.001999999999999</v>
      </c>
      <c r="D91" s="430">
        <f t="shared" ca="1" si="33"/>
        <v>20122</v>
      </c>
      <c r="E91" s="430">
        <f t="shared" ca="1" si="34"/>
        <v>124</v>
      </c>
      <c r="F91" s="431" t="str">
        <f t="shared" ca="1" si="35"/>
        <v>91019002979877999875075108</v>
      </c>
      <c r="G91" s="467" t="b">
        <f t="shared" ca="1" si="36"/>
        <v>0</v>
      </c>
      <c r="H91" s="468">
        <f t="shared" si="37"/>
        <v>81</v>
      </c>
      <c r="I91" s="469">
        <f t="shared" ca="1" si="38"/>
        <v>18130</v>
      </c>
      <c r="J91" s="470" t="str">
        <f ca="1">IF(N(I91)&gt;0,VLOOKUP(I91,Hraci!$A$1:$I$1500,2,0),IF(TYPE(INDIRECT(ADDRESS(ROW() + $A$9-9 + (ROW()-11)*4,2,1,1,"Internet")))&gt;1,INDIRECT(ADDRESS(ROW() + $A$9-9 + (ROW()-11)*4,2,1,1,"Internet"))," "))</f>
        <v>Semrád</v>
      </c>
      <c r="K91" s="471" t="str">
        <f ca="1">IF(N(I91)&gt;0,VLOOKUP(I91,Hraci!$A$1:$I$1500,3,0)," ")</f>
        <v>Oldřich</v>
      </c>
      <c r="L91" s="471" t="str">
        <f ca="1">IF(N(I91)&gt;0,VLOOKUP(I91,Hraci!$A$1:$I$1500,5,0),IF(TYPE(INDIRECT(ADDRESS(ROW() + $A$9-9 + (ROW()-11)*4,3,1,1,"Internet")))&gt;1,INDIRECT(ADDRESS(ROW() + $A$9-9 + (ROW()-11)*4,3,1,1,"Internet"))," "))</f>
        <v>PKT Velký Šanc</v>
      </c>
      <c r="M91" s="472">
        <f ca="1">IF(N(I91)=0,9999,VLOOKUP(I91,Hraci!$A$1:$I$1500,8,0))</f>
        <v>124</v>
      </c>
      <c r="N91" s="473">
        <f ca="1">IF(N(I91)=0,0,VLOOKUP(I91,Hraci!$A$1:$I$1500,9,0))</f>
        <v>19.001999999999999</v>
      </c>
      <c r="O91" s="469" t="str">
        <f t="shared" ca="1" si="39"/>
        <v/>
      </c>
      <c r="P91" s="470" t="str">
        <f ca="1">IF(N(O91)&gt;0,VLOOKUP(O91,Hraci!$A$1:$I$1500,2,0),IF(TYPE(INDIRECT(ADDRESS(ROW() + $A$9-8 + (ROW()-11)*4,2,1,1,"Internet")))&gt;1,INDIRECT(ADDRESS(ROW() + $A$9-8 + (ROW()-11)*4,2,1,1,"Internet"))," "))</f>
        <v xml:space="preserve"> </v>
      </c>
      <c r="Q91" s="471" t="str">
        <f ca="1">IF(N(O91)&gt;0,VLOOKUP(O91,Hraci!$A$1:$I$1500,3,0)," ")</f>
        <v xml:space="preserve"> </v>
      </c>
      <c r="R91" s="471" t="str">
        <f ca="1">IF(N(O91)&gt;0,VLOOKUP(O91,Hraci!$A$1:$I$1500,5,0),IF(TYPE(INDIRECT(ADDRESS(ROW() + $A$9-8 + (ROW()-11)*4,3,1,1,"Internet")))&gt;1,INDIRECT(ADDRESS(ROW() + $A$9-8 + (ROW()-11)*4,3,1,1,"Internet"))," "))</f>
        <v xml:space="preserve"> </v>
      </c>
      <c r="S91" s="472">
        <f ca="1">IF(N(O91)=0,9999,VLOOKUP(O91,Hraci!$A$1:$I$1500,8,0))</f>
        <v>9999</v>
      </c>
      <c r="T91" s="473">
        <f ca="1">IF(N(O91)=0,0,VLOOKUP(O91,Hraci!$A$1:$I$1500,9,0))</f>
        <v>0</v>
      </c>
      <c r="U91" s="469" t="str">
        <f t="shared" ca="1" si="40"/>
        <v/>
      </c>
      <c r="V91" s="470" t="str">
        <f ca="1">IF(N(U91)&gt;0,VLOOKUP(U91,Hraci!$A$1:$I$1500,2,0),IF(TYPE(INDIRECT(ADDRESS(ROW() + $A$9-7 + (ROW()-11)*4,2,1,1,"Internet")))&gt;1,INDIRECT(ADDRESS(ROW() + $A$9-7 + (ROW()-11)*4,2,1,1,"Internet"))," "))</f>
        <v xml:space="preserve"> </v>
      </c>
      <c r="W91" s="471" t="str">
        <f ca="1">IF(N(U91)&gt;0,VLOOKUP(U91,Hraci!$A$1:$I$1500,3,0)," ")</f>
        <v xml:space="preserve"> </v>
      </c>
      <c r="X91" s="471" t="str">
        <f ca="1">IF(N(U91)&gt;0,VLOOKUP(U91,Hraci!$A$1:$I$1500,5,0),IF(TYPE(INDIRECT(ADDRESS(ROW() + $A$9-7 + (ROW()-11)*4,3,1,1,"Internet")))&gt;1,INDIRECT(ADDRESS(ROW() + $A$9-7 + (ROW()-11)*4,3,1,1,"Internet"))," "))</f>
        <v xml:space="preserve"> </v>
      </c>
      <c r="Y91" s="472">
        <f ca="1">IF(N(U91)=0,9999,VLOOKUP(U91,Hraci!$A$1:$I$1500,8,0))</f>
        <v>9999</v>
      </c>
      <c r="Z91" s="473">
        <f ca="1">IF(N(U91)=0,0,VLOOKUP(U91,Hraci!$A$1:$I$1500,9,0))</f>
        <v>0</v>
      </c>
      <c r="AA91" s="469" t="str">
        <f t="shared" ca="1" si="41"/>
        <v/>
      </c>
      <c r="AB91" s="470" t="str">
        <f ca="1">IF(N(AA91)&gt;0,VLOOKUP(AA91,Hraci!$A$1:$I$1500,2,0)," ")</f>
        <v xml:space="preserve"> </v>
      </c>
      <c r="AC91" s="471" t="str">
        <f ca="1">IF(N(AA91)&gt;0,VLOOKUP(AA91,Hraci!$A$1:$I$1500,3,0)," ")</f>
        <v xml:space="preserve"> </v>
      </c>
      <c r="AD91" s="471" t="str">
        <f ca="1">IF(N(AA91)&gt;0,VLOOKUP(AA91,Hraci!$A$1:$I$1500,5,0)," ")</f>
        <v xml:space="preserve"> </v>
      </c>
      <c r="AE91" s="472">
        <f ca="1">IF(N(AA91)=0,9999,VLOOKUP(AA91,Hraci!$A$1:$I$1500,8,0))</f>
        <v>9999</v>
      </c>
      <c r="AF91" s="473">
        <f ca="1">IF(N(AA91)=0,0,VLOOKUP(AA91,Hraci!$A$1:$I$1500,9,0))</f>
        <v>0</v>
      </c>
      <c r="AG91" s="474"/>
      <c r="AH91" s="480">
        <v>129</v>
      </c>
      <c r="AI91" s="475">
        <f ca="1">IF(N($AH91)&gt;0,VLOOKUP($AH91,Body!$A$4:$F$259,5,0),"")</f>
        <v>553.40650000000005</v>
      </c>
      <c r="AJ91" s="476">
        <f ca="1">IF(N($AH91)&gt;0,VLOOKUP($AH91,Body!$A$4:$F$259,6,0),"")</f>
        <v>200</v>
      </c>
      <c r="AK91" s="475">
        <f ca="1">IF(N($AH91)&gt;0,VLOOKUP($AH91,Body!$A$4:$F$259,2,0),"")</f>
        <v>8</v>
      </c>
      <c r="AL91" s="477" t="str">
        <f t="shared" ca="1" si="42"/>
        <v>81 PKT Velký Šanc - Semrád Oldřich</v>
      </c>
      <c r="AM91" s="478">
        <f t="shared" ca="1" si="43"/>
        <v>19.001999999999999</v>
      </c>
      <c r="AN91" s="408">
        <f ca="1">IF(OR(TYPE(I91)&gt;1,TYPE(MATCH(I91,I92:I$267,0))&gt;1),0,MATCH(I91,I92:I$267,0))+IF(OR(TYPE(I91)&gt;1,TYPE(MATCH(I91,O$11:O$267,0))&gt;1),0,MATCH(I91,O$11:O$267,0))+IF(OR(TYPE(I91)&gt;1,TYPE(MATCH(I91,U$11:U$267,0))&gt;1),0,MATCH(I91,U$11:U$267,0))+IF(OR(TYPE(I91)&gt;1,TYPE(MATCH(I91,AA$11:AA$267,0))&gt;1),0,MATCH(I91,AA$11:AA$267,0))</f>
        <v>0</v>
      </c>
      <c r="AO91" s="408">
        <f ca="1">IF(OR(TYPE(O91)&gt;1,TYPE(MATCH(O91,I$11:I$267,0))&gt;1),0,MATCH(O91,I$11:I$267,0))+IF(OR(TYPE(O91)&gt;1,TYPE(MATCH(O91,O92:O$267,0))&gt;1),0,MATCH(O91,O92:O$267,0))+IF(OR(TYPE(O91)&gt;1,TYPE(MATCH(O91,U$11:U$267,0))&gt;1),0,MATCH(O91,U$11:U$267,0))+IF(OR(TYPE(O91)&gt;1,TYPE(MATCH(O91,AA$11:AA$267,0))&gt;1),0,MATCH(O91,AA$11:AA$267,0))</f>
        <v>0</v>
      </c>
      <c r="AP91" s="408">
        <f ca="1">IF(OR(TYPE(U91)&gt;1,TYPE(MATCH(U91,I$11:I$267,0))&gt;1),0,MATCH(U91,I$11:I$267,0))+IF(OR(TYPE(U91)&gt;1,TYPE(MATCH(U91,O$11:O$267,0))&gt;1),0,MATCH(U91,O$11:O$267,0))+IF(OR(TYPE(U91)&gt;1,TYPE(MATCH(U91,U92:U$267,0))&gt;1),0,MATCH(U91,U92:U$267,0))+IF(OR(TYPE(U91)&gt;1,TYPE(MATCH(U91,AA$11:AA$267,0))&gt;1),0,MATCH(U91,AA$11:AA$267,0))</f>
        <v>0</v>
      </c>
      <c r="AQ91" s="408">
        <f ca="1">IF(OR(TYPE(AA91)&gt;1,TYPE(MATCH(AA91,I$11:I$267,0))&gt;1),0,MATCH(AA91,I$11:I$267,0))+IF(OR(TYPE(AA91)&gt;1,TYPE(MATCH(AA91,O$11:O$267,0))&gt;1),0,MATCH(AA91,O$11:O$267,0))+IF(OR(TYPE(AA91)&gt;1,TYPE(MATCH(AA91,U$11:U$267,0))&gt;1),0,MATCH(U91,U$11:U$267,0))+IF(OR(TYPE(AA91)&gt;1,TYPE(MATCH(AA91,AA92:AA$267,0))&gt;1),0,MATCH(AA91,AA92:AA$267,0))</f>
        <v>0</v>
      </c>
      <c r="AR91" s="408">
        <f t="shared" ca="1" si="44"/>
        <v>0</v>
      </c>
      <c r="BF91" s="408">
        <f t="shared" si="45"/>
        <v>81</v>
      </c>
    </row>
    <row r="92" spans="1:58" ht="14.25">
      <c r="A92" s="430">
        <f t="shared" ca="1" si="30"/>
        <v>1</v>
      </c>
      <c r="B92" s="430">
        <f t="shared" ca="1" si="31"/>
        <v>1</v>
      </c>
      <c r="C92" s="430">
        <f t="shared" ca="1" si="32"/>
        <v>19.001000000000001</v>
      </c>
      <c r="D92" s="430">
        <f t="shared" ca="1" si="33"/>
        <v>20109</v>
      </c>
      <c r="E92" s="430">
        <f t="shared" ca="1" si="34"/>
        <v>111</v>
      </c>
      <c r="F92" s="431" t="str">
        <f t="shared" ca="1" si="35"/>
        <v>91019001979890999888324441</v>
      </c>
      <c r="G92" s="467" t="b">
        <f t="shared" ca="1" si="36"/>
        <v>0</v>
      </c>
      <c r="H92" s="468">
        <f t="shared" si="37"/>
        <v>82</v>
      </c>
      <c r="I92" s="469">
        <f t="shared" ca="1" si="38"/>
        <v>16029</v>
      </c>
      <c r="J92" s="470" t="str">
        <f ca="1">IF(N(I92)&gt;0,VLOOKUP(I92,Hraci!$A$1:$I$1500,2,0),IF(TYPE(INDIRECT(ADDRESS(ROW() + $A$9-9 + (ROW()-11)*4,2,1,1,"Internet")))&gt;1,INDIRECT(ADDRESS(ROW() + $A$9-9 + (ROW()-11)*4,2,1,1,"Internet"))," "))</f>
        <v>Kašparová</v>
      </c>
      <c r="K92" s="471" t="str">
        <f ca="1">IF(N(I92)&gt;0,VLOOKUP(I92,Hraci!$A$1:$I$1500,3,0)," ")</f>
        <v>Barbora</v>
      </c>
      <c r="L92" s="471" t="str">
        <f ca="1">IF(N(I92)&gt;0,VLOOKUP(I92,Hraci!$A$1:$I$1500,5,0),IF(TYPE(INDIRECT(ADDRESS(ROW() + $A$9-9 + (ROW()-11)*4,3,1,1,"Internet")))&gt;1,INDIRECT(ADDRESS(ROW() + $A$9-9 + (ROW()-11)*4,3,1,1,"Internet"))," "))</f>
        <v>Petank Club Praha</v>
      </c>
      <c r="M92" s="472">
        <f ca="1">IF(N(I92)=0,9999,VLOOKUP(I92,Hraci!$A$1:$I$1500,8,0))</f>
        <v>111</v>
      </c>
      <c r="N92" s="473">
        <f ca="1">IF(N(I92)=0,0,VLOOKUP(I92,Hraci!$A$1:$I$1500,9,0))</f>
        <v>19.001000000000001</v>
      </c>
      <c r="O92" s="469" t="str">
        <f t="shared" ca="1" si="39"/>
        <v/>
      </c>
      <c r="P92" s="470" t="str">
        <f ca="1">IF(N(O92)&gt;0,VLOOKUP(O92,Hraci!$A$1:$I$1500,2,0),IF(TYPE(INDIRECT(ADDRESS(ROW() + $A$9-8 + (ROW()-11)*4,2,1,1,"Internet")))&gt;1,INDIRECT(ADDRESS(ROW() + $A$9-8 + (ROW()-11)*4,2,1,1,"Internet"))," "))</f>
        <v xml:space="preserve"> </v>
      </c>
      <c r="Q92" s="471" t="str">
        <f ca="1">IF(N(O92)&gt;0,VLOOKUP(O92,Hraci!$A$1:$I$1500,3,0)," ")</f>
        <v xml:space="preserve"> </v>
      </c>
      <c r="R92" s="471" t="str">
        <f ca="1">IF(N(O92)&gt;0,VLOOKUP(O92,Hraci!$A$1:$I$1500,5,0),IF(TYPE(INDIRECT(ADDRESS(ROW() + $A$9-8 + (ROW()-11)*4,3,1,1,"Internet")))&gt;1,INDIRECT(ADDRESS(ROW() + $A$9-8 + (ROW()-11)*4,3,1,1,"Internet"))," "))</f>
        <v xml:space="preserve"> </v>
      </c>
      <c r="S92" s="472">
        <f ca="1">IF(N(O92)=0,9999,VLOOKUP(O92,Hraci!$A$1:$I$1500,8,0))</f>
        <v>9999</v>
      </c>
      <c r="T92" s="473">
        <f ca="1">IF(N(O92)=0,0,VLOOKUP(O92,Hraci!$A$1:$I$1500,9,0))</f>
        <v>0</v>
      </c>
      <c r="U92" s="469" t="str">
        <f t="shared" ca="1" si="40"/>
        <v/>
      </c>
      <c r="V92" s="470" t="str">
        <f ca="1">IF(N(U92)&gt;0,VLOOKUP(U92,Hraci!$A$1:$I$1500,2,0),IF(TYPE(INDIRECT(ADDRESS(ROW() + $A$9-7 + (ROW()-11)*4,2,1,1,"Internet")))&gt;1,INDIRECT(ADDRESS(ROW() + $A$9-7 + (ROW()-11)*4,2,1,1,"Internet"))," "))</f>
        <v xml:space="preserve"> </v>
      </c>
      <c r="W92" s="471" t="str">
        <f ca="1">IF(N(U92)&gt;0,VLOOKUP(U92,Hraci!$A$1:$I$1500,3,0)," ")</f>
        <v xml:space="preserve"> </v>
      </c>
      <c r="X92" s="471" t="str">
        <f ca="1">IF(N(U92)&gt;0,VLOOKUP(U92,Hraci!$A$1:$I$1500,5,0),IF(TYPE(INDIRECT(ADDRESS(ROW() + $A$9-7 + (ROW()-11)*4,3,1,1,"Internet")))&gt;1,INDIRECT(ADDRESS(ROW() + $A$9-7 + (ROW()-11)*4,3,1,1,"Internet"))," "))</f>
        <v xml:space="preserve"> </v>
      </c>
      <c r="Y92" s="472">
        <f ca="1">IF(N(U92)=0,9999,VLOOKUP(U92,Hraci!$A$1:$I$1500,8,0))</f>
        <v>9999</v>
      </c>
      <c r="Z92" s="473">
        <f ca="1">IF(N(U92)=0,0,VLOOKUP(U92,Hraci!$A$1:$I$1500,9,0))</f>
        <v>0</v>
      </c>
      <c r="AA92" s="469" t="str">
        <f t="shared" ca="1" si="41"/>
        <v/>
      </c>
      <c r="AB92" s="470" t="str">
        <f ca="1">IF(N(AA92)&gt;0,VLOOKUP(AA92,Hraci!$A$1:$I$1500,2,0)," ")</f>
        <v xml:space="preserve"> </v>
      </c>
      <c r="AC92" s="471" t="str">
        <f ca="1">IF(N(AA92)&gt;0,VLOOKUP(AA92,Hraci!$A$1:$I$1500,3,0)," ")</f>
        <v xml:space="preserve"> </v>
      </c>
      <c r="AD92" s="471" t="str">
        <f ca="1">IF(N(AA92)&gt;0,VLOOKUP(AA92,Hraci!$A$1:$I$1500,5,0)," ")</f>
        <v xml:space="preserve"> </v>
      </c>
      <c r="AE92" s="472">
        <f ca="1">IF(N(AA92)=0,9999,VLOOKUP(AA92,Hraci!$A$1:$I$1500,8,0))</f>
        <v>9999</v>
      </c>
      <c r="AF92" s="473">
        <f ca="1">IF(N(AA92)=0,0,VLOOKUP(AA92,Hraci!$A$1:$I$1500,9,0))</f>
        <v>0</v>
      </c>
      <c r="AG92" s="474"/>
      <c r="AH92" s="480">
        <v>64</v>
      </c>
      <c r="AI92" s="475">
        <f ca="1">IF(N($AH92)&gt;0,VLOOKUP($AH92,Body!$A$4:$F$259,5,0),"")</f>
        <v>288.35162500000001</v>
      </c>
      <c r="AJ92" s="476">
        <f ca="1">IF(N($AH92)&gt;0,VLOOKUP($AH92,Body!$A$4:$F$259,6,0),"")</f>
        <v>200</v>
      </c>
      <c r="AK92" s="475">
        <f ca="1">IF(N($AH92)&gt;0,VLOOKUP($AH92,Body!$A$4:$F$259,2,0),"")</f>
        <v>2</v>
      </c>
      <c r="AL92" s="477" t="str">
        <f t="shared" ca="1" si="42"/>
        <v>82 Petank Club Praha - Kašparová Barbora</v>
      </c>
      <c r="AM92" s="478">
        <f t="shared" ca="1" si="43"/>
        <v>19.001000000000001</v>
      </c>
      <c r="AN92" s="408">
        <f ca="1">IF(OR(TYPE(I92)&gt;1,TYPE(MATCH(I92,I93:I$267,0))&gt;1),0,MATCH(I92,I93:I$267,0))+IF(OR(TYPE(I92)&gt;1,TYPE(MATCH(I92,O$11:O$267,0))&gt;1),0,MATCH(I92,O$11:O$267,0))+IF(OR(TYPE(I92)&gt;1,TYPE(MATCH(I92,U$11:U$267,0))&gt;1),0,MATCH(I92,U$11:U$267,0))+IF(OR(TYPE(I92)&gt;1,TYPE(MATCH(I92,AA$11:AA$267,0))&gt;1),0,MATCH(I92,AA$11:AA$267,0))</f>
        <v>0</v>
      </c>
      <c r="AO92" s="408">
        <f ca="1">IF(OR(TYPE(O92)&gt;1,TYPE(MATCH(O92,I$11:I$267,0))&gt;1),0,MATCH(O92,I$11:I$267,0))+IF(OR(TYPE(O92)&gt;1,TYPE(MATCH(O92,O93:O$267,0))&gt;1),0,MATCH(O92,O93:O$267,0))+IF(OR(TYPE(O92)&gt;1,TYPE(MATCH(O92,U$11:U$267,0))&gt;1),0,MATCH(O92,U$11:U$267,0))+IF(OR(TYPE(O92)&gt;1,TYPE(MATCH(O92,AA$11:AA$267,0))&gt;1),0,MATCH(O92,AA$11:AA$267,0))</f>
        <v>0</v>
      </c>
      <c r="AP92" s="408">
        <f ca="1">IF(OR(TYPE(U92)&gt;1,TYPE(MATCH(U92,I$11:I$267,0))&gt;1),0,MATCH(U92,I$11:I$267,0))+IF(OR(TYPE(U92)&gt;1,TYPE(MATCH(U92,O$11:O$267,0))&gt;1),0,MATCH(U92,O$11:O$267,0))+IF(OR(TYPE(U92)&gt;1,TYPE(MATCH(U92,U93:U$267,0))&gt;1),0,MATCH(U92,U93:U$267,0))+IF(OR(TYPE(U92)&gt;1,TYPE(MATCH(U92,AA$11:AA$267,0))&gt;1),0,MATCH(U92,AA$11:AA$267,0))</f>
        <v>0</v>
      </c>
      <c r="AQ92" s="408">
        <f ca="1">IF(OR(TYPE(AA92)&gt;1,TYPE(MATCH(AA92,I$11:I$267,0))&gt;1),0,MATCH(AA92,I$11:I$267,0))+IF(OR(TYPE(AA92)&gt;1,TYPE(MATCH(AA92,O$11:O$267,0))&gt;1),0,MATCH(AA92,O$11:O$267,0))+IF(OR(TYPE(AA92)&gt;1,TYPE(MATCH(AA92,U$11:U$267,0))&gt;1),0,MATCH(U92,U$11:U$267,0))+IF(OR(TYPE(AA92)&gt;1,TYPE(MATCH(AA92,AA93:AA$267,0))&gt;1),0,MATCH(AA92,AA93:AA$267,0))</f>
        <v>0</v>
      </c>
      <c r="AR92" s="408">
        <f t="shared" ca="1" si="44"/>
        <v>0</v>
      </c>
      <c r="BF92" s="408">
        <f t="shared" si="45"/>
        <v>82</v>
      </c>
    </row>
    <row r="93" spans="1:58" ht="14.25">
      <c r="A93" s="430">
        <f t="shared" ca="1" si="30"/>
        <v>1</v>
      </c>
      <c r="B93" s="430">
        <f t="shared" ca="1" si="31"/>
        <v>1</v>
      </c>
      <c r="C93" s="430">
        <f t="shared" ca="1" si="32"/>
        <v>19</v>
      </c>
      <c r="D93" s="430">
        <f t="shared" ca="1" si="33"/>
        <v>20125</v>
      </c>
      <c r="E93" s="430">
        <f t="shared" ca="1" si="34"/>
        <v>127</v>
      </c>
      <c r="F93" s="431" t="str">
        <f t="shared" ca="1" si="35"/>
        <v>91019000979874999872072200</v>
      </c>
      <c r="G93" s="467" t="b">
        <f t="shared" ca="1" si="36"/>
        <v>0</v>
      </c>
      <c r="H93" s="468">
        <f t="shared" si="37"/>
        <v>83</v>
      </c>
      <c r="I93" s="469">
        <f t="shared" ca="1" si="38"/>
        <v>15060</v>
      </c>
      <c r="J93" s="470" t="str">
        <f ca="1">IF(N(I93)&gt;0,VLOOKUP(I93,Hraci!$A$1:$I$1500,2,0),IF(TYPE(INDIRECT(ADDRESS(ROW() + $A$9-9 + (ROW()-11)*4,2,1,1,"Internet")))&gt;1,INDIRECT(ADDRESS(ROW() + $A$9-9 + (ROW()-11)*4,2,1,1,"Internet"))," "))</f>
        <v>Horálek</v>
      </c>
      <c r="K93" s="471" t="str">
        <f ca="1">IF(N(I93)&gt;0,VLOOKUP(I93,Hraci!$A$1:$I$1500,3,0)," ")</f>
        <v>Jiří</v>
      </c>
      <c r="L93" s="471" t="str">
        <f ca="1">IF(N(I93)&gt;0,VLOOKUP(I93,Hraci!$A$1:$I$1500,5,0),IF(TYPE(INDIRECT(ADDRESS(ROW() + $A$9-9 + (ROW()-11)*4,3,1,1,"Internet")))&gt;1,INDIRECT(ADDRESS(ROW() + $A$9-9 + (ROW()-11)*4,3,1,1,"Internet"))," "))</f>
        <v>PKT Velký Šanc</v>
      </c>
      <c r="M93" s="472">
        <f ca="1">IF(N(I93)=0,9999,VLOOKUP(I93,Hraci!$A$1:$I$1500,8,0))</f>
        <v>127</v>
      </c>
      <c r="N93" s="473">
        <f ca="1">IF(N(I93)=0,0,VLOOKUP(I93,Hraci!$A$1:$I$1500,9,0))</f>
        <v>19</v>
      </c>
      <c r="O93" s="469" t="str">
        <f t="shared" ca="1" si="39"/>
        <v/>
      </c>
      <c r="P93" s="470" t="str">
        <f ca="1">IF(N(O93)&gt;0,VLOOKUP(O93,Hraci!$A$1:$I$1500,2,0),IF(TYPE(INDIRECT(ADDRESS(ROW() + $A$9-8 + (ROW()-11)*4,2,1,1,"Internet")))&gt;1,INDIRECT(ADDRESS(ROW() + $A$9-8 + (ROW()-11)*4,2,1,1,"Internet"))," "))</f>
        <v xml:space="preserve"> </v>
      </c>
      <c r="Q93" s="471" t="str">
        <f ca="1">IF(N(O93)&gt;0,VLOOKUP(O93,Hraci!$A$1:$I$1500,3,0)," ")</f>
        <v xml:space="preserve"> </v>
      </c>
      <c r="R93" s="471" t="str">
        <f ca="1">IF(N(O93)&gt;0,VLOOKUP(O93,Hraci!$A$1:$I$1500,5,0),IF(TYPE(INDIRECT(ADDRESS(ROW() + $A$9-8 + (ROW()-11)*4,3,1,1,"Internet")))&gt;1,INDIRECT(ADDRESS(ROW() + $A$9-8 + (ROW()-11)*4,3,1,1,"Internet"))," "))</f>
        <v xml:space="preserve"> </v>
      </c>
      <c r="S93" s="472">
        <f ca="1">IF(N(O93)=0,9999,VLOOKUP(O93,Hraci!$A$1:$I$1500,8,0))</f>
        <v>9999</v>
      </c>
      <c r="T93" s="473">
        <f ca="1">IF(N(O93)=0,0,VLOOKUP(O93,Hraci!$A$1:$I$1500,9,0))</f>
        <v>0</v>
      </c>
      <c r="U93" s="469" t="str">
        <f t="shared" ca="1" si="40"/>
        <v/>
      </c>
      <c r="V93" s="470" t="str">
        <f ca="1">IF(N(U93)&gt;0,VLOOKUP(U93,Hraci!$A$1:$I$1500,2,0),IF(TYPE(INDIRECT(ADDRESS(ROW() + $A$9-7 + (ROW()-11)*4,2,1,1,"Internet")))&gt;1,INDIRECT(ADDRESS(ROW() + $A$9-7 + (ROW()-11)*4,2,1,1,"Internet"))," "))</f>
        <v xml:space="preserve"> </v>
      </c>
      <c r="W93" s="471" t="str">
        <f ca="1">IF(N(U93)&gt;0,VLOOKUP(U93,Hraci!$A$1:$I$1500,3,0)," ")</f>
        <v xml:space="preserve"> </v>
      </c>
      <c r="X93" s="471" t="str">
        <f ca="1">IF(N(U93)&gt;0,VLOOKUP(U93,Hraci!$A$1:$I$1500,5,0),IF(TYPE(INDIRECT(ADDRESS(ROW() + $A$9-7 + (ROW()-11)*4,3,1,1,"Internet")))&gt;1,INDIRECT(ADDRESS(ROW() + $A$9-7 + (ROW()-11)*4,3,1,1,"Internet"))," "))</f>
        <v xml:space="preserve"> </v>
      </c>
      <c r="Y93" s="472">
        <f ca="1">IF(N(U93)=0,9999,VLOOKUP(U93,Hraci!$A$1:$I$1500,8,0))</f>
        <v>9999</v>
      </c>
      <c r="Z93" s="473">
        <f ca="1">IF(N(U93)=0,0,VLOOKUP(U93,Hraci!$A$1:$I$1500,9,0))</f>
        <v>0</v>
      </c>
      <c r="AA93" s="469" t="str">
        <f t="shared" ca="1" si="41"/>
        <v/>
      </c>
      <c r="AB93" s="470" t="str">
        <f ca="1">IF(N(AA93)&gt;0,VLOOKUP(AA93,Hraci!$A$1:$I$1500,2,0)," ")</f>
        <v xml:space="preserve"> </v>
      </c>
      <c r="AC93" s="471" t="str">
        <f ca="1">IF(N(AA93)&gt;0,VLOOKUP(AA93,Hraci!$A$1:$I$1500,3,0)," ")</f>
        <v xml:space="preserve"> </v>
      </c>
      <c r="AD93" s="471" t="str">
        <f ca="1">IF(N(AA93)&gt;0,VLOOKUP(AA93,Hraci!$A$1:$I$1500,5,0)," ")</f>
        <v xml:space="preserve"> </v>
      </c>
      <c r="AE93" s="472">
        <f ca="1">IF(N(AA93)=0,9999,VLOOKUP(AA93,Hraci!$A$1:$I$1500,8,0))</f>
        <v>9999</v>
      </c>
      <c r="AF93" s="473">
        <f ca="1">IF(N(AA93)=0,0,VLOOKUP(AA93,Hraci!$A$1:$I$1500,9,0))</f>
        <v>0</v>
      </c>
      <c r="AG93" s="474"/>
      <c r="AH93" s="480">
        <v>64</v>
      </c>
      <c r="AI93" s="475">
        <f ca="1">IF(N($AH93)&gt;0,VLOOKUP($AH93,Body!$A$4:$F$259,5,0),"")</f>
        <v>288.35162500000001</v>
      </c>
      <c r="AJ93" s="476">
        <f ca="1">IF(N($AH93)&gt;0,VLOOKUP($AH93,Body!$A$4:$F$259,6,0),"")</f>
        <v>200</v>
      </c>
      <c r="AK93" s="475">
        <f ca="1">IF(N($AH93)&gt;0,VLOOKUP($AH93,Body!$A$4:$F$259,2,0),"")</f>
        <v>2</v>
      </c>
      <c r="AL93" s="477" t="str">
        <f t="shared" ca="1" si="42"/>
        <v>83 PKT Velký Šanc - Horálek Jiří</v>
      </c>
      <c r="AM93" s="478">
        <f t="shared" ca="1" si="43"/>
        <v>19</v>
      </c>
      <c r="AN93" s="408">
        <f ca="1">IF(OR(TYPE(I93)&gt;1,TYPE(MATCH(I93,I94:I$267,0))&gt;1),0,MATCH(I93,I94:I$267,0))+IF(OR(TYPE(I93)&gt;1,TYPE(MATCH(I93,O$11:O$267,0))&gt;1),0,MATCH(I93,O$11:O$267,0))+IF(OR(TYPE(I93)&gt;1,TYPE(MATCH(I93,U$11:U$267,0))&gt;1),0,MATCH(I93,U$11:U$267,0))+IF(OR(TYPE(I93)&gt;1,TYPE(MATCH(I93,AA$11:AA$267,0))&gt;1),0,MATCH(I93,AA$11:AA$267,0))</f>
        <v>0</v>
      </c>
      <c r="AO93" s="408">
        <f ca="1">IF(OR(TYPE(O93)&gt;1,TYPE(MATCH(O93,I$11:I$267,0))&gt;1),0,MATCH(O93,I$11:I$267,0))+IF(OR(TYPE(O93)&gt;1,TYPE(MATCH(O93,O94:O$267,0))&gt;1),0,MATCH(O93,O94:O$267,0))+IF(OR(TYPE(O93)&gt;1,TYPE(MATCH(O93,U$11:U$267,0))&gt;1),0,MATCH(O93,U$11:U$267,0))+IF(OR(TYPE(O93)&gt;1,TYPE(MATCH(O93,AA$11:AA$267,0))&gt;1),0,MATCH(O93,AA$11:AA$267,0))</f>
        <v>0</v>
      </c>
      <c r="AP93" s="408">
        <f ca="1">IF(OR(TYPE(U93)&gt;1,TYPE(MATCH(U93,I$11:I$267,0))&gt;1),0,MATCH(U93,I$11:I$267,0))+IF(OR(TYPE(U93)&gt;1,TYPE(MATCH(U93,O$11:O$267,0))&gt;1),0,MATCH(U93,O$11:O$267,0))+IF(OR(TYPE(U93)&gt;1,TYPE(MATCH(U93,U94:U$267,0))&gt;1),0,MATCH(U93,U94:U$267,0))+IF(OR(TYPE(U93)&gt;1,TYPE(MATCH(U93,AA$11:AA$267,0))&gt;1),0,MATCH(U93,AA$11:AA$267,0))</f>
        <v>0</v>
      </c>
      <c r="AQ93" s="408">
        <f ca="1">IF(OR(TYPE(AA93)&gt;1,TYPE(MATCH(AA93,I$11:I$267,0))&gt;1),0,MATCH(AA93,I$11:I$267,0))+IF(OR(TYPE(AA93)&gt;1,TYPE(MATCH(AA93,O$11:O$267,0))&gt;1),0,MATCH(AA93,O$11:O$267,0))+IF(OR(TYPE(AA93)&gt;1,TYPE(MATCH(AA93,U$11:U$267,0))&gt;1),0,MATCH(U93,U$11:U$267,0))+IF(OR(TYPE(AA93)&gt;1,TYPE(MATCH(AA93,AA94:AA$267,0))&gt;1),0,MATCH(AA93,AA94:AA$267,0))</f>
        <v>0</v>
      </c>
      <c r="AR93" s="408">
        <f t="shared" ca="1" si="44"/>
        <v>0</v>
      </c>
      <c r="BF93" s="408">
        <f t="shared" si="45"/>
        <v>83</v>
      </c>
    </row>
    <row r="94" spans="1:58" ht="14.25">
      <c r="A94" s="430">
        <f t="shared" ca="1" si="30"/>
        <v>1</v>
      </c>
      <c r="B94" s="430">
        <f t="shared" ca="1" si="31"/>
        <v>1</v>
      </c>
      <c r="C94" s="430">
        <f t="shared" ca="1" si="32"/>
        <v>18.969000000000001</v>
      </c>
      <c r="D94" s="430">
        <f t="shared" ca="1" si="33"/>
        <v>20154</v>
      </c>
      <c r="E94" s="430">
        <f t="shared" ca="1" si="34"/>
        <v>156</v>
      </c>
      <c r="F94" s="431" t="str">
        <f t="shared" ca="1" si="35"/>
        <v>91018969979845999843310158</v>
      </c>
      <c r="G94" s="467" t="b">
        <f t="shared" ca="1" si="36"/>
        <v>0</v>
      </c>
      <c r="H94" s="468">
        <f t="shared" si="37"/>
        <v>84</v>
      </c>
      <c r="I94" s="469">
        <f t="shared" ca="1" si="38"/>
        <v>10011</v>
      </c>
      <c r="J94" s="470" t="str">
        <f ca="1">IF(N(I94)&gt;0,VLOOKUP(I94,Hraci!$A$1:$I$1500,2,0),IF(TYPE(INDIRECT(ADDRESS(ROW() + $A$9-9 + (ROW()-11)*4,2,1,1,"Internet")))&gt;1,INDIRECT(ADDRESS(ROW() + $A$9-9 + (ROW()-11)*4,2,1,1,"Internet"))," "))</f>
        <v>Melgr</v>
      </c>
      <c r="K94" s="471" t="str">
        <f ca="1">IF(N(I94)&gt;0,VLOOKUP(I94,Hraci!$A$1:$I$1500,3,0)," ")</f>
        <v>Pavel</v>
      </c>
      <c r="L94" s="471" t="str">
        <f ca="1">IF(N(I94)&gt;0,VLOOKUP(I94,Hraci!$A$1:$I$1500,5,0),IF(TYPE(INDIRECT(ADDRESS(ROW() + $A$9-9 + (ROW()-11)*4,3,1,1,"Internet")))&gt;1,INDIRECT(ADDRESS(ROW() + $A$9-9 + (ROW()-11)*4,3,1,1,"Internet"))," "))</f>
        <v>PC Sokol PP Hr. Králové</v>
      </c>
      <c r="M94" s="472">
        <f ca="1">IF(N(I94)=0,9999,VLOOKUP(I94,Hraci!$A$1:$I$1500,8,0))</f>
        <v>156</v>
      </c>
      <c r="N94" s="473">
        <f ca="1">IF(N(I94)=0,0,VLOOKUP(I94,Hraci!$A$1:$I$1500,9,0))</f>
        <v>18.969000000000001</v>
      </c>
      <c r="O94" s="469" t="str">
        <f t="shared" ca="1" si="39"/>
        <v/>
      </c>
      <c r="P94" s="470" t="str">
        <f ca="1">IF(N(O94)&gt;0,VLOOKUP(O94,Hraci!$A$1:$I$1500,2,0),IF(TYPE(INDIRECT(ADDRESS(ROW() + $A$9-8 + (ROW()-11)*4,2,1,1,"Internet")))&gt;1,INDIRECT(ADDRESS(ROW() + $A$9-8 + (ROW()-11)*4,2,1,1,"Internet"))," "))</f>
        <v xml:space="preserve"> </v>
      </c>
      <c r="Q94" s="471" t="str">
        <f ca="1">IF(N(O94)&gt;0,VLOOKUP(O94,Hraci!$A$1:$I$1500,3,0)," ")</f>
        <v xml:space="preserve"> </v>
      </c>
      <c r="R94" s="471" t="str">
        <f ca="1">IF(N(O94)&gt;0,VLOOKUP(O94,Hraci!$A$1:$I$1500,5,0),IF(TYPE(INDIRECT(ADDRESS(ROW() + $A$9-8 + (ROW()-11)*4,3,1,1,"Internet")))&gt;1,INDIRECT(ADDRESS(ROW() + $A$9-8 + (ROW()-11)*4,3,1,1,"Internet"))," "))</f>
        <v xml:space="preserve"> </v>
      </c>
      <c r="S94" s="472">
        <f ca="1">IF(N(O94)=0,9999,VLOOKUP(O94,Hraci!$A$1:$I$1500,8,0))</f>
        <v>9999</v>
      </c>
      <c r="T94" s="473">
        <f ca="1">IF(N(O94)=0,0,VLOOKUP(O94,Hraci!$A$1:$I$1500,9,0))</f>
        <v>0</v>
      </c>
      <c r="U94" s="469" t="str">
        <f t="shared" ca="1" si="40"/>
        <v/>
      </c>
      <c r="V94" s="470" t="str">
        <f ca="1">IF(N(U94)&gt;0,VLOOKUP(U94,Hraci!$A$1:$I$1500,2,0),IF(TYPE(INDIRECT(ADDRESS(ROW() + $A$9-7 + (ROW()-11)*4,2,1,1,"Internet")))&gt;1,INDIRECT(ADDRESS(ROW() + $A$9-7 + (ROW()-11)*4,2,1,1,"Internet"))," "))</f>
        <v xml:space="preserve"> </v>
      </c>
      <c r="W94" s="471" t="str">
        <f ca="1">IF(N(U94)&gt;0,VLOOKUP(U94,Hraci!$A$1:$I$1500,3,0)," ")</f>
        <v xml:space="preserve"> </v>
      </c>
      <c r="X94" s="471" t="str">
        <f ca="1">IF(N(U94)&gt;0,VLOOKUP(U94,Hraci!$A$1:$I$1500,5,0),IF(TYPE(INDIRECT(ADDRESS(ROW() + $A$9-7 + (ROW()-11)*4,3,1,1,"Internet")))&gt;1,INDIRECT(ADDRESS(ROW() + $A$9-7 + (ROW()-11)*4,3,1,1,"Internet"))," "))</f>
        <v xml:space="preserve"> </v>
      </c>
      <c r="Y94" s="472">
        <f ca="1">IF(N(U94)=0,9999,VLOOKUP(U94,Hraci!$A$1:$I$1500,8,0))</f>
        <v>9999</v>
      </c>
      <c r="Z94" s="473">
        <f ca="1">IF(N(U94)=0,0,VLOOKUP(U94,Hraci!$A$1:$I$1500,9,0))</f>
        <v>0</v>
      </c>
      <c r="AA94" s="469" t="str">
        <f t="shared" ca="1" si="41"/>
        <v/>
      </c>
      <c r="AB94" s="470" t="str">
        <f ca="1">IF(N(AA94)&gt;0,VLOOKUP(AA94,Hraci!$A$1:$I$1500,2,0)," ")</f>
        <v xml:space="preserve"> </v>
      </c>
      <c r="AC94" s="471" t="str">
        <f ca="1">IF(N(AA94)&gt;0,VLOOKUP(AA94,Hraci!$A$1:$I$1500,3,0)," ")</f>
        <v xml:space="preserve"> </v>
      </c>
      <c r="AD94" s="471" t="str">
        <f ca="1">IF(N(AA94)&gt;0,VLOOKUP(AA94,Hraci!$A$1:$I$1500,5,0)," ")</f>
        <v xml:space="preserve"> </v>
      </c>
      <c r="AE94" s="472">
        <f ca="1">IF(N(AA94)=0,9999,VLOOKUP(AA94,Hraci!$A$1:$I$1500,8,0))</f>
        <v>9999</v>
      </c>
      <c r="AF94" s="473">
        <f ca="1">IF(N(AA94)=0,0,VLOOKUP(AA94,Hraci!$A$1:$I$1500,9,0))</f>
        <v>0</v>
      </c>
      <c r="AG94" s="474"/>
      <c r="AH94" s="480">
        <v>129</v>
      </c>
      <c r="AI94" s="475">
        <f ca="1">IF(N($AH94)&gt;0,VLOOKUP($AH94,Body!$A$4:$F$259,5,0),"")</f>
        <v>553.40650000000005</v>
      </c>
      <c r="AJ94" s="476">
        <f ca="1">IF(N($AH94)&gt;0,VLOOKUP($AH94,Body!$A$4:$F$259,6,0),"")</f>
        <v>200</v>
      </c>
      <c r="AK94" s="475">
        <f ca="1">IF(N($AH94)&gt;0,VLOOKUP($AH94,Body!$A$4:$F$259,2,0),"")</f>
        <v>8</v>
      </c>
      <c r="AL94" s="477" t="str">
        <f t="shared" ca="1" si="42"/>
        <v>84 PC Sokol PP Hr. Králové - Melgr Pavel</v>
      </c>
      <c r="AM94" s="478">
        <f t="shared" ca="1" si="43"/>
        <v>18.969000000000001</v>
      </c>
      <c r="AN94" s="408">
        <f ca="1">IF(OR(TYPE(I94)&gt;1,TYPE(MATCH(I94,I95:I$267,0))&gt;1),0,MATCH(I94,I95:I$267,0))+IF(OR(TYPE(I94)&gt;1,TYPE(MATCH(I94,O$11:O$267,0))&gt;1),0,MATCH(I94,O$11:O$267,0))+IF(OR(TYPE(I94)&gt;1,TYPE(MATCH(I94,U$11:U$267,0))&gt;1),0,MATCH(I94,U$11:U$267,0))+IF(OR(TYPE(I94)&gt;1,TYPE(MATCH(I94,AA$11:AA$267,0))&gt;1),0,MATCH(I94,AA$11:AA$267,0))</f>
        <v>0</v>
      </c>
      <c r="AO94" s="408">
        <f ca="1">IF(OR(TYPE(O94)&gt;1,TYPE(MATCH(O94,I$11:I$267,0))&gt;1),0,MATCH(O94,I$11:I$267,0))+IF(OR(TYPE(O94)&gt;1,TYPE(MATCH(O94,O95:O$267,0))&gt;1),0,MATCH(O94,O95:O$267,0))+IF(OR(TYPE(O94)&gt;1,TYPE(MATCH(O94,U$11:U$267,0))&gt;1),0,MATCH(O94,U$11:U$267,0))+IF(OR(TYPE(O94)&gt;1,TYPE(MATCH(O94,AA$11:AA$267,0))&gt;1),0,MATCH(O94,AA$11:AA$267,0))</f>
        <v>0</v>
      </c>
      <c r="AP94" s="408">
        <f ca="1">IF(OR(TYPE(U94)&gt;1,TYPE(MATCH(U94,I$11:I$267,0))&gt;1),0,MATCH(U94,I$11:I$267,0))+IF(OR(TYPE(U94)&gt;1,TYPE(MATCH(U94,O$11:O$267,0))&gt;1),0,MATCH(U94,O$11:O$267,0))+IF(OR(TYPE(U94)&gt;1,TYPE(MATCH(U94,U95:U$267,0))&gt;1),0,MATCH(U94,U95:U$267,0))+IF(OR(TYPE(U94)&gt;1,TYPE(MATCH(U94,AA$11:AA$267,0))&gt;1),0,MATCH(U94,AA$11:AA$267,0))</f>
        <v>0</v>
      </c>
      <c r="AQ94" s="408">
        <f ca="1">IF(OR(TYPE(AA94)&gt;1,TYPE(MATCH(AA94,I$11:I$267,0))&gt;1),0,MATCH(AA94,I$11:I$267,0))+IF(OR(TYPE(AA94)&gt;1,TYPE(MATCH(AA94,O$11:O$267,0))&gt;1),0,MATCH(AA94,O$11:O$267,0))+IF(OR(TYPE(AA94)&gt;1,TYPE(MATCH(AA94,U$11:U$267,0))&gt;1),0,MATCH(U94,U$11:U$267,0))+IF(OR(TYPE(AA94)&gt;1,TYPE(MATCH(AA94,AA95:AA$267,0))&gt;1),0,MATCH(AA94,AA95:AA$267,0))</f>
        <v>0</v>
      </c>
      <c r="AR94" s="408">
        <f t="shared" ca="1" si="44"/>
        <v>0</v>
      </c>
      <c r="BF94" s="408">
        <f t="shared" si="45"/>
        <v>84</v>
      </c>
    </row>
    <row r="95" spans="1:58" ht="14.25">
      <c r="A95" s="430">
        <f t="shared" ca="1" si="30"/>
        <v>1</v>
      </c>
      <c r="B95" s="430">
        <f t="shared" ca="1" si="31"/>
        <v>1</v>
      </c>
      <c r="C95" s="430">
        <f t="shared" ca="1" si="32"/>
        <v>17.721</v>
      </c>
      <c r="D95" s="430">
        <f t="shared" ca="1" si="33"/>
        <v>20140</v>
      </c>
      <c r="E95" s="430">
        <f t="shared" ca="1" si="34"/>
        <v>142</v>
      </c>
      <c r="F95" s="431" t="str">
        <f t="shared" ca="1" si="35"/>
        <v>91017721979859999857489084</v>
      </c>
      <c r="G95" s="467" t="b">
        <f t="shared" ca="1" si="36"/>
        <v>0</v>
      </c>
      <c r="H95" s="468">
        <f t="shared" si="37"/>
        <v>85</v>
      </c>
      <c r="I95" s="469">
        <f t="shared" ca="1" si="38"/>
        <v>16120</v>
      </c>
      <c r="J95" s="470" t="str">
        <f ca="1">IF(N(I95)&gt;0,VLOOKUP(I95,Hraci!$A$1:$I$1500,2,0),IF(TYPE(INDIRECT(ADDRESS(ROW() + $A$9-9 + (ROW()-11)*4,2,1,1,"Internet")))&gt;1,INDIRECT(ADDRESS(ROW() + $A$9-9 + (ROW()-11)*4,2,1,1,"Internet"))," "))</f>
        <v>Froněk</v>
      </c>
      <c r="K95" s="471" t="str">
        <f ca="1">IF(N(I95)&gt;0,VLOOKUP(I95,Hraci!$A$1:$I$1500,3,0)," ")</f>
        <v>Jiří ml.</v>
      </c>
      <c r="L95" s="471" t="str">
        <f ca="1">IF(N(I95)&gt;0,VLOOKUP(I95,Hraci!$A$1:$I$1500,5,0),IF(TYPE(INDIRECT(ADDRESS(ROW() + $A$9-9 + (ROW()-11)*4,3,1,1,"Internet")))&gt;1,INDIRECT(ADDRESS(ROW() + $A$9-9 + (ROW()-11)*4,3,1,1,"Internet"))," "))</f>
        <v>Petank Club Praha</v>
      </c>
      <c r="M95" s="472">
        <f ca="1">IF(N(I95)=0,9999,VLOOKUP(I95,Hraci!$A$1:$I$1500,8,0))</f>
        <v>142</v>
      </c>
      <c r="N95" s="473">
        <f ca="1">IF(N(I95)=0,0,VLOOKUP(I95,Hraci!$A$1:$I$1500,9,0))</f>
        <v>17.721</v>
      </c>
      <c r="O95" s="469" t="str">
        <f t="shared" ca="1" si="39"/>
        <v/>
      </c>
      <c r="P95" s="470" t="str">
        <f ca="1">IF(N(O95)&gt;0,VLOOKUP(O95,Hraci!$A$1:$I$1500,2,0),IF(TYPE(INDIRECT(ADDRESS(ROW() + $A$9-8 + (ROW()-11)*4,2,1,1,"Internet")))&gt;1,INDIRECT(ADDRESS(ROW() + $A$9-8 + (ROW()-11)*4,2,1,1,"Internet"))," "))</f>
        <v xml:space="preserve"> </v>
      </c>
      <c r="Q95" s="471" t="str">
        <f ca="1">IF(N(O95)&gt;0,VLOOKUP(O95,Hraci!$A$1:$I$1500,3,0)," ")</f>
        <v xml:space="preserve"> </v>
      </c>
      <c r="R95" s="471" t="str">
        <f ca="1">IF(N(O95)&gt;0,VLOOKUP(O95,Hraci!$A$1:$I$1500,5,0),IF(TYPE(INDIRECT(ADDRESS(ROW() + $A$9-8 + (ROW()-11)*4,3,1,1,"Internet")))&gt;1,INDIRECT(ADDRESS(ROW() + $A$9-8 + (ROW()-11)*4,3,1,1,"Internet"))," "))</f>
        <v xml:space="preserve"> </v>
      </c>
      <c r="S95" s="472">
        <f ca="1">IF(N(O95)=0,9999,VLOOKUP(O95,Hraci!$A$1:$I$1500,8,0))</f>
        <v>9999</v>
      </c>
      <c r="T95" s="473">
        <f ca="1">IF(N(O95)=0,0,VLOOKUP(O95,Hraci!$A$1:$I$1500,9,0))</f>
        <v>0</v>
      </c>
      <c r="U95" s="469" t="str">
        <f t="shared" ca="1" si="40"/>
        <v/>
      </c>
      <c r="V95" s="470" t="str">
        <f ca="1">IF(N(U95)&gt;0,VLOOKUP(U95,Hraci!$A$1:$I$1500,2,0),IF(TYPE(INDIRECT(ADDRESS(ROW() + $A$9-7 + (ROW()-11)*4,2,1,1,"Internet")))&gt;1,INDIRECT(ADDRESS(ROW() + $A$9-7 + (ROW()-11)*4,2,1,1,"Internet"))," "))</f>
        <v xml:space="preserve"> </v>
      </c>
      <c r="W95" s="471" t="str">
        <f ca="1">IF(N(U95)&gt;0,VLOOKUP(U95,Hraci!$A$1:$I$1500,3,0)," ")</f>
        <v xml:space="preserve"> </v>
      </c>
      <c r="X95" s="471" t="str">
        <f ca="1">IF(N(U95)&gt;0,VLOOKUP(U95,Hraci!$A$1:$I$1500,5,0),IF(TYPE(INDIRECT(ADDRESS(ROW() + $A$9-7 + (ROW()-11)*4,3,1,1,"Internet")))&gt;1,INDIRECT(ADDRESS(ROW() + $A$9-7 + (ROW()-11)*4,3,1,1,"Internet"))," "))</f>
        <v xml:space="preserve"> </v>
      </c>
      <c r="Y95" s="472">
        <f ca="1">IF(N(U95)=0,9999,VLOOKUP(U95,Hraci!$A$1:$I$1500,8,0))</f>
        <v>9999</v>
      </c>
      <c r="Z95" s="473">
        <f ca="1">IF(N(U95)=0,0,VLOOKUP(U95,Hraci!$A$1:$I$1500,9,0))</f>
        <v>0</v>
      </c>
      <c r="AA95" s="469" t="str">
        <f t="shared" ca="1" si="41"/>
        <v/>
      </c>
      <c r="AB95" s="470" t="str">
        <f ca="1">IF(N(AA95)&gt;0,VLOOKUP(AA95,Hraci!$A$1:$I$1500,2,0)," ")</f>
        <v xml:space="preserve"> </v>
      </c>
      <c r="AC95" s="471" t="str">
        <f ca="1">IF(N(AA95)&gt;0,VLOOKUP(AA95,Hraci!$A$1:$I$1500,3,0)," ")</f>
        <v xml:space="preserve"> </v>
      </c>
      <c r="AD95" s="471" t="str">
        <f ca="1">IF(N(AA95)&gt;0,VLOOKUP(AA95,Hraci!$A$1:$I$1500,5,0)," ")</f>
        <v xml:space="preserve"> </v>
      </c>
      <c r="AE95" s="472">
        <f ca="1">IF(N(AA95)=0,9999,VLOOKUP(AA95,Hraci!$A$1:$I$1500,8,0))</f>
        <v>9999</v>
      </c>
      <c r="AF95" s="473">
        <f ca="1">IF(N(AA95)=0,0,VLOOKUP(AA95,Hraci!$A$1:$I$1500,9,0))</f>
        <v>0</v>
      </c>
      <c r="AG95" s="474"/>
      <c r="AH95" s="480">
        <v>86</v>
      </c>
      <c r="AI95" s="475">
        <f ca="1">IF(N($AH95)&gt;0,VLOOKUP($AH95,Body!$A$4:$F$259,5,0),"")</f>
        <v>553.40650000000005</v>
      </c>
      <c r="AJ95" s="476">
        <f ca="1">IF(N($AH95)&gt;0,VLOOKUP($AH95,Body!$A$4:$F$259,6,0),"")</f>
        <v>200</v>
      </c>
      <c r="AK95" s="475">
        <f ca="1">IF(N($AH95)&gt;0,VLOOKUP($AH95,Body!$A$4:$F$259,2,0),"")</f>
        <v>8</v>
      </c>
      <c r="AL95" s="477" t="str">
        <f t="shared" ca="1" si="42"/>
        <v>85 Petank Club Praha - Froněk Jiří ml.</v>
      </c>
      <c r="AM95" s="478">
        <f t="shared" ca="1" si="43"/>
        <v>17.721</v>
      </c>
      <c r="AN95" s="408">
        <f ca="1">IF(OR(TYPE(I95)&gt;1,TYPE(MATCH(I95,I96:I$267,0))&gt;1),0,MATCH(I95,I96:I$267,0))+IF(OR(TYPE(I95)&gt;1,TYPE(MATCH(I95,O$11:O$267,0))&gt;1),0,MATCH(I95,O$11:O$267,0))+IF(OR(TYPE(I95)&gt;1,TYPE(MATCH(I95,U$11:U$267,0))&gt;1),0,MATCH(I95,U$11:U$267,0))+IF(OR(TYPE(I95)&gt;1,TYPE(MATCH(I95,AA$11:AA$267,0))&gt;1),0,MATCH(I95,AA$11:AA$267,0))</f>
        <v>0</v>
      </c>
      <c r="AO95" s="408">
        <f ca="1">IF(OR(TYPE(O95)&gt;1,TYPE(MATCH(O95,I$11:I$267,0))&gt;1),0,MATCH(O95,I$11:I$267,0))+IF(OR(TYPE(O95)&gt;1,TYPE(MATCH(O95,O96:O$267,0))&gt;1),0,MATCH(O95,O96:O$267,0))+IF(OR(TYPE(O95)&gt;1,TYPE(MATCH(O95,U$11:U$267,0))&gt;1),0,MATCH(O95,U$11:U$267,0))+IF(OR(TYPE(O95)&gt;1,TYPE(MATCH(O95,AA$11:AA$267,0))&gt;1),0,MATCH(O95,AA$11:AA$267,0))</f>
        <v>0</v>
      </c>
      <c r="AP95" s="408">
        <f ca="1">IF(OR(TYPE(U95)&gt;1,TYPE(MATCH(U95,I$11:I$267,0))&gt;1),0,MATCH(U95,I$11:I$267,0))+IF(OR(TYPE(U95)&gt;1,TYPE(MATCH(U95,O$11:O$267,0))&gt;1),0,MATCH(U95,O$11:O$267,0))+IF(OR(TYPE(U95)&gt;1,TYPE(MATCH(U95,U96:U$267,0))&gt;1),0,MATCH(U95,U96:U$267,0))+IF(OR(TYPE(U95)&gt;1,TYPE(MATCH(U95,AA$11:AA$267,0))&gt;1),0,MATCH(U95,AA$11:AA$267,0))</f>
        <v>0</v>
      </c>
      <c r="AQ95" s="408">
        <f ca="1">IF(OR(TYPE(AA95)&gt;1,TYPE(MATCH(AA95,I$11:I$267,0))&gt;1),0,MATCH(AA95,I$11:I$267,0))+IF(OR(TYPE(AA95)&gt;1,TYPE(MATCH(AA95,O$11:O$267,0))&gt;1),0,MATCH(AA95,O$11:O$267,0))+IF(OR(TYPE(AA95)&gt;1,TYPE(MATCH(AA95,U$11:U$267,0))&gt;1),0,MATCH(U95,U$11:U$267,0))+IF(OR(TYPE(AA95)&gt;1,TYPE(MATCH(AA95,AA96:AA$267,0))&gt;1),0,MATCH(AA95,AA96:AA$267,0))</f>
        <v>0</v>
      </c>
      <c r="AR95" s="408">
        <f t="shared" ca="1" si="44"/>
        <v>0</v>
      </c>
      <c r="BF95" s="408">
        <f t="shared" si="45"/>
        <v>85</v>
      </c>
    </row>
    <row r="96" spans="1:58" ht="14.25">
      <c r="A96" s="430">
        <f t="shared" ca="1" si="30"/>
        <v>1</v>
      </c>
      <c r="B96" s="430">
        <f t="shared" ca="1" si="31"/>
        <v>1</v>
      </c>
      <c r="C96" s="430">
        <f t="shared" ca="1" si="32"/>
        <v>17.687999999999999</v>
      </c>
      <c r="D96" s="430">
        <f t="shared" ca="1" si="33"/>
        <v>20156</v>
      </c>
      <c r="E96" s="430">
        <f t="shared" ca="1" si="34"/>
        <v>158</v>
      </c>
      <c r="F96" s="431" t="str">
        <f t="shared" ca="1" si="35"/>
        <v>91017688979843999841380643</v>
      </c>
      <c r="G96" s="467" t="b">
        <f t="shared" ca="1" si="36"/>
        <v>0</v>
      </c>
      <c r="H96" s="468">
        <f t="shared" si="37"/>
        <v>86</v>
      </c>
      <c r="I96" s="469">
        <f t="shared" ca="1" si="38"/>
        <v>10012</v>
      </c>
      <c r="J96" s="470" t="str">
        <f ca="1">IF(N(I96)&gt;0,VLOOKUP(I96,Hraci!$A$1:$I$1500,2,0),IF(TYPE(INDIRECT(ADDRESS(ROW() + $A$9-9 + (ROW()-11)*4,2,1,1,"Internet")))&gt;1,INDIRECT(ADDRESS(ROW() + $A$9-9 + (ROW()-11)*4,2,1,1,"Internet"))," "))</f>
        <v>Melgr</v>
      </c>
      <c r="K96" s="471" t="str">
        <f ca="1">IF(N(I96)&gt;0,VLOOKUP(I96,Hraci!$A$1:$I$1500,3,0)," ")</f>
        <v>Jan</v>
      </c>
      <c r="L96" s="471" t="str">
        <f ca="1">IF(N(I96)&gt;0,VLOOKUP(I96,Hraci!$A$1:$I$1500,5,0),IF(TYPE(INDIRECT(ADDRESS(ROW() + $A$9-9 + (ROW()-11)*4,3,1,1,"Internet")))&gt;1,INDIRECT(ADDRESS(ROW() + $A$9-9 + (ROW()-11)*4,3,1,1,"Internet"))," "))</f>
        <v>PC Sokol PP Hr. Králové</v>
      </c>
      <c r="M96" s="472">
        <f ca="1">IF(N(I96)=0,9999,VLOOKUP(I96,Hraci!$A$1:$I$1500,8,0))</f>
        <v>158</v>
      </c>
      <c r="N96" s="473">
        <f ca="1">IF(N(I96)=0,0,VLOOKUP(I96,Hraci!$A$1:$I$1500,9,0))</f>
        <v>17.687999999999999</v>
      </c>
      <c r="O96" s="469" t="str">
        <f t="shared" ca="1" si="39"/>
        <v/>
      </c>
      <c r="P96" s="470" t="str">
        <f ca="1">IF(N(O96)&gt;0,VLOOKUP(O96,Hraci!$A$1:$I$1500,2,0),IF(TYPE(INDIRECT(ADDRESS(ROW() + $A$9-8 + (ROW()-11)*4,2,1,1,"Internet")))&gt;1,INDIRECT(ADDRESS(ROW() + $A$9-8 + (ROW()-11)*4,2,1,1,"Internet"))," "))</f>
        <v xml:space="preserve"> </v>
      </c>
      <c r="Q96" s="471" t="str">
        <f ca="1">IF(N(O96)&gt;0,VLOOKUP(O96,Hraci!$A$1:$I$1500,3,0)," ")</f>
        <v xml:space="preserve"> </v>
      </c>
      <c r="R96" s="471" t="str">
        <f ca="1">IF(N(O96)&gt;0,VLOOKUP(O96,Hraci!$A$1:$I$1500,5,0),IF(TYPE(INDIRECT(ADDRESS(ROW() + $A$9-8 + (ROW()-11)*4,3,1,1,"Internet")))&gt;1,INDIRECT(ADDRESS(ROW() + $A$9-8 + (ROW()-11)*4,3,1,1,"Internet"))," "))</f>
        <v xml:space="preserve"> </v>
      </c>
      <c r="S96" s="472">
        <f ca="1">IF(N(O96)=0,9999,VLOOKUP(O96,Hraci!$A$1:$I$1500,8,0))</f>
        <v>9999</v>
      </c>
      <c r="T96" s="473">
        <f ca="1">IF(N(O96)=0,0,VLOOKUP(O96,Hraci!$A$1:$I$1500,9,0))</f>
        <v>0</v>
      </c>
      <c r="U96" s="469" t="str">
        <f t="shared" ca="1" si="40"/>
        <v/>
      </c>
      <c r="V96" s="470" t="str">
        <f ca="1">IF(N(U96)&gt;0,VLOOKUP(U96,Hraci!$A$1:$I$1500,2,0),IF(TYPE(INDIRECT(ADDRESS(ROW() + $A$9-7 + (ROW()-11)*4,2,1,1,"Internet")))&gt;1,INDIRECT(ADDRESS(ROW() + $A$9-7 + (ROW()-11)*4,2,1,1,"Internet"))," "))</f>
        <v xml:space="preserve"> </v>
      </c>
      <c r="W96" s="471" t="str">
        <f ca="1">IF(N(U96)&gt;0,VLOOKUP(U96,Hraci!$A$1:$I$1500,3,0)," ")</f>
        <v xml:space="preserve"> </v>
      </c>
      <c r="X96" s="471" t="str">
        <f ca="1">IF(N(U96)&gt;0,VLOOKUP(U96,Hraci!$A$1:$I$1500,5,0),IF(TYPE(INDIRECT(ADDRESS(ROW() + $A$9-7 + (ROW()-11)*4,3,1,1,"Internet")))&gt;1,INDIRECT(ADDRESS(ROW() + $A$9-7 + (ROW()-11)*4,3,1,1,"Internet"))," "))</f>
        <v xml:space="preserve"> </v>
      </c>
      <c r="Y96" s="472">
        <f ca="1">IF(N(U96)=0,9999,VLOOKUP(U96,Hraci!$A$1:$I$1500,8,0))</f>
        <v>9999</v>
      </c>
      <c r="Z96" s="473">
        <f ca="1">IF(N(U96)=0,0,VLOOKUP(U96,Hraci!$A$1:$I$1500,9,0))</f>
        <v>0</v>
      </c>
      <c r="AA96" s="469" t="str">
        <f t="shared" ca="1" si="41"/>
        <v/>
      </c>
      <c r="AB96" s="470" t="str">
        <f ca="1">IF(N(AA96)&gt;0,VLOOKUP(AA96,Hraci!$A$1:$I$1500,2,0)," ")</f>
        <v xml:space="preserve"> </v>
      </c>
      <c r="AC96" s="471" t="str">
        <f ca="1">IF(N(AA96)&gt;0,VLOOKUP(AA96,Hraci!$A$1:$I$1500,3,0)," ")</f>
        <v xml:space="preserve"> </v>
      </c>
      <c r="AD96" s="471" t="str">
        <f ca="1">IF(N(AA96)&gt;0,VLOOKUP(AA96,Hraci!$A$1:$I$1500,5,0)," ")</f>
        <v xml:space="preserve"> </v>
      </c>
      <c r="AE96" s="472">
        <f ca="1">IF(N(AA96)=0,9999,VLOOKUP(AA96,Hraci!$A$1:$I$1500,8,0))</f>
        <v>9999</v>
      </c>
      <c r="AF96" s="473">
        <f ca="1">IF(N(AA96)=0,0,VLOOKUP(AA96,Hraci!$A$1:$I$1500,9,0))</f>
        <v>0</v>
      </c>
      <c r="AG96" s="474"/>
      <c r="AH96" s="480">
        <v>129</v>
      </c>
      <c r="AI96" s="475">
        <f ca="1">IF(N($AH96)&gt;0,VLOOKUP($AH96,Body!$A$4:$F$259,5,0),"")</f>
        <v>553.40650000000005</v>
      </c>
      <c r="AJ96" s="476">
        <f ca="1">IF(N($AH96)&gt;0,VLOOKUP($AH96,Body!$A$4:$F$259,6,0),"")</f>
        <v>200</v>
      </c>
      <c r="AK96" s="475">
        <f ca="1">IF(N($AH96)&gt;0,VLOOKUP($AH96,Body!$A$4:$F$259,2,0),"")</f>
        <v>8</v>
      </c>
      <c r="AL96" s="477" t="str">
        <f t="shared" ca="1" si="42"/>
        <v>86 PC Sokol PP Hr. Králové - Melgr Jan</v>
      </c>
      <c r="AM96" s="478">
        <f t="shared" ca="1" si="43"/>
        <v>17.687999999999999</v>
      </c>
      <c r="AN96" s="408">
        <f ca="1">IF(OR(TYPE(I96)&gt;1,TYPE(MATCH(I96,I97:I$267,0))&gt;1),0,MATCH(I96,I97:I$267,0))+IF(OR(TYPE(I96)&gt;1,TYPE(MATCH(I96,O$11:O$267,0))&gt;1),0,MATCH(I96,O$11:O$267,0))+IF(OR(TYPE(I96)&gt;1,TYPE(MATCH(I96,U$11:U$267,0))&gt;1),0,MATCH(I96,U$11:U$267,0))+IF(OR(TYPE(I96)&gt;1,TYPE(MATCH(I96,AA$11:AA$267,0))&gt;1),0,MATCH(I96,AA$11:AA$267,0))</f>
        <v>0</v>
      </c>
      <c r="AO96" s="408">
        <f ca="1">IF(OR(TYPE(O96)&gt;1,TYPE(MATCH(O96,I$11:I$267,0))&gt;1),0,MATCH(O96,I$11:I$267,0))+IF(OR(TYPE(O96)&gt;1,TYPE(MATCH(O96,O97:O$267,0))&gt;1),0,MATCH(O96,O97:O$267,0))+IF(OR(TYPE(O96)&gt;1,TYPE(MATCH(O96,U$11:U$267,0))&gt;1),0,MATCH(O96,U$11:U$267,0))+IF(OR(TYPE(O96)&gt;1,TYPE(MATCH(O96,AA$11:AA$267,0))&gt;1),0,MATCH(O96,AA$11:AA$267,0))</f>
        <v>0</v>
      </c>
      <c r="AP96" s="408">
        <f ca="1">IF(OR(TYPE(U96)&gt;1,TYPE(MATCH(U96,I$11:I$267,0))&gt;1),0,MATCH(U96,I$11:I$267,0))+IF(OR(TYPE(U96)&gt;1,TYPE(MATCH(U96,O$11:O$267,0))&gt;1),0,MATCH(U96,O$11:O$267,0))+IF(OR(TYPE(U96)&gt;1,TYPE(MATCH(U96,U97:U$267,0))&gt;1),0,MATCH(U96,U97:U$267,0))+IF(OR(TYPE(U96)&gt;1,TYPE(MATCH(U96,AA$11:AA$267,0))&gt;1),0,MATCH(U96,AA$11:AA$267,0))</f>
        <v>0</v>
      </c>
      <c r="AQ96" s="408">
        <f ca="1">IF(OR(TYPE(AA96)&gt;1,TYPE(MATCH(AA96,I$11:I$267,0))&gt;1),0,MATCH(AA96,I$11:I$267,0))+IF(OR(TYPE(AA96)&gt;1,TYPE(MATCH(AA96,O$11:O$267,0))&gt;1),0,MATCH(AA96,O$11:O$267,0))+IF(OR(TYPE(AA96)&gt;1,TYPE(MATCH(AA96,U$11:U$267,0))&gt;1),0,MATCH(U96,U$11:U$267,0))+IF(OR(TYPE(AA96)&gt;1,TYPE(MATCH(AA96,AA97:AA$267,0))&gt;1),0,MATCH(AA96,AA97:AA$267,0))</f>
        <v>0</v>
      </c>
      <c r="AR96" s="408">
        <f t="shared" ca="1" si="44"/>
        <v>0</v>
      </c>
      <c r="BF96" s="408">
        <f t="shared" si="45"/>
        <v>86</v>
      </c>
    </row>
    <row r="97" spans="1:58" ht="14.25">
      <c r="A97" s="430">
        <f t="shared" ca="1" si="30"/>
        <v>1</v>
      </c>
      <c r="B97" s="430">
        <f t="shared" ca="1" si="31"/>
        <v>1</v>
      </c>
      <c r="C97" s="430">
        <f t="shared" ca="1" si="32"/>
        <v>17.346</v>
      </c>
      <c r="D97" s="430">
        <f t="shared" ca="1" si="33"/>
        <v>20112</v>
      </c>
      <c r="E97" s="430">
        <f t="shared" ca="1" si="34"/>
        <v>114</v>
      </c>
      <c r="F97" s="431" t="str">
        <f t="shared" ca="1" si="35"/>
        <v>01000000000000000000203769</v>
      </c>
      <c r="G97" s="467" t="b">
        <f t="shared" ca="1" si="36"/>
        <v>0</v>
      </c>
      <c r="H97" s="468">
        <f t="shared" si="37"/>
        <v>87</v>
      </c>
      <c r="I97" s="469">
        <f t="shared" ca="1" si="38"/>
        <v>16117</v>
      </c>
      <c r="J97" s="470" t="str">
        <f ca="1">IF(N(I97)&gt;0,VLOOKUP(I97,Hraci!$A$1:$I$1500,2,0),IF(TYPE(INDIRECT(ADDRESS(ROW() + $A$9-9 + (ROW()-11)*4,2,1,1,"Internet")))&gt;1,INDIRECT(ADDRESS(ROW() + $A$9-9 + (ROW()-11)*4,2,1,1,"Internet"))," "))</f>
        <v>Stejskal</v>
      </c>
      <c r="K97" s="471" t="str">
        <f ca="1">IF(N(I97)&gt;0,VLOOKUP(I97,Hraci!$A$1:$I$1500,3,0)," ")</f>
        <v>Václav</v>
      </c>
      <c r="L97" s="471" t="str">
        <f ca="1">IF(N(I97)&gt;0,VLOOKUP(I97,Hraci!$A$1:$I$1500,5,0),IF(TYPE(INDIRECT(ADDRESS(ROW() + $A$9-9 + (ROW()-11)*4,3,1,1,"Internet")))&gt;1,INDIRECT(ADDRESS(ROW() + $A$9-9 + (ROW()-11)*4,3,1,1,"Internet"))," "))</f>
        <v>JAPKO</v>
      </c>
      <c r="M97" s="472">
        <f ca="1">IF(N(I97)=0,9999,VLOOKUP(I97,Hraci!$A$1:$I$1500,8,0))</f>
        <v>114</v>
      </c>
      <c r="N97" s="473">
        <f ca="1">IF(N(I97)=0,0,VLOOKUP(I97,Hraci!$A$1:$I$1500,9,0))</f>
        <v>17.346</v>
      </c>
      <c r="O97" s="469" t="str">
        <f t="shared" ca="1" si="39"/>
        <v/>
      </c>
      <c r="P97" s="470" t="str">
        <f ca="1">IF(N(O97)&gt;0,VLOOKUP(O97,Hraci!$A$1:$I$1500,2,0),IF(TYPE(INDIRECT(ADDRESS(ROW() + $A$9-8 + (ROW()-11)*4,2,1,1,"Internet")))&gt;1,INDIRECT(ADDRESS(ROW() + $A$9-8 + (ROW()-11)*4,2,1,1,"Internet"))," "))</f>
        <v xml:space="preserve"> </v>
      </c>
      <c r="Q97" s="471" t="str">
        <f ca="1">IF(N(O97)&gt;0,VLOOKUP(O97,Hraci!$A$1:$I$1500,3,0)," ")</f>
        <v xml:space="preserve"> </v>
      </c>
      <c r="R97" s="471" t="str">
        <f ca="1">IF(N(O97)&gt;0,VLOOKUP(O97,Hraci!$A$1:$I$1500,5,0),IF(TYPE(INDIRECT(ADDRESS(ROW() + $A$9-8 + (ROW()-11)*4,3,1,1,"Internet")))&gt;1,INDIRECT(ADDRESS(ROW() + $A$9-8 + (ROW()-11)*4,3,1,1,"Internet"))," "))</f>
        <v xml:space="preserve"> </v>
      </c>
      <c r="S97" s="472">
        <f ca="1">IF(N(O97)=0,9999,VLOOKUP(O97,Hraci!$A$1:$I$1500,8,0))</f>
        <v>9999</v>
      </c>
      <c r="T97" s="473">
        <f ca="1">IF(N(O97)=0,0,VLOOKUP(O97,Hraci!$A$1:$I$1500,9,0))</f>
        <v>0</v>
      </c>
      <c r="U97" s="469" t="str">
        <f t="shared" ca="1" si="40"/>
        <v/>
      </c>
      <c r="V97" s="470" t="str">
        <f ca="1">IF(N(U97)&gt;0,VLOOKUP(U97,Hraci!$A$1:$I$1500,2,0),IF(TYPE(INDIRECT(ADDRESS(ROW() + $A$9-7 + (ROW()-11)*4,2,1,1,"Internet")))&gt;1,INDIRECT(ADDRESS(ROW() + $A$9-7 + (ROW()-11)*4,2,1,1,"Internet"))," "))</f>
        <v xml:space="preserve"> </v>
      </c>
      <c r="W97" s="471" t="str">
        <f ca="1">IF(N(U97)&gt;0,VLOOKUP(U97,Hraci!$A$1:$I$1500,3,0)," ")</f>
        <v xml:space="preserve"> </v>
      </c>
      <c r="X97" s="471" t="str">
        <f ca="1">IF(N(U97)&gt;0,VLOOKUP(U97,Hraci!$A$1:$I$1500,5,0),IF(TYPE(INDIRECT(ADDRESS(ROW() + $A$9-7 + (ROW()-11)*4,3,1,1,"Internet")))&gt;1,INDIRECT(ADDRESS(ROW() + $A$9-7 + (ROW()-11)*4,3,1,1,"Internet"))," "))</f>
        <v xml:space="preserve"> </v>
      </c>
      <c r="Y97" s="472">
        <f ca="1">IF(N(U97)=0,9999,VLOOKUP(U97,Hraci!$A$1:$I$1500,8,0))</f>
        <v>9999</v>
      </c>
      <c r="Z97" s="473">
        <f ca="1">IF(N(U97)=0,0,VLOOKUP(U97,Hraci!$A$1:$I$1500,9,0))</f>
        <v>0</v>
      </c>
      <c r="AA97" s="469" t="str">
        <f t="shared" ca="1" si="41"/>
        <v/>
      </c>
      <c r="AB97" s="470" t="str">
        <f ca="1">IF(N(AA97)&gt;0,VLOOKUP(AA97,Hraci!$A$1:$I$1500,2,0)," ")</f>
        <v xml:space="preserve"> </v>
      </c>
      <c r="AC97" s="471" t="str">
        <f ca="1">IF(N(AA97)&gt;0,VLOOKUP(AA97,Hraci!$A$1:$I$1500,3,0)," ")</f>
        <v xml:space="preserve"> </v>
      </c>
      <c r="AD97" s="471" t="str">
        <f ca="1">IF(N(AA97)&gt;0,VLOOKUP(AA97,Hraci!$A$1:$I$1500,5,0)," ")</f>
        <v xml:space="preserve"> </v>
      </c>
      <c r="AE97" s="472">
        <f ca="1">IF(N(AA97)=0,9999,VLOOKUP(AA97,Hraci!$A$1:$I$1500,8,0))</f>
        <v>9999</v>
      </c>
      <c r="AF97" s="473">
        <f ca="1">IF(N(AA97)=0,0,VLOOKUP(AA97,Hraci!$A$1:$I$1500,9,0))</f>
        <v>0</v>
      </c>
      <c r="AG97" s="474"/>
      <c r="AH97" s="480">
        <v>86</v>
      </c>
      <c r="AI97" s="475">
        <f ca="1">IF(N($AH97)&gt;0,VLOOKUP($AH97,Body!$A$4:$F$259,5,0),"")</f>
        <v>553.40650000000005</v>
      </c>
      <c r="AJ97" s="476">
        <f ca="1">IF(N($AH97)&gt;0,VLOOKUP($AH97,Body!$A$4:$F$259,6,0),"")</f>
        <v>200</v>
      </c>
      <c r="AK97" s="475">
        <f ca="1">IF(N($AH97)&gt;0,VLOOKUP($AH97,Body!$A$4:$F$259,2,0),"")</f>
        <v>8</v>
      </c>
      <c r="AL97" s="477" t="str">
        <f t="shared" ca="1" si="42"/>
        <v>87 JAPKO - Stejskal Václav</v>
      </c>
      <c r="AM97" s="478">
        <f t="shared" ca="1" si="43"/>
        <v>17.346</v>
      </c>
      <c r="AN97" s="408">
        <f ca="1">IF(OR(TYPE(I97)&gt;1,TYPE(MATCH(I97,I98:I$267,0))&gt;1),0,MATCH(I97,I98:I$267,0))+IF(OR(TYPE(I97)&gt;1,TYPE(MATCH(I97,O$11:O$267,0))&gt;1),0,MATCH(I97,O$11:O$267,0))+IF(OR(TYPE(I97)&gt;1,TYPE(MATCH(I97,U$11:U$267,0))&gt;1),0,MATCH(I97,U$11:U$267,0))+IF(OR(TYPE(I97)&gt;1,TYPE(MATCH(I97,AA$11:AA$267,0))&gt;1),0,MATCH(I97,AA$11:AA$267,0))</f>
        <v>0</v>
      </c>
      <c r="AO97" s="408">
        <f ca="1">IF(OR(TYPE(O97)&gt;1,TYPE(MATCH(O97,I$11:I$267,0))&gt;1),0,MATCH(O97,I$11:I$267,0))+IF(OR(TYPE(O97)&gt;1,TYPE(MATCH(O97,O98:O$267,0))&gt;1),0,MATCH(O97,O98:O$267,0))+IF(OR(TYPE(O97)&gt;1,TYPE(MATCH(O97,U$11:U$267,0))&gt;1),0,MATCH(O97,U$11:U$267,0))+IF(OR(TYPE(O97)&gt;1,TYPE(MATCH(O97,AA$11:AA$267,0))&gt;1),0,MATCH(O97,AA$11:AA$267,0))</f>
        <v>0</v>
      </c>
      <c r="AP97" s="408">
        <f ca="1">IF(OR(TYPE(U97)&gt;1,TYPE(MATCH(U97,I$11:I$267,0))&gt;1),0,MATCH(U97,I$11:I$267,0))+IF(OR(TYPE(U97)&gt;1,TYPE(MATCH(U97,O$11:O$267,0))&gt;1),0,MATCH(U97,O$11:O$267,0))+IF(OR(TYPE(U97)&gt;1,TYPE(MATCH(U97,U98:U$267,0))&gt;1),0,MATCH(U97,U98:U$267,0))+IF(OR(TYPE(U97)&gt;1,TYPE(MATCH(U97,AA$11:AA$267,0))&gt;1),0,MATCH(U97,AA$11:AA$267,0))</f>
        <v>0</v>
      </c>
      <c r="AQ97" s="408">
        <f ca="1">IF(OR(TYPE(AA97)&gt;1,TYPE(MATCH(AA97,I$11:I$267,0))&gt;1),0,MATCH(AA97,I$11:I$267,0))+IF(OR(TYPE(AA97)&gt;1,TYPE(MATCH(AA97,O$11:O$267,0))&gt;1),0,MATCH(AA97,O$11:O$267,0))+IF(OR(TYPE(AA97)&gt;1,TYPE(MATCH(AA97,U$11:U$267,0))&gt;1),0,MATCH(U97,U$11:U$267,0))+IF(OR(TYPE(AA97)&gt;1,TYPE(MATCH(AA97,AA98:AA$267,0))&gt;1),0,MATCH(AA97,AA98:AA$267,0))</f>
        <v>0</v>
      </c>
      <c r="AR97" s="408">
        <f t="shared" ca="1" si="44"/>
        <v>0</v>
      </c>
      <c r="BF97" s="408">
        <f t="shared" si="45"/>
        <v>87</v>
      </c>
    </row>
    <row r="98" spans="1:58" ht="14.25">
      <c r="A98" s="430">
        <f t="shared" ca="1" si="30"/>
        <v>1</v>
      </c>
      <c r="B98" s="430">
        <f t="shared" ca="1" si="31"/>
        <v>1</v>
      </c>
      <c r="C98" s="430">
        <f t="shared" ca="1" si="32"/>
        <v>17.312999999999999</v>
      </c>
      <c r="D98" s="430">
        <f t="shared" ca="1" si="33"/>
        <v>20222</v>
      </c>
      <c r="E98" s="430">
        <f t="shared" ca="1" si="34"/>
        <v>224</v>
      </c>
      <c r="F98" s="431" t="str">
        <f t="shared" ca="1" si="35"/>
        <v>01000000000000000000806442</v>
      </c>
      <c r="G98" s="467" t="b">
        <f t="shared" ca="1" si="36"/>
        <v>0</v>
      </c>
      <c r="H98" s="468">
        <f t="shared" si="37"/>
        <v>88</v>
      </c>
      <c r="I98" s="469">
        <f t="shared" ca="1" si="38"/>
        <v>96162</v>
      </c>
      <c r="J98" s="470" t="str">
        <f ca="1">IF(N(I98)&gt;0,VLOOKUP(I98,Hraci!$A$1:$I$1500,2,0),IF(TYPE(INDIRECT(ADDRESS(ROW() + $A$9-9 + (ROW()-11)*4,2,1,1,"Internet")))&gt;1,INDIRECT(ADDRESS(ROW() + $A$9-9 + (ROW()-11)*4,2,1,1,"Internet"))," "))</f>
        <v>Glaser</v>
      </c>
      <c r="K98" s="471" t="str">
        <f ca="1">IF(N(I98)&gt;0,VLOOKUP(I98,Hraci!$A$1:$I$1500,3,0)," ")</f>
        <v>Vladimír</v>
      </c>
      <c r="L98" s="471" t="str">
        <f ca="1">IF(N(I98)&gt;0,VLOOKUP(I98,Hraci!$A$1:$I$1500,5,0),IF(TYPE(INDIRECT(ADDRESS(ROW() + $A$9-9 + (ROW()-11)*4,3,1,1,"Internet")))&gt;1,INDIRECT(ADDRESS(ROW() + $A$9-9 + (ROW()-11)*4,3,1,1,"Internet"))," "))</f>
        <v>C.T.P. Club Ořech</v>
      </c>
      <c r="M98" s="472">
        <f ca="1">IF(N(I98)=0,9999,VLOOKUP(I98,Hraci!$A$1:$I$1500,8,0))</f>
        <v>224</v>
      </c>
      <c r="N98" s="473">
        <f ca="1">IF(N(I98)=0,0,VLOOKUP(I98,Hraci!$A$1:$I$1500,9,0))</f>
        <v>17.312999999999999</v>
      </c>
      <c r="O98" s="469" t="str">
        <f t="shared" ca="1" si="39"/>
        <v/>
      </c>
      <c r="P98" s="470" t="str">
        <f ca="1">IF(N(O98)&gt;0,VLOOKUP(O98,Hraci!$A$1:$I$1500,2,0),IF(TYPE(INDIRECT(ADDRESS(ROW() + $A$9-8 + (ROW()-11)*4,2,1,1,"Internet")))&gt;1,INDIRECT(ADDRESS(ROW() + $A$9-8 + (ROW()-11)*4,2,1,1,"Internet"))," "))</f>
        <v xml:space="preserve"> </v>
      </c>
      <c r="Q98" s="471" t="str">
        <f ca="1">IF(N(O98)&gt;0,VLOOKUP(O98,Hraci!$A$1:$I$1500,3,0)," ")</f>
        <v xml:space="preserve"> </v>
      </c>
      <c r="R98" s="471" t="str">
        <f ca="1">IF(N(O98)&gt;0,VLOOKUP(O98,Hraci!$A$1:$I$1500,5,0),IF(TYPE(INDIRECT(ADDRESS(ROW() + $A$9-8 + (ROW()-11)*4,3,1,1,"Internet")))&gt;1,INDIRECT(ADDRESS(ROW() + $A$9-8 + (ROW()-11)*4,3,1,1,"Internet"))," "))</f>
        <v xml:space="preserve"> </v>
      </c>
      <c r="S98" s="472">
        <f ca="1">IF(N(O98)=0,9999,VLOOKUP(O98,Hraci!$A$1:$I$1500,8,0))</f>
        <v>9999</v>
      </c>
      <c r="T98" s="473">
        <f ca="1">IF(N(O98)=0,0,VLOOKUP(O98,Hraci!$A$1:$I$1500,9,0))</f>
        <v>0</v>
      </c>
      <c r="U98" s="469" t="str">
        <f t="shared" ca="1" si="40"/>
        <v/>
      </c>
      <c r="V98" s="470" t="str">
        <f ca="1">IF(N(U98)&gt;0,VLOOKUP(U98,Hraci!$A$1:$I$1500,2,0),IF(TYPE(INDIRECT(ADDRESS(ROW() + $A$9-7 + (ROW()-11)*4,2,1,1,"Internet")))&gt;1,INDIRECT(ADDRESS(ROW() + $A$9-7 + (ROW()-11)*4,2,1,1,"Internet"))," "))</f>
        <v xml:space="preserve"> </v>
      </c>
      <c r="W98" s="471" t="str">
        <f ca="1">IF(N(U98)&gt;0,VLOOKUP(U98,Hraci!$A$1:$I$1500,3,0)," ")</f>
        <v xml:space="preserve"> </v>
      </c>
      <c r="X98" s="471" t="str">
        <f ca="1">IF(N(U98)&gt;0,VLOOKUP(U98,Hraci!$A$1:$I$1500,5,0),IF(TYPE(INDIRECT(ADDRESS(ROW() + $A$9-7 + (ROW()-11)*4,3,1,1,"Internet")))&gt;1,INDIRECT(ADDRESS(ROW() + $A$9-7 + (ROW()-11)*4,3,1,1,"Internet"))," "))</f>
        <v xml:space="preserve"> </v>
      </c>
      <c r="Y98" s="472">
        <f ca="1">IF(N(U98)=0,9999,VLOOKUP(U98,Hraci!$A$1:$I$1500,8,0))</f>
        <v>9999</v>
      </c>
      <c r="Z98" s="473">
        <f ca="1">IF(N(U98)=0,0,VLOOKUP(U98,Hraci!$A$1:$I$1500,9,0))</f>
        <v>0</v>
      </c>
      <c r="AA98" s="469" t="str">
        <f t="shared" ca="1" si="41"/>
        <v/>
      </c>
      <c r="AB98" s="470" t="str">
        <f ca="1">IF(N(AA98)&gt;0,VLOOKUP(AA98,Hraci!$A$1:$I$1500,2,0)," ")</f>
        <v xml:space="preserve"> </v>
      </c>
      <c r="AC98" s="471" t="str">
        <f ca="1">IF(N(AA98)&gt;0,VLOOKUP(AA98,Hraci!$A$1:$I$1500,3,0)," ")</f>
        <v xml:space="preserve"> </v>
      </c>
      <c r="AD98" s="471" t="str">
        <f ca="1">IF(N(AA98)&gt;0,VLOOKUP(AA98,Hraci!$A$1:$I$1500,5,0)," ")</f>
        <v xml:space="preserve"> </v>
      </c>
      <c r="AE98" s="472">
        <f ca="1">IF(N(AA98)=0,9999,VLOOKUP(AA98,Hraci!$A$1:$I$1500,8,0))</f>
        <v>9999</v>
      </c>
      <c r="AF98" s="473">
        <f ca="1">IF(N(AA98)=0,0,VLOOKUP(AA98,Hraci!$A$1:$I$1500,9,0))</f>
        <v>0</v>
      </c>
      <c r="AG98" s="474"/>
      <c r="AH98" s="480">
        <v>129</v>
      </c>
      <c r="AI98" s="475">
        <f ca="1">IF(N($AH98)&gt;0,VLOOKUP($AH98,Body!$A$4:$F$259,5,0),"")</f>
        <v>553.40650000000005</v>
      </c>
      <c r="AJ98" s="476">
        <f ca="1">IF(N($AH98)&gt;0,VLOOKUP($AH98,Body!$A$4:$F$259,6,0),"")</f>
        <v>200</v>
      </c>
      <c r="AK98" s="475">
        <f ca="1">IF(N($AH98)&gt;0,VLOOKUP($AH98,Body!$A$4:$F$259,2,0),"")</f>
        <v>8</v>
      </c>
      <c r="AL98" s="477" t="str">
        <f t="shared" ca="1" si="42"/>
        <v>88 C.T.P. Club Ořech - Glaser Vladimír</v>
      </c>
      <c r="AM98" s="478">
        <f t="shared" ca="1" si="43"/>
        <v>17.312999999999999</v>
      </c>
      <c r="AN98" s="408">
        <f ca="1">IF(OR(TYPE(I98)&gt;1,TYPE(MATCH(I98,I99:I$267,0))&gt;1),0,MATCH(I98,I99:I$267,0))+IF(OR(TYPE(I98)&gt;1,TYPE(MATCH(I98,O$11:O$267,0))&gt;1),0,MATCH(I98,O$11:O$267,0))+IF(OR(TYPE(I98)&gt;1,TYPE(MATCH(I98,U$11:U$267,0))&gt;1),0,MATCH(I98,U$11:U$267,0))+IF(OR(TYPE(I98)&gt;1,TYPE(MATCH(I98,AA$11:AA$267,0))&gt;1),0,MATCH(I98,AA$11:AA$267,0))</f>
        <v>0</v>
      </c>
      <c r="AO98" s="408">
        <f ca="1">IF(OR(TYPE(O98)&gt;1,TYPE(MATCH(O98,I$11:I$267,0))&gt;1),0,MATCH(O98,I$11:I$267,0))+IF(OR(TYPE(O98)&gt;1,TYPE(MATCH(O98,O99:O$267,0))&gt;1),0,MATCH(O98,O99:O$267,0))+IF(OR(TYPE(O98)&gt;1,TYPE(MATCH(O98,U$11:U$267,0))&gt;1),0,MATCH(O98,U$11:U$267,0))+IF(OR(TYPE(O98)&gt;1,TYPE(MATCH(O98,AA$11:AA$267,0))&gt;1),0,MATCH(O98,AA$11:AA$267,0))</f>
        <v>0</v>
      </c>
      <c r="AP98" s="408">
        <f ca="1">IF(OR(TYPE(U98)&gt;1,TYPE(MATCH(U98,I$11:I$267,0))&gt;1),0,MATCH(U98,I$11:I$267,0))+IF(OR(TYPE(U98)&gt;1,TYPE(MATCH(U98,O$11:O$267,0))&gt;1),0,MATCH(U98,O$11:O$267,0))+IF(OR(TYPE(U98)&gt;1,TYPE(MATCH(U98,U99:U$267,0))&gt;1),0,MATCH(U98,U99:U$267,0))+IF(OR(TYPE(U98)&gt;1,TYPE(MATCH(U98,AA$11:AA$267,0))&gt;1),0,MATCH(U98,AA$11:AA$267,0))</f>
        <v>0</v>
      </c>
      <c r="AQ98" s="408">
        <f ca="1">IF(OR(TYPE(AA98)&gt;1,TYPE(MATCH(AA98,I$11:I$267,0))&gt;1),0,MATCH(AA98,I$11:I$267,0))+IF(OR(TYPE(AA98)&gt;1,TYPE(MATCH(AA98,O$11:O$267,0))&gt;1),0,MATCH(AA98,O$11:O$267,0))+IF(OR(TYPE(AA98)&gt;1,TYPE(MATCH(AA98,U$11:U$267,0))&gt;1),0,MATCH(U98,U$11:U$267,0))+IF(OR(TYPE(AA98)&gt;1,TYPE(MATCH(AA98,AA99:AA$267,0))&gt;1),0,MATCH(AA98,AA99:AA$267,0))</f>
        <v>0</v>
      </c>
      <c r="AR98" s="408">
        <f t="shared" ca="1" si="44"/>
        <v>0</v>
      </c>
      <c r="BF98" s="408">
        <f t="shared" si="45"/>
        <v>88</v>
      </c>
    </row>
    <row r="99" spans="1:58" ht="14.25">
      <c r="A99" s="430">
        <f t="shared" ca="1" si="30"/>
        <v>1</v>
      </c>
      <c r="B99" s="430">
        <f t="shared" ca="1" si="31"/>
        <v>1</v>
      </c>
      <c r="C99" s="430">
        <f t="shared" ca="1" si="32"/>
        <v>16.97</v>
      </c>
      <c r="D99" s="430">
        <f t="shared" ca="1" si="33"/>
        <v>20110</v>
      </c>
      <c r="E99" s="430">
        <f t="shared" ca="1" si="34"/>
        <v>112</v>
      </c>
      <c r="F99" s="431" t="str">
        <f t="shared" ca="1" si="35"/>
        <v>01000000000000000000765899</v>
      </c>
      <c r="G99" s="467" t="b">
        <f t="shared" ca="1" si="36"/>
        <v>0</v>
      </c>
      <c r="H99" s="468">
        <f t="shared" si="37"/>
        <v>89</v>
      </c>
      <c r="I99" s="469">
        <f t="shared" ca="1" si="38"/>
        <v>21836</v>
      </c>
      <c r="J99" s="470" t="str">
        <f ca="1">IF(N(I99)&gt;0,VLOOKUP(I99,Hraci!$A$1:$I$1500,2,0),IF(TYPE(INDIRECT(ADDRESS(ROW() + $A$9-9 + (ROW()-11)*4,2,1,1,"Internet")))&gt;1,INDIRECT(ADDRESS(ROW() + $A$9-9 + (ROW()-11)*4,2,1,1,"Internet"))," "))</f>
        <v>Piller</v>
      </c>
      <c r="K99" s="471" t="str">
        <f ca="1">IF(N(I99)&gt;0,VLOOKUP(I99,Hraci!$A$1:$I$1500,3,0)," ")</f>
        <v>Tomáš</v>
      </c>
      <c r="L99" s="471" t="str">
        <f ca="1">IF(N(I99)&gt;0,VLOOKUP(I99,Hraci!$A$1:$I$1500,5,0),IF(TYPE(INDIRECT(ADDRESS(ROW() + $A$9-9 + (ROW()-11)*4,3,1,1,"Internet")))&gt;1,INDIRECT(ADDRESS(ROW() + $A$9-9 + (ROW()-11)*4,3,1,1,"Internet"))," "))</f>
        <v>SK Sahara Vědomice</v>
      </c>
      <c r="M99" s="472">
        <f ca="1">IF(N(I99)=0,9999,VLOOKUP(I99,Hraci!$A$1:$I$1500,8,0))</f>
        <v>112</v>
      </c>
      <c r="N99" s="473">
        <f ca="1">IF(N(I99)=0,0,VLOOKUP(I99,Hraci!$A$1:$I$1500,9,0))</f>
        <v>16.97</v>
      </c>
      <c r="O99" s="469" t="str">
        <f t="shared" ca="1" si="39"/>
        <v/>
      </c>
      <c r="P99" s="470" t="str">
        <f ca="1">IF(N(O99)&gt;0,VLOOKUP(O99,Hraci!$A$1:$I$1500,2,0),IF(TYPE(INDIRECT(ADDRESS(ROW() + $A$9-8 + (ROW()-11)*4,2,1,1,"Internet")))&gt;1,INDIRECT(ADDRESS(ROW() + $A$9-8 + (ROW()-11)*4,2,1,1,"Internet"))," "))</f>
        <v xml:space="preserve"> </v>
      </c>
      <c r="Q99" s="471" t="str">
        <f ca="1">IF(N(O99)&gt;0,VLOOKUP(O99,Hraci!$A$1:$I$1500,3,0)," ")</f>
        <v xml:space="preserve"> </v>
      </c>
      <c r="R99" s="471" t="str">
        <f ca="1">IF(N(O99)&gt;0,VLOOKUP(O99,Hraci!$A$1:$I$1500,5,0),IF(TYPE(INDIRECT(ADDRESS(ROW() + $A$9-8 + (ROW()-11)*4,3,1,1,"Internet")))&gt;1,INDIRECT(ADDRESS(ROW() + $A$9-8 + (ROW()-11)*4,3,1,1,"Internet"))," "))</f>
        <v xml:space="preserve"> </v>
      </c>
      <c r="S99" s="472">
        <f ca="1">IF(N(O99)=0,9999,VLOOKUP(O99,Hraci!$A$1:$I$1500,8,0))</f>
        <v>9999</v>
      </c>
      <c r="T99" s="473">
        <f ca="1">IF(N(O99)=0,0,VLOOKUP(O99,Hraci!$A$1:$I$1500,9,0))</f>
        <v>0</v>
      </c>
      <c r="U99" s="469" t="str">
        <f t="shared" ca="1" si="40"/>
        <v/>
      </c>
      <c r="V99" s="470" t="str">
        <f ca="1">IF(N(U99)&gt;0,VLOOKUP(U99,Hraci!$A$1:$I$1500,2,0),IF(TYPE(INDIRECT(ADDRESS(ROW() + $A$9-7 + (ROW()-11)*4,2,1,1,"Internet")))&gt;1,INDIRECT(ADDRESS(ROW() + $A$9-7 + (ROW()-11)*4,2,1,1,"Internet"))," "))</f>
        <v xml:space="preserve"> </v>
      </c>
      <c r="W99" s="471" t="str">
        <f ca="1">IF(N(U99)&gt;0,VLOOKUP(U99,Hraci!$A$1:$I$1500,3,0)," ")</f>
        <v xml:space="preserve"> </v>
      </c>
      <c r="X99" s="471" t="str">
        <f ca="1">IF(N(U99)&gt;0,VLOOKUP(U99,Hraci!$A$1:$I$1500,5,0),IF(TYPE(INDIRECT(ADDRESS(ROW() + $A$9-7 + (ROW()-11)*4,3,1,1,"Internet")))&gt;1,INDIRECT(ADDRESS(ROW() + $A$9-7 + (ROW()-11)*4,3,1,1,"Internet"))," "))</f>
        <v xml:space="preserve"> </v>
      </c>
      <c r="Y99" s="472">
        <f ca="1">IF(N(U99)=0,9999,VLOOKUP(U99,Hraci!$A$1:$I$1500,8,0))</f>
        <v>9999</v>
      </c>
      <c r="Z99" s="473">
        <f ca="1">IF(N(U99)=0,0,VLOOKUP(U99,Hraci!$A$1:$I$1500,9,0))</f>
        <v>0</v>
      </c>
      <c r="AA99" s="469" t="str">
        <f t="shared" ca="1" si="41"/>
        <v/>
      </c>
      <c r="AB99" s="470" t="str">
        <f ca="1">IF(N(AA99)&gt;0,VLOOKUP(AA99,Hraci!$A$1:$I$1500,2,0)," ")</f>
        <v xml:space="preserve"> </v>
      </c>
      <c r="AC99" s="471" t="str">
        <f ca="1">IF(N(AA99)&gt;0,VLOOKUP(AA99,Hraci!$A$1:$I$1500,3,0)," ")</f>
        <v xml:space="preserve"> </v>
      </c>
      <c r="AD99" s="471" t="str">
        <f ca="1">IF(N(AA99)&gt;0,VLOOKUP(AA99,Hraci!$A$1:$I$1500,5,0)," ")</f>
        <v xml:space="preserve"> </v>
      </c>
      <c r="AE99" s="472">
        <f ca="1">IF(N(AA99)=0,9999,VLOOKUP(AA99,Hraci!$A$1:$I$1500,8,0))</f>
        <v>9999</v>
      </c>
      <c r="AF99" s="473">
        <f ca="1">IF(N(AA99)=0,0,VLOOKUP(AA99,Hraci!$A$1:$I$1500,9,0))</f>
        <v>0</v>
      </c>
      <c r="AG99" s="474"/>
      <c r="AH99" s="480">
        <v>86</v>
      </c>
      <c r="AI99" s="475">
        <f ca="1">IF(N($AH99)&gt;0,VLOOKUP($AH99,Body!$A$4:$F$259,5,0),"")</f>
        <v>553.40650000000005</v>
      </c>
      <c r="AJ99" s="476">
        <f ca="1">IF(N($AH99)&gt;0,VLOOKUP($AH99,Body!$A$4:$F$259,6,0),"")</f>
        <v>200</v>
      </c>
      <c r="AK99" s="475">
        <f ca="1">IF(N($AH99)&gt;0,VLOOKUP($AH99,Body!$A$4:$F$259,2,0),"")</f>
        <v>8</v>
      </c>
      <c r="AL99" s="477" t="str">
        <f t="shared" ca="1" si="42"/>
        <v>89 SK Sahara Vědomice - Piller Tomáš</v>
      </c>
      <c r="AM99" s="478">
        <f t="shared" ca="1" si="43"/>
        <v>16.97</v>
      </c>
      <c r="AN99" s="408">
        <f ca="1">IF(OR(TYPE(I99)&gt;1,TYPE(MATCH(I99,I100:I$267,0))&gt;1),0,MATCH(I99,I100:I$267,0))+IF(OR(TYPE(I99)&gt;1,TYPE(MATCH(I99,O$11:O$267,0))&gt;1),0,MATCH(I99,O$11:O$267,0))+IF(OR(TYPE(I99)&gt;1,TYPE(MATCH(I99,U$11:U$267,0))&gt;1),0,MATCH(I99,U$11:U$267,0))+IF(OR(TYPE(I99)&gt;1,TYPE(MATCH(I99,AA$11:AA$267,0))&gt;1),0,MATCH(I99,AA$11:AA$267,0))</f>
        <v>0</v>
      </c>
      <c r="AO99" s="408">
        <f ca="1">IF(OR(TYPE(O99)&gt;1,TYPE(MATCH(O99,I$11:I$267,0))&gt;1),0,MATCH(O99,I$11:I$267,0))+IF(OR(TYPE(O99)&gt;1,TYPE(MATCH(O99,O100:O$267,0))&gt;1),0,MATCH(O99,O100:O$267,0))+IF(OR(TYPE(O99)&gt;1,TYPE(MATCH(O99,U$11:U$267,0))&gt;1),0,MATCH(O99,U$11:U$267,0))+IF(OR(TYPE(O99)&gt;1,TYPE(MATCH(O99,AA$11:AA$267,0))&gt;1),0,MATCH(O99,AA$11:AA$267,0))</f>
        <v>0</v>
      </c>
      <c r="AP99" s="408">
        <f ca="1">IF(OR(TYPE(U99)&gt;1,TYPE(MATCH(U99,I$11:I$267,0))&gt;1),0,MATCH(U99,I$11:I$267,0))+IF(OR(TYPE(U99)&gt;1,TYPE(MATCH(U99,O$11:O$267,0))&gt;1),0,MATCH(U99,O$11:O$267,0))+IF(OR(TYPE(U99)&gt;1,TYPE(MATCH(U99,U100:U$267,0))&gt;1),0,MATCH(U99,U100:U$267,0))+IF(OR(TYPE(U99)&gt;1,TYPE(MATCH(U99,AA$11:AA$267,0))&gt;1),0,MATCH(U99,AA$11:AA$267,0))</f>
        <v>0</v>
      </c>
      <c r="AQ99" s="408">
        <f ca="1">IF(OR(TYPE(AA99)&gt;1,TYPE(MATCH(AA99,I$11:I$267,0))&gt;1),0,MATCH(AA99,I$11:I$267,0))+IF(OR(TYPE(AA99)&gt;1,TYPE(MATCH(AA99,O$11:O$267,0))&gt;1),0,MATCH(AA99,O$11:O$267,0))+IF(OR(TYPE(AA99)&gt;1,TYPE(MATCH(AA99,U$11:U$267,0))&gt;1),0,MATCH(U99,U$11:U$267,0))+IF(OR(TYPE(AA99)&gt;1,TYPE(MATCH(AA99,AA100:AA$267,0))&gt;1),0,MATCH(AA99,AA100:AA$267,0))</f>
        <v>0</v>
      </c>
      <c r="AR99" s="408">
        <f t="shared" ca="1" si="44"/>
        <v>0</v>
      </c>
      <c r="BF99" s="408">
        <f t="shared" si="45"/>
        <v>89</v>
      </c>
    </row>
    <row r="100" spans="1:58" ht="14.25">
      <c r="A100" s="430">
        <f t="shared" ca="1" si="30"/>
        <v>1</v>
      </c>
      <c r="B100" s="430">
        <f t="shared" ca="1" si="31"/>
        <v>1</v>
      </c>
      <c r="C100" s="430">
        <f t="shared" ca="1" si="32"/>
        <v>16.891999999999999</v>
      </c>
      <c r="D100" s="430">
        <f t="shared" ca="1" si="33"/>
        <v>20103</v>
      </c>
      <c r="E100" s="430">
        <f t="shared" ca="1" si="34"/>
        <v>105</v>
      </c>
      <c r="F100" s="431" t="str">
        <f t="shared" ca="1" si="35"/>
        <v>01000000000000000000961870</v>
      </c>
      <c r="G100" s="467" t="b">
        <f t="shared" ca="1" si="36"/>
        <v>0</v>
      </c>
      <c r="H100" s="468">
        <f t="shared" si="37"/>
        <v>90</v>
      </c>
      <c r="I100" s="469">
        <f t="shared" ca="1" si="38"/>
        <v>25014</v>
      </c>
      <c r="J100" s="470" t="str">
        <f ca="1">IF(N(I100)&gt;0,VLOOKUP(I100,Hraci!$A$1:$I$1500,2,0),IF(TYPE(INDIRECT(ADDRESS(ROW() + $A$9-9 + (ROW()-11)*4,2,1,1,"Internet")))&gt;1,INDIRECT(ADDRESS(ROW() + $A$9-9 + (ROW()-11)*4,2,1,1,"Internet"))," "))</f>
        <v>Mráz</v>
      </c>
      <c r="K100" s="471" t="str">
        <f ca="1">IF(N(I100)&gt;0,VLOOKUP(I100,Hraci!$A$1:$I$1500,3,0)," ")</f>
        <v>Václav</v>
      </c>
      <c r="L100" s="471" t="str">
        <f ca="1">IF(N(I100)&gt;0,VLOOKUP(I100,Hraci!$A$1:$I$1500,5,0),IF(TYPE(INDIRECT(ADDRESS(ROW() + $A$9-9 + (ROW()-11)*4,3,1,1,"Internet")))&gt;1,INDIRECT(ADDRESS(ROW() + $A$9-9 + (ROW()-11)*4,3,1,1,"Internet"))," "))</f>
        <v>PK Osika Plzeň</v>
      </c>
      <c r="M100" s="472">
        <f ca="1">IF(N(I100)=0,9999,VLOOKUP(I100,Hraci!$A$1:$I$1500,8,0))</f>
        <v>105</v>
      </c>
      <c r="N100" s="473">
        <f ca="1">IF(N(I100)=0,0,VLOOKUP(I100,Hraci!$A$1:$I$1500,9,0))</f>
        <v>16.891999999999999</v>
      </c>
      <c r="O100" s="469" t="str">
        <f t="shared" ca="1" si="39"/>
        <v/>
      </c>
      <c r="P100" s="470" t="str">
        <f ca="1">IF(N(O100)&gt;0,VLOOKUP(O100,Hraci!$A$1:$I$1500,2,0),IF(TYPE(INDIRECT(ADDRESS(ROW() + $A$9-8 + (ROW()-11)*4,2,1,1,"Internet")))&gt;1,INDIRECT(ADDRESS(ROW() + $A$9-8 + (ROW()-11)*4,2,1,1,"Internet"))," "))</f>
        <v xml:space="preserve"> </v>
      </c>
      <c r="Q100" s="471" t="str">
        <f ca="1">IF(N(O100)&gt;0,VLOOKUP(O100,Hraci!$A$1:$I$1500,3,0)," ")</f>
        <v xml:space="preserve"> </v>
      </c>
      <c r="R100" s="471" t="str">
        <f ca="1">IF(N(O100)&gt;0,VLOOKUP(O100,Hraci!$A$1:$I$1500,5,0),IF(TYPE(INDIRECT(ADDRESS(ROW() + $A$9-8 + (ROW()-11)*4,3,1,1,"Internet")))&gt;1,INDIRECT(ADDRESS(ROW() + $A$9-8 + (ROW()-11)*4,3,1,1,"Internet"))," "))</f>
        <v xml:space="preserve"> </v>
      </c>
      <c r="S100" s="472">
        <f ca="1">IF(N(O100)=0,9999,VLOOKUP(O100,Hraci!$A$1:$I$1500,8,0))</f>
        <v>9999</v>
      </c>
      <c r="T100" s="473">
        <f ca="1">IF(N(O100)=0,0,VLOOKUP(O100,Hraci!$A$1:$I$1500,9,0))</f>
        <v>0</v>
      </c>
      <c r="U100" s="469" t="str">
        <f t="shared" ca="1" si="40"/>
        <v/>
      </c>
      <c r="V100" s="470" t="str">
        <f ca="1">IF(N(U100)&gt;0,VLOOKUP(U100,Hraci!$A$1:$I$1500,2,0),IF(TYPE(INDIRECT(ADDRESS(ROW() + $A$9-7 + (ROW()-11)*4,2,1,1,"Internet")))&gt;1,INDIRECT(ADDRESS(ROW() + $A$9-7 + (ROW()-11)*4,2,1,1,"Internet"))," "))</f>
        <v xml:space="preserve"> </v>
      </c>
      <c r="W100" s="471" t="str">
        <f ca="1">IF(N(U100)&gt;0,VLOOKUP(U100,Hraci!$A$1:$I$1500,3,0)," ")</f>
        <v xml:space="preserve"> </v>
      </c>
      <c r="X100" s="471" t="str">
        <f ca="1">IF(N(U100)&gt;0,VLOOKUP(U100,Hraci!$A$1:$I$1500,5,0),IF(TYPE(INDIRECT(ADDRESS(ROW() + $A$9-7 + (ROW()-11)*4,3,1,1,"Internet")))&gt;1,INDIRECT(ADDRESS(ROW() + $A$9-7 + (ROW()-11)*4,3,1,1,"Internet"))," "))</f>
        <v xml:space="preserve"> </v>
      </c>
      <c r="Y100" s="472">
        <f ca="1">IF(N(U100)=0,9999,VLOOKUP(U100,Hraci!$A$1:$I$1500,8,0))</f>
        <v>9999</v>
      </c>
      <c r="Z100" s="473">
        <f ca="1">IF(N(U100)=0,0,VLOOKUP(U100,Hraci!$A$1:$I$1500,9,0))</f>
        <v>0</v>
      </c>
      <c r="AA100" s="469" t="str">
        <f t="shared" ca="1" si="41"/>
        <v/>
      </c>
      <c r="AB100" s="470" t="str">
        <f ca="1">IF(N(AA100)&gt;0,VLOOKUP(AA100,Hraci!$A$1:$I$1500,2,0)," ")</f>
        <v xml:space="preserve"> </v>
      </c>
      <c r="AC100" s="471" t="str">
        <f ca="1">IF(N(AA100)&gt;0,VLOOKUP(AA100,Hraci!$A$1:$I$1500,3,0)," ")</f>
        <v xml:space="preserve"> </v>
      </c>
      <c r="AD100" s="471" t="str">
        <f ca="1">IF(N(AA100)&gt;0,VLOOKUP(AA100,Hraci!$A$1:$I$1500,5,0)," ")</f>
        <v xml:space="preserve"> </v>
      </c>
      <c r="AE100" s="472">
        <f ca="1">IF(N(AA100)=0,9999,VLOOKUP(AA100,Hraci!$A$1:$I$1500,8,0))</f>
        <v>9999</v>
      </c>
      <c r="AF100" s="473">
        <f ca="1">IF(N(AA100)=0,0,VLOOKUP(AA100,Hraci!$A$1:$I$1500,9,0))</f>
        <v>0</v>
      </c>
      <c r="AG100" s="474"/>
      <c r="AH100" s="480">
        <v>129</v>
      </c>
      <c r="AI100" s="475">
        <f ca="1">IF(N($AH100)&gt;0,VLOOKUP($AH100,Body!$A$4:$F$259,5,0),"")</f>
        <v>553.40650000000005</v>
      </c>
      <c r="AJ100" s="476">
        <f ca="1">IF(N($AH100)&gt;0,VLOOKUP($AH100,Body!$A$4:$F$259,6,0),"")</f>
        <v>200</v>
      </c>
      <c r="AK100" s="475">
        <f ca="1">IF(N($AH100)&gt;0,VLOOKUP($AH100,Body!$A$4:$F$259,2,0),"")</f>
        <v>8</v>
      </c>
      <c r="AL100" s="477" t="str">
        <f t="shared" ca="1" si="42"/>
        <v>90 PK Osika Plzeň - Mráz Václav</v>
      </c>
      <c r="AM100" s="478">
        <f t="shared" ca="1" si="43"/>
        <v>16.891999999999999</v>
      </c>
      <c r="AN100" s="408">
        <f ca="1">IF(OR(TYPE(I100)&gt;1,TYPE(MATCH(I100,I101:I$267,0))&gt;1),0,MATCH(I100,I101:I$267,0))+IF(OR(TYPE(I100)&gt;1,TYPE(MATCH(I100,O$11:O$267,0))&gt;1),0,MATCH(I100,O$11:O$267,0))+IF(OR(TYPE(I100)&gt;1,TYPE(MATCH(I100,U$11:U$267,0))&gt;1),0,MATCH(I100,U$11:U$267,0))+IF(OR(TYPE(I100)&gt;1,TYPE(MATCH(I100,AA$11:AA$267,0))&gt;1),0,MATCH(I100,AA$11:AA$267,0))</f>
        <v>0</v>
      </c>
      <c r="AO100" s="408">
        <f ca="1">IF(OR(TYPE(O100)&gt;1,TYPE(MATCH(O100,I$11:I$267,0))&gt;1),0,MATCH(O100,I$11:I$267,0))+IF(OR(TYPE(O100)&gt;1,TYPE(MATCH(O100,O101:O$267,0))&gt;1),0,MATCH(O100,O101:O$267,0))+IF(OR(TYPE(O100)&gt;1,TYPE(MATCH(O100,U$11:U$267,0))&gt;1),0,MATCH(O100,U$11:U$267,0))+IF(OR(TYPE(O100)&gt;1,TYPE(MATCH(O100,AA$11:AA$267,0))&gt;1),0,MATCH(O100,AA$11:AA$267,0))</f>
        <v>0</v>
      </c>
      <c r="AP100" s="408">
        <f ca="1">IF(OR(TYPE(U100)&gt;1,TYPE(MATCH(U100,I$11:I$267,0))&gt;1),0,MATCH(U100,I$11:I$267,0))+IF(OR(TYPE(U100)&gt;1,TYPE(MATCH(U100,O$11:O$267,0))&gt;1),0,MATCH(U100,O$11:O$267,0))+IF(OR(TYPE(U100)&gt;1,TYPE(MATCH(U100,U101:U$267,0))&gt;1),0,MATCH(U100,U101:U$267,0))+IF(OR(TYPE(U100)&gt;1,TYPE(MATCH(U100,AA$11:AA$267,0))&gt;1),0,MATCH(U100,AA$11:AA$267,0))</f>
        <v>0</v>
      </c>
      <c r="AQ100" s="408">
        <f ca="1">IF(OR(TYPE(AA100)&gt;1,TYPE(MATCH(AA100,I$11:I$267,0))&gt;1),0,MATCH(AA100,I$11:I$267,0))+IF(OR(TYPE(AA100)&gt;1,TYPE(MATCH(AA100,O$11:O$267,0))&gt;1),0,MATCH(AA100,O$11:O$267,0))+IF(OR(TYPE(AA100)&gt;1,TYPE(MATCH(AA100,U$11:U$267,0))&gt;1),0,MATCH(U100,U$11:U$267,0))+IF(OR(TYPE(AA100)&gt;1,TYPE(MATCH(AA100,AA101:AA$267,0))&gt;1),0,MATCH(AA100,AA101:AA$267,0))</f>
        <v>0</v>
      </c>
      <c r="AR100" s="408">
        <f t="shared" ca="1" si="44"/>
        <v>0</v>
      </c>
      <c r="BF100" s="408">
        <f t="shared" si="45"/>
        <v>90</v>
      </c>
    </row>
    <row r="101" spans="1:58" ht="14.25">
      <c r="A101" s="430">
        <f t="shared" ca="1" si="30"/>
        <v>1</v>
      </c>
      <c r="B101" s="430">
        <f t="shared" ca="1" si="31"/>
        <v>1</v>
      </c>
      <c r="C101" s="430">
        <f t="shared" ca="1" si="32"/>
        <v>16.875</v>
      </c>
      <c r="D101" s="430">
        <f t="shared" ca="1" si="33"/>
        <v>20142</v>
      </c>
      <c r="E101" s="400">
        <f t="shared" ca="1" si="34"/>
        <v>144</v>
      </c>
      <c r="F101" s="431" t="str">
        <f t="shared" ca="1" si="35"/>
        <v>01000000000000000000841719</v>
      </c>
      <c r="G101" s="467" t="b">
        <f t="shared" ca="1" si="36"/>
        <v>0</v>
      </c>
      <c r="H101" s="468">
        <f t="shared" si="37"/>
        <v>91</v>
      </c>
      <c r="I101" s="469">
        <f t="shared" ca="1" si="38"/>
        <v>20504</v>
      </c>
      <c r="J101" s="470" t="str">
        <f ca="1">IF(N(I101)&gt;0,VLOOKUP(I101,Hraci!$A$1:$I$1500,2,0),IF(TYPE(INDIRECT(ADDRESS(ROW() + $A$9-9 + (ROW()-11)*4,2,1,1,"Internet")))&gt;1,INDIRECT(ADDRESS(ROW() + $A$9-9 + (ROW()-11)*4,2,1,1,"Internet"))," "))</f>
        <v>Bytešník</v>
      </c>
      <c r="K101" s="471" t="str">
        <f ca="1">IF(N(I101)&gt;0,VLOOKUP(I101,Hraci!$A$1:$I$1500,3,0)," ")</f>
        <v>Roman</v>
      </c>
      <c r="L101" s="471" t="str">
        <f ca="1">IF(N(I101)&gt;0,VLOOKUP(I101,Hraci!$A$1:$I$1500,5,0),IF(TYPE(INDIRECT(ADDRESS(ROW() + $A$9-9 + (ROW()-11)*4,3,1,1,"Internet")))&gt;1,INDIRECT(ADDRESS(ROW() + $A$9-9 + (ROW()-11)*4,3,1,1,"Internet"))," "))</f>
        <v>Carreau Brno</v>
      </c>
      <c r="M101" s="472">
        <f ca="1">IF(N(I101)=0,9999,VLOOKUP(I101,Hraci!$A$1:$I$1500,8,0))</f>
        <v>144</v>
      </c>
      <c r="N101" s="473">
        <f ca="1">IF(N(I101)=0,0,VLOOKUP(I101,Hraci!$A$1:$I$1500,9,0))</f>
        <v>16.875</v>
      </c>
      <c r="O101" s="469" t="str">
        <f t="shared" ca="1" si="39"/>
        <v/>
      </c>
      <c r="P101" s="470" t="str">
        <f ca="1">IF(N(O101)&gt;0,VLOOKUP(O101,Hraci!$A$1:$I$1500,2,0),IF(TYPE(INDIRECT(ADDRESS(ROW() + $A$9-8 + (ROW()-11)*4,2,1,1,"Internet")))&gt;1,INDIRECT(ADDRESS(ROW() + $A$9-8 + (ROW()-11)*4,2,1,1,"Internet"))," "))</f>
        <v xml:space="preserve"> </v>
      </c>
      <c r="Q101" s="471" t="str">
        <f ca="1">IF(N(O101)&gt;0,VLOOKUP(O101,Hraci!$A$1:$I$1500,3,0)," ")</f>
        <v xml:space="preserve"> </v>
      </c>
      <c r="R101" s="471" t="str">
        <f ca="1">IF(N(O101)&gt;0,VLOOKUP(O101,Hraci!$A$1:$I$1500,5,0),IF(TYPE(INDIRECT(ADDRESS(ROW() + $A$9-8 + (ROW()-11)*4,3,1,1,"Internet")))&gt;1,INDIRECT(ADDRESS(ROW() + $A$9-8 + (ROW()-11)*4,3,1,1,"Internet"))," "))</f>
        <v xml:space="preserve"> </v>
      </c>
      <c r="S101" s="472">
        <f ca="1">IF(N(O101)=0,9999,VLOOKUP(O101,Hraci!$A$1:$I$1500,8,0))</f>
        <v>9999</v>
      </c>
      <c r="T101" s="473">
        <f ca="1">IF(N(O101)=0,0,VLOOKUP(O101,Hraci!$A$1:$I$1500,9,0))</f>
        <v>0</v>
      </c>
      <c r="U101" s="469" t="str">
        <f t="shared" ca="1" si="40"/>
        <v/>
      </c>
      <c r="V101" s="470" t="str">
        <f ca="1">IF(N(U101)&gt;0,VLOOKUP(U101,Hraci!$A$1:$I$1500,2,0),IF(TYPE(INDIRECT(ADDRESS(ROW() + $A$9-7 + (ROW()-11)*4,2,1,1,"Internet")))&gt;1,INDIRECT(ADDRESS(ROW() + $A$9-7 + (ROW()-11)*4,2,1,1,"Internet"))," "))</f>
        <v xml:space="preserve"> </v>
      </c>
      <c r="W101" s="471" t="str">
        <f ca="1">IF(N(U101)&gt;0,VLOOKUP(U101,Hraci!$A$1:$I$1500,3,0)," ")</f>
        <v xml:space="preserve"> </v>
      </c>
      <c r="X101" s="471" t="str">
        <f ca="1">IF(N(U101)&gt;0,VLOOKUP(U101,Hraci!$A$1:$I$1500,5,0),IF(TYPE(INDIRECT(ADDRESS(ROW() + $A$9-7 + (ROW()-11)*4,3,1,1,"Internet")))&gt;1,INDIRECT(ADDRESS(ROW() + $A$9-7 + (ROW()-11)*4,3,1,1,"Internet"))," "))</f>
        <v xml:space="preserve"> </v>
      </c>
      <c r="Y101" s="472">
        <f ca="1">IF(N(U101)=0,9999,VLOOKUP(U101,Hraci!$A$1:$I$1500,8,0))</f>
        <v>9999</v>
      </c>
      <c r="Z101" s="473">
        <f ca="1">IF(N(U101)=0,0,VLOOKUP(U101,Hraci!$A$1:$I$1500,9,0))</f>
        <v>0</v>
      </c>
      <c r="AA101" s="469" t="str">
        <f t="shared" ca="1" si="41"/>
        <v/>
      </c>
      <c r="AB101" s="470" t="str">
        <f ca="1">IF(N(AA101)&gt;0,VLOOKUP(AA101,Hraci!$A$1:$I$1500,2,0)," ")</f>
        <v xml:space="preserve"> </v>
      </c>
      <c r="AC101" s="471" t="str">
        <f ca="1">IF(N(AA101)&gt;0,VLOOKUP(AA101,Hraci!$A$1:$I$1500,3,0)," ")</f>
        <v xml:space="preserve"> </v>
      </c>
      <c r="AD101" s="471" t="str">
        <f ca="1">IF(N(AA101)&gt;0,VLOOKUP(AA101,Hraci!$A$1:$I$1500,5,0)," ")</f>
        <v xml:space="preserve"> </v>
      </c>
      <c r="AE101" s="472">
        <f ca="1">IF(N(AA101)=0,9999,VLOOKUP(AA101,Hraci!$A$1:$I$1500,8,0))</f>
        <v>9999</v>
      </c>
      <c r="AF101" s="473">
        <f ca="1">IF(N(AA101)=0,0,VLOOKUP(AA101,Hraci!$A$1:$I$1500,9,0))</f>
        <v>0</v>
      </c>
      <c r="AG101" s="474"/>
      <c r="AH101" s="480">
        <v>129</v>
      </c>
      <c r="AI101" s="475">
        <f ca="1">IF(N($AH101)&gt;0,VLOOKUP($AH101,Body!$A$4:$F$259,5,0),"")</f>
        <v>553.40650000000005</v>
      </c>
      <c r="AJ101" s="476">
        <f ca="1">IF(N($AH101)&gt;0,VLOOKUP($AH101,Body!$A$4:$F$259,6,0),"")</f>
        <v>200</v>
      </c>
      <c r="AK101" s="475">
        <f ca="1">IF(N($AH101)&gt;0,VLOOKUP($AH101,Body!$A$4:$F$259,2,0),"")</f>
        <v>8</v>
      </c>
      <c r="AL101" s="477" t="str">
        <f t="shared" ca="1" si="42"/>
        <v>91 Carreau Brno - Bytešník Roman</v>
      </c>
      <c r="AM101" s="478">
        <f t="shared" ca="1" si="43"/>
        <v>16.875</v>
      </c>
      <c r="AN101" s="408">
        <f ca="1">IF(OR(TYPE(I101)&gt;1,TYPE(MATCH(I101,I102:I$267,0))&gt;1),0,MATCH(I101,I102:I$267,0))+IF(OR(TYPE(I101)&gt;1,TYPE(MATCH(I101,O$11:O$267,0))&gt;1),0,MATCH(I101,O$11:O$267,0))+IF(OR(TYPE(I101)&gt;1,TYPE(MATCH(I101,U$11:U$267,0))&gt;1),0,MATCH(I101,U$11:U$267,0))+IF(OR(TYPE(I101)&gt;1,TYPE(MATCH(I101,AA$11:AA$267,0))&gt;1),0,MATCH(I101,AA$11:AA$267,0))</f>
        <v>0</v>
      </c>
      <c r="AO101" s="408">
        <f ca="1">IF(OR(TYPE(O101)&gt;1,TYPE(MATCH(O101,I$11:I$267,0))&gt;1),0,MATCH(O101,I$11:I$267,0))+IF(OR(TYPE(O101)&gt;1,TYPE(MATCH(O101,O102:O$267,0))&gt;1),0,MATCH(O101,O102:O$267,0))+IF(OR(TYPE(O101)&gt;1,TYPE(MATCH(O101,U$11:U$267,0))&gt;1),0,MATCH(O101,U$11:U$267,0))+IF(OR(TYPE(O101)&gt;1,TYPE(MATCH(O101,AA$11:AA$267,0))&gt;1),0,MATCH(O101,AA$11:AA$267,0))</f>
        <v>0</v>
      </c>
      <c r="AP101" s="408">
        <f ca="1">IF(OR(TYPE(U101)&gt;1,TYPE(MATCH(U101,I$11:I$267,0))&gt;1),0,MATCH(U101,I$11:I$267,0))+IF(OR(TYPE(U101)&gt;1,TYPE(MATCH(U101,O$11:O$267,0))&gt;1),0,MATCH(U101,O$11:O$267,0))+IF(OR(TYPE(U101)&gt;1,TYPE(MATCH(U101,U102:U$267,0))&gt;1),0,MATCH(U101,U102:U$267,0))+IF(OR(TYPE(U101)&gt;1,TYPE(MATCH(U101,AA$11:AA$267,0))&gt;1),0,MATCH(U101,AA$11:AA$267,0))</f>
        <v>0</v>
      </c>
      <c r="AQ101" s="408">
        <f ca="1">IF(OR(TYPE(AA101)&gt;1,TYPE(MATCH(AA101,I$11:I$267,0))&gt;1),0,MATCH(AA101,I$11:I$267,0))+IF(OR(TYPE(AA101)&gt;1,TYPE(MATCH(AA101,O$11:O$267,0))&gt;1),0,MATCH(AA101,O$11:O$267,0))+IF(OR(TYPE(AA101)&gt;1,TYPE(MATCH(AA101,U$11:U$267,0))&gt;1),0,MATCH(U101,U$11:U$267,0))+IF(OR(TYPE(AA101)&gt;1,TYPE(MATCH(AA101,AA102:AA$267,0))&gt;1),0,MATCH(AA101,AA102:AA$267,0))</f>
        <v>0</v>
      </c>
      <c r="AR101" s="408">
        <f t="shared" ca="1" si="44"/>
        <v>0</v>
      </c>
      <c r="BF101" s="408">
        <f t="shared" si="45"/>
        <v>91</v>
      </c>
    </row>
    <row r="102" spans="1:58" ht="14.25">
      <c r="A102" s="430">
        <f t="shared" ca="1" si="30"/>
        <v>1</v>
      </c>
      <c r="B102" s="430">
        <f t="shared" ca="1" si="31"/>
        <v>1</v>
      </c>
      <c r="C102" s="430">
        <f t="shared" ca="1" si="32"/>
        <v>16.471</v>
      </c>
      <c r="D102" s="430">
        <f t="shared" ca="1" si="33"/>
        <v>20174</v>
      </c>
      <c r="E102" s="430">
        <f t="shared" ca="1" si="34"/>
        <v>176</v>
      </c>
      <c r="F102" s="431" t="str">
        <f t="shared" ca="1" si="35"/>
        <v>01000000000000000000990398</v>
      </c>
      <c r="G102" s="467" t="b">
        <f t="shared" ca="1" si="36"/>
        <v>0</v>
      </c>
      <c r="H102" s="468">
        <f t="shared" si="37"/>
        <v>92</v>
      </c>
      <c r="I102" s="469">
        <f t="shared" ca="1" si="38"/>
        <v>17093</v>
      </c>
      <c r="J102" s="470" t="str">
        <f ca="1">IF(N(I102)&gt;0,VLOOKUP(I102,Hraci!$A$1:$I$1500,2,0),IF(TYPE(INDIRECT(ADDRESS(ROW() + $A$9-9 + (ROW()-11)*4,2,1,1,"Internet")))&gt;1,INDIRECT(ADDRESS(ROW() + $A$9-9 + (ROW()-11)*4,2,1,1,"Internet"))," "))</f>
        <v>Žiak</v>
      </c>
      <c r="K102" s="471" t="str">
        <f ca="1">IF(N(I102)&gt;0,VLOOKUP(I102,Hraci!$A$1:$I$1500,3,0)," ")</f>
        <v>Radomír</v>
      </c>
      <c r="L102" s="471" t="str">
        <f ca="1">IF(N(I102)&gt;0,VLOOKUP(I102,Hraci!$A$1:$I$1500,5,0),IF(TYPE(INDIRECT(ADDRESS(ROW() + $A$9-9 + (ROW()-11)*4,3,1,1,"Internet")))&gt;1,INDIRECT(ADDRESS(ROW() + $A$9-9 + (ROW()-11)*4,3,1,1,"Internet"))," "))</f>
        <v>PAK Albrechtice</v>
      </c>
      <c r="M102" s="472">
        <f ca="1">IF(N(I102)=0,9999,VLOOKUP(I102,Hraci!$A$1:$I$1500,8,0))</f>
        <v>176</v>
      </c>
      <c r="N102" s="473">
        <f ca="1">IF(N(I102)=0,0,VLOOKUP(I102,Hraci!$A$1:$I$1500,9,0))</f>
        <v>16.471</v>
      </c>
      <c r="O102" s="469" t="str">
        <f t="shared" ca="1" si="39"/>
        <v/>
      </c>
      <c r="P102" s="470" t="str">
        <f ca="1">IF(N(O102)&gt;0,VLOOKUP(O102,Hraci!$A$1:$I$1500,2,0),IF(TYPE(INDIRECT(ADDRESS(ROW() + $A$9-8 + (ROW()-11)*4,2,1,1,"Internet")))&gt;1,INDIRECT(ADDRESS(ROW() + $A$9-8 + (ROW()-11)*4,2,1,1,"Internet"))," "))</f>
        <v xml:space="preserve"> </v>
      </c>
      <c r="Q102" s="471" t="str">
        <f ca="1">IF(N(O102)&gt;0,VLOOKUP(O102,Hraci!$A$1:$I$1500,3,0)," ")</f>
        <v xml:space="preserve"> </v>
      </c>
      <c r="R102" s="471" t="str">
        <f ca="1">IF(N(O102)&gt;0,VLOOKUP(O102,Hraci!$A$1:$I$1500,5,0),IF(TYPE(INDIRECT(ADDRESS(ROW() + $A$9-8 + (ROW()-11)*4,3,1,1,"Internet")))&gt;1,INDIRECT(ADDRESS(ROW() + $A$9-8 + (ROW()-11)*4,3,1,1,"Internet"))," "))</f>
        <v xml:space="preserve"> </v>
      </c>
      <c r="S102" s="472">
        <f ca="1">IF(N(O102)=0,9999,VLOOKUP(O102,Hraci!$A$1:$I$1500,8,0))</f>
        <v>9999</v>
      </c>
      <c r="T102" s="473">
        <f ca="1">IF(N(O102)=0,0,VLOOKUP(O102,Hraci!$A$1:$I$1500,9,0))</f>
        <v>0</v>
      </c>
      <c r="U102" s="469" t="str">
        <f t="shared" ca="1" si="40"/>
        <v/>
      </c>
      <c r="V102" s="470" t="str">
        <f ca="1">IF(N(U102)&gt;0,VLOOKUP(U102,Hraci!$A$1:$I$1500,2,0),IF(TYPE(INDIRECT(ADDRESS(ROW() + $A$9-7 + (ROW()-11)*4,2,1,1,"Internet")))&gt;1,INDIRECT(ADDRESS(ROW() + $A$9-7 + (ROW()-11)*4,2,1,1,"Internet"))," "))</f>
        <v xml:space="preserve"> </v>
      </c>
      <c r="W102" s="471" t="str">
        <f ca="1">IF(N(U102)&gt;0,VLOOKUP(U102,Hraci!$A$1:$I$1500,3,0)," ")</f>
        <v xml:space="preserve"> </v>
      </c>
      <c r="X102" s="471" t="str">
        <f ca="1">IF(N(U102)&gt;0,VLOOKUP(U102,Hraci!$A$1:$I$1500,5,0),IF(TYPE(INDIRECT(ADDRESS(ROW() + $A$9-7 + (ROW()-11)*4,3,1,1,"Internet")))&gt;1,INDIRECT(ADDRESS(ROW() + $A$9-7 + (ROW()-11)*4,3,1,1,"Internet"))," "))</f>
        <v xml:space="preserve"> </v>
      </c>
      <c r="Y102" s="472">
        <f ca="1">IF(N(U102)=0,9999,VLOOKUP(U102,Hraci!$A$1:$I$1500,8,0))</f>
        <v>9999</v>
      </c>
      <c r="Z102" s="473">
        <f ca="1">IF(N(U102)=0,0,VLOOKUP(U102,Hraci!$A$1:$I$1500,9,0))</f>
        <v>0</v>
      </c>
      <c r="AA102" s="469" t="str">
        <f t="shared" ca="1" si="41"/>
        <v/>
      </c>
      <c r="AB102" s="470" t="str">
        <f ca="1">IF(N(AA102)&gt;0,VLOOKUP(AA102,Hraci!$A$1:$I$1500,2,0)," ")</f>
        <v xml:space="preserve"> </v>
      </c>
      <c r="AC102" s="471" t="str">
        <f ca="1">IF(N(AA102)&gt;0,VLOOKUP(AA102,Hraci!$A$1:$I$1500,3,0)," ")</f>
        <v xml:space="preserve"> </v>
      </c>
      <c r="AD102" s="471" t="str">
        <f ca="1">IF(N(AA102)&gt;0,VLOOKUP(AA102,Hraci!$A$1:$I$1500,5,0)," ")</f>
        <v xml:space="preserve"> </v>
      </c>
      <c r="AE102" s="472">
        <f ca="1">IF(N(AA102)=0,9999,VLOOKUP(AA102,Hraci!$A$1:$I$1500,8,0))</f>
        <v>9999</v>
      </c>
      <c r="AF102" s="473">
        <f ca="1">IF(N(AA102)=0,0,VLOOKUP(AA102,Hraci!$A$1:$I$1500,9,0))</f>
        <v>0</v>
      </c>
      <c r="AG102" s="474"/>
      <c r="AH102" s="480">
        <v>64</v>
      </c>
      <c r="AI102" s="475">
        <f ca="1">IF(N($AH102)&gt;0,VLOOKUP($AH102,Body!$A$4:$F$259,5,0),"")</f>
        <v>288.35162500000001</v>
      </c>
      <c r="AJ102" s="476">
        <f ca="1">IF(N($AH102)&gt;0,VLOOKUP($AH102,Body!$A$4:$F$259,6,0),"")</f>
        <v>200</v>
      </c>
      <c r="AK102" s="475">
        <f ca="1">IF(N($AH102)&gt;0,VLOOKUP($AH102,Body!$A$4:$F$259,2,0),"")</f>
        <v>2</v>
      </c>
      <c r="AL102" s="477" t="str">
        <f t="shared" ca="1" si="42"/>
        <v>92 PAK Albrechtice - Žiak Radomír</v>
      </c>
      <c r="AM102" s="478">
        <f t="shared" ca="1" si="43"/>
        <v>16.471</v>
      </c>
      <c r="AN102" s="408">
        <f ca="1">IF(OR(TYPE(I102)&gt;1,TYPE(MATCH(I102,I103:I$267,0))&gt;1),0,MATCH(I102,I103:I$267,0))+IF(OR(TYPE(I102)&gt;1,TYPE(MATCH(I102,O$11:O$267,0))&gt;1),0,MATCH(I102,O$11:O$267,0))+IF(OR(TYPE(I102)&gt;1,TYPE(MATCH(I102,U$11:U$267,0))&gt;1),0,MATCH(I102,U$11:U$267,0))+IF(OR(TYPE(I102)&gt;1,TYPE(MATCH(I102,AA$11:AA$267,0))&gt;1),0,MATCH(I102,AA$11:AA$267,0))</f>
        <v>0</v>
      </c>
      <c r="AO102" s="408">
        <f ca="1">IF(OR(TYPE(O102)&gt;1,TYPE(MATCH(O102,I$11:I$267,0))&gt;1),0,MATCH(O102,I$11:I$267,0))+IF(OR(TYPE(O102)&gt;1,TYPE(MATCH(O102,O103:O$267,0))&gt;1),0,MATCH(O102,O103:O$267,0))+IF(OR(TYPE(O102)&gt;1,TYPE(MATCH(O102,U$11:U$267,0))&gt;1),0,MATCH(O102,U$11:U$267,0))+IF(OR(TYPE(O102)&gt;1,TYPE(MATCH(O102,AA$11:AA$267,0))&gt;1),0,MATCH(O102,AA$11:AA$267,0))</f>
        <v>0</v>
      </c>
      <c r="AP102" s="408">
        <f ca="1">IF(OR(TYPE(U102)&gt;1,TYPE(MATCH(U102,I$11:I$267,0))&gt;1),0,MATCH(U102,I$11:I$267,0))+IF(OR(TYPE(U102)&gt;1,TYPE(MATCH(U102,O$11:O$267,0))&gt;1),0,MATCH(U102,O$11:O$267,0))+IF(OR(TYPE(U102)&gt;1,TYPE(MATCH(U102,U103:U$267,0))&gt;1),0,MATCH(U102,U103:U$267,0))+IF(OR(TYPE(U102)&gt;1,TYPE(MATCH(U102,AA$11:AA$267,0))&gt;1),0,MATCH(U102,AA$11:AA$267,0))</f>
        <v>0</v>
      </c>
      <c r="AQ102" s="408">
        <f ca="1">IF(OR(TYPE(AA102)&gt;1,TYPE(MATCH(AA102,I$11:I$267,0))&gt;1),0,MATCH(AA102,I$11:I$267,0))+IF(OR(TYPE(AA102)&gt;1,TYPE(MATCH(AA102,O$11:O$267,0))&gt;1),0,MATCH(AA102,O$11:O$267,0))+IF(OR(TYPE(AA102)&gt;1,TYPE(MATCH(AA102,U$11:U$267,0))&gt;1),0,MATCH(U102,U$11:U$267,0))+IF(OR(TYPE(AA102)&gt;1,TYPE(MATCH(AA102,AA103:AA$267,0))&gt;1),0,MATCH(AA102,AA103:AA$267,0))</f>
        <v>0</v>
      </c>
      <c r="AR102" s="408">
        <f t="shared" ca="1" si="44"/>
        <v>0</v>
      </c>
      <c r="BF102" s="408">
        <f t="shared" si="45"/>
        <v>92</v>
      </c>
    </row>
    <row r="103" spans="1:58" ht="14.25">
      <c r="A103" s="430">
        <f t="shared" ca="1" si="30"/>
        <v>1</v>
      </c>
      <c r="B103" s="430">
        <f t="shared" ca="1" si="31"/>
        <v>1</v>
      </c>
      <c r="C103" s="430">
        <f t="shared" ca="1" si="32"/>
        <v>16.282</v>
      </c>
      <c r="D103" s="430">
        <f t="shared" ca="1" si="33"/>
        <v>20152</v>
      </c>
      <c r="E103" s="430">
        <f t="shared" ca="1" si="34"/>
        <v>154</v>
      </c>
      <c r="F103" s="431" t="str">
        <f t="shared" ca="1" si="35"/>
        <v>01000000000000000000786366</v>
      </c>
      <c r="G103" s="467" t="b">
        <f t="shared" ca="1" si="36"/>
        <v>0</v>
      </c>
      <c r="H103" s="468">
        <f t="shared" si="37"/>
        <v>93</v>
      </c>
      <c r="I103" s="469">
        <f t="shared" ca="1" si="38"/>
        <v>11049</v>
      </c>
      <c r="J103" s="470" t="str">
        <f ca="1">IF(N(I103)&gt;0,VLOOKUP(I103,Hraci!$A$1:$I$1500,2,0),IF(TYPE(INDIRECT(ADDRESS(ROW() + $A$9-9 + (ROW()-11)*4,2,1,1,"Internet")))&gt;1,INDIRECT(ADDRESS(ROW() + $A$9-9 + (ROW()-11)*4,2,1,1,"Internet"))," "))</f>
        <v>Bucek</v>
      </c>
      <c r="K103" s="471" t="str">
        <f ca="1">IF(N(I103)&gt;0,VLOOKUP(I103,Hraci!$A$1:$I$1500,3,0)," ")</f>
        <v>Zdeněk</v>
      </c>
      <c r="L103" s="471" t="str">
        <f ca="1">IF(N(I103)&gt;0,VLOOKUP(I103,Hraci!$A$1:$I$1500,5,0),IF(TYPE(INDIRECT(ADDRESS(ROW() + $A$9-9 + (ROW()-11)*4,3,1,1,"Internet")))&gt;1,INDIRECT(ADDRESS(ROW() + $A$9-9 + (ROW()-11)*4,3,1,1,"Internet"))," "))</f>
        <v>1. KPK Vrchlabí</v>
      </c>
      <c r="M103" s="472">
        <f ca="1">IF(N(I103)=0,9999,VLOOKUP(I103,Hraci!$A$1:$I$1500,8,0))</f>
        <v>154</v>
      </c>
      <c r="N103" s="473">
        <f ca="1">IF(N(I103)=0,0,VLOOKUP(I103,Hraci!$A$1:$I$1500,9,0))</f>
        <v>16.282</v>
      </c>
      <c r="O103" s="469" t="str">
        <f t="shared" ca="1" si="39"/>
        <v/>
      </c>
      <c r="P103" s="470" t="str">
        <f ca="1">IF(N(O103)&gt;0,VLOOKUP(O103,Hraci!$A$1:$I$1500,2,0),IF(TYPE(INDIRECT(ADDRESS(ROW() + $A$9-8 + (ROW()-11)*4,2,1,1,"Internet")))&gt;1,INDIRECT(ADDRESS(ROW() + $A$9-8 + (ROW()-11)*4,2,1,1,"Internet"))," "))</f>
        <v xml:space="preserve"> </v>
      </c>
      <c r="Q103" s="471" t="str">
        <f ca="1">IF(N(O103)&gt;0,VLOOKUP(O103,Hraci!$A$1:$I$1500,3,0)," ")</f>
        <v xml:space="preserve"> </v>
      </c>
      <c r="R103" s="471" t="str">
        <f ca="1">IF(N(O103)&gt;0,VLOOKUP(O103,Hraci!$A$1:$I$1500,5,0),IF(TYPE(INDIRECT(ADDRESS(ROW() + $A$9-8 + (ROW()-11)*4,3,1,1,"Internet")))&gt;1,INDIRECT(ADDRESS(ROW() + $A$9-8 + (ROW()-11)*4,3,1,1,"Internet"))," "))</f>
        <v xml:space="preserve"> </v>
      </c>
      <c r="S103" s="472">
        <f ca="1">IF(N(O103)=0,9999,VLOOKUP(O103,Hraci!$A$1:$I$1500,8,0))</f>
        <v>9999</v>
      </c>
      <c r="T103" s="473">
        <f ca="1">IF(N(O103)=0,0,VLOOKUP(O103,Hraci!$A$1:$I$1500,9,0))</f>
        <v>0</v>
      </c>
      <c r="U103" s="469" t="str">
        <f t="shared" ca="1" si="40"/>
        <v/>
      </c>
      <c r="V103" s="470" t="str">
        <f ca="1">IF(N(U103)&gt;0,VLOOKUP(U103,Hraci!$A$1:$I$1500,2,0),IF(TYPE(INDIRECT(ADDRESS(ROW() + $A$9-7 + (ROW()-11)*4,2,1,1,"Internet")))&gt;1,INDIRECT(ADDRESS(ROW() + $A$9-7 + (ROW()-11)*4,2,1,1,"Internet"))," "))</f>
        <v xml:space="preserve"> </v>
      </c>
      <c r="W103" s="471" t="str">
        <f ca="1">IF(N(U103)&gt;0,VLOOKUP(U103,Hraci!$A$1:$I$1500,3,0)," ")</f>
        <v xml:space="preserve"> </v>
      </c>
      <c r="X103" s="471" t="str">
        <f ca="1">IF(N(U103)&gt;0,VLOOKUP(U103,Hraci!$A$1:$I$1500,5,0),IF(TYPE(INDIRECT(ADDRESS(ROW() + $A$9-7 + (ROW()-11)*4,3,1,1,"Internet")))&gt;1,INDIRECT(ADDRESS(ROW() + $A$9-7 + (ROW()-11)*4,3,1,1,"Internet"))," "))</f>
        <v xml:space="preserve"> </v>
      </c>
      <c r="Y103" s="472">
        <f ca="1">IF(N(U103)=0,9999,VLOOKUP(U103,Hraci!$A$1:$I$1500,8,0))</f>
        <v>9999</v>
      </c>
      <c r="Z103" s="473">
        <f ca="1">IF(N(U103)=0,0,VLOOKUP(U103,Hraci!$A$1:$I$1500,9,0))</f>
        <v>0</v>
      </c>
      <c r="AA103" s="469" t="str">
        <f t="shared" ca="1" si="41"/>
        <v/>
      </c>
      <c r="AB103" s="470" t="str">
        <f ca="1">IF(N(AA103)&gt;0,VLOOKUP(AA103,Hraci!$A$1:$I$1500,2,0)," ")</f>
        <v xml:space="preserve"> </v>
      </c>
      <c r="AC103" s="471" t="str">
        <f ca="1">IF(N(AA103)&gt;0,VLOOKUP(AA103,Hraci!$A$1:$I$1500,3,0)," ")</f>
        <v xml:space="preserve"> </v>
      </c>
      <c r="AD103" s="471" t="str">
        <f ca="1">IF(N(AA103)&gt;0,VLOOKUP(AA103,Hraci!$A$1:$I$1500,5,0)," ")</f>
        <v xml:space="preserve"> </v>
      </c>
      <c r="AE103" s="472">
        <f ca="1">IF(N(AA103)=0,9999,VLOOKUP(AA103,Hraci!$A$1:$I$1500,8,0))</f>
        <v>9999</v>
      </c>
      <c r="AF103" s="473">
        <f ca="1">IF(N(AA103)=0,0,VLOOKUP(AA103,Hraci!$A$1:$I$1500,9,0))</f>
        <v>0</v>
      </c>
      <c r="AG103" s="474"/>
      <c r="AH103" s="480">
        <v>86</v>
      </c>
      <c r="AI103" s="475">
        <f ca="1">IF(N($AH103)&gt;0,VLOOKUP($AH103,Body!$A$4:$F$259,5,0),"")</f>
        <v>553.40650000000005</v>
      </c>
      <c r="AJ103" s="476">
        <f ca="1">IF(N($AH103)&gt;0,VLOOKUP($AH103,Body!$A$4:$F$259,6,0),"")</f>
        <v>200</v>
      </c>
      <c r="AK103" s="475">
        <f ca="1">IF(N($AH103)&gt;0,VLOOKUP($AH103,Body!$A$4:$F$259,2,0),"")</f>
        <v>8</v>
      </c>
      <c r="AL103" s="477" t="str">
        <f t="shared" ca="1" si="42"/>
        <v>93 1. KPK Vrchlabí - Bucek Zdeněk</v>
      </c>
      <c r="AM103" s="478">
        <f t="shared" ca="1" si="43"/>
        <v>16.282</v>
      </c>
      <c r="AN103" s="408">
        <f ca="1">IF(OR(TYPE(I103)&gt;1,TYPE(MATCH(I103,I104:I$267,0))&gt;1),0,MATCH(I103,I104:I$267,0))+IF(OR(TYPE(I103)&gt;1,TYPE(MATCH(I103,O$11:O$267,0))&gt;1),0,MATCH(I103,O$11:O$267,0))+IF(OR(TYPE(I103)&gt;1,TYPE(MATCH(I103,U$11:U$267,0))&gt;1),0,MATCH(I103,U$11:U$267,0))+IF(OR(TYPE(I103)&gt;1,TYPE(MATCH(I103,AA$11:AA$267,0))&gt;1),0,MATCH(I103,AA$11:AA$267,0))</f>
        <v>0</v>
      </c>
      <c r="AO103" s="408">
        <f ca="1">IF(OR(TYPE(O103)&gt;1,TYPE(MATCH(O103,I$11:I$267,0))&gt;1),0,MATCH(O103,I$11:I$267,0))+IF(OR(TYPE(O103)&gt;1,TYPE(MATCH(O103,O104:O$267,0))&gt;1),0,MATCH(O103,O104:O$267,0))+IF(OR(TYPE(O103)&gt;1,TYPE(MATCH(O103,U$11:U$267,0))&gt;1),0,MATCH(O103,U$11:U$267,0))+IF(OR(TYPE(O103)&gt;1,TYPE(MATCH(O103,AA$11:AA$267,0))&gt;1),0,MATCH(O103,AA$11:AA$267,0))</f>
        <v>0</v>
      </c>
      <c r="AP103" s="408">
        <f ca="1">IF(OR(TYPE(U103)&gt;1,TYPE(MATCH(U103,I$11:I$267,0))&gt;1),0,MATCH(U103,I$11:I$267,0))+IF(OR(TYPE(U103)&gt;1,TYPE(MATCH(U103,O$11:O$267,0))&gt;1),0,MATCH(U103,O$11:O$267,0))+IF(OR(TYPE(U103)&gt;1,TYPE(MATCH(U103,U104:U$267,0))&gt;1),0,MATCH(U103,U104:U$267,0))+IF(OR(TYPE(U103)&gt;1,TYPE(MATCH(U103,AA$11:AA$267,0))&gt;1),0,MATCH(U103,AA$11:AA$267,0))</f>
        <v>0</v>
      </c>
      <c r="AQ103" s="408">
        <f ca="1">IF(OR(TYPE(AA103)&gt;1,TYPE(MATCH(AA103,I$11:I$267,0))&gt;1),0,MATCH(AA103,I$11:I$267,0))+IF(OR(TYPE(AA103)&gt;1,TYPE(MATCH(AA103,O$11:O$267,0))&gt;1),0,MATCH(AA103,O$11:O$267,0))+IF(OR(TYPE(AA103)&gt;1,TYPE(MATCH(AA103,U$11:U$267,0))&gt;1),0,MATCH(U103,U$11:U$267,0))+IF(OR(TYPE(AA103)&gt;1,TYPE(MATCH(AA103,AA104:AA$267,0))&gt;1),0,MATCH(AA103,AA104:AA$267,0))</f>
        <v>0</v>
      </c>
      <c r="AR103" s="408">
        <f t="shared" ca="1" si="44"/>
        <v>0</v>
      </c>
      <c r="BF103" s="408">
        <f t="shared" si="45"/>
        <v>93</v>
      </c>
    </row>
    <row r="104" spans="1:58" ht="14.25">
      <c r="A104" s="430">
        <f t="shared" ca="1" si="30"/>
        <v>1</v>
      </c>
      <c r="B104" s="430">
        <f t="shared" ca="1" si="31"/>
        <v>1</v>
      </c>
      <c r="C104" s="430">
        <f t="shared" ca="1" si="32"/>
        <v>15.500999999999999</v>
      </c>
      <c r="D104" s="430">
        <f t="shared" ca="1" si="33"/>
        <v>20138</v>
      </c>
      <c r="E104" s="400">
        <f t="shared" ca="1" si="34"/>
        <v>140</v>
      </c>
      <c r="F104" s="431" t="str">
        <f t="shared" ca="1" si="35"/>
        <v>01000000000000000000075661</v>
      </c>
      <c r="G104" s="467" t="b">
        <f t="shared" ca="1" si="36"/>
        <v>0</v>
      </c>
      <c r="H104" s="468">
        <f t="shared" si="37"/>
        <v>94</v>
      </c>
      <c r="I104" s="469">
        <f t="shared" ca="1" si="38"/>
        <v>99496</v>
      </c>
      <c r="J104" s="470" t="str">
        <f ca="1">IF(N(I104)&gt;0,VLOOKUP(I104,Hraci!$A$1:$I$1500,2,0),IF(TYPE(INDIRECT(ADDRESS(ROW() + $A$9-9 + (ROW()-11)*4,2,1,1,"Internet")))&gt;1,INDIRECT(ADDRESS(ROW() + $A$9-9 + (ROW()-11)*4,2,1,1,"Internet"))," "))</f>
        <v>Drmola</v>
      </c>
      <c r="K104" s="471" t="str">
        <f ca="1">IF(N(I104)&gt;0,VLOOKUP(I104,Hraci!$A$1:$I$1500,3,0)," ")</f>
        <v>Michal</v>
      </c>
      <c r="L104" s="471" t="str">
        <f ca="1">IF(N(I104)&gt;0,VLOOKUP(I104,Hraci!$A$1:$I$1500,5,0),IF(TYPE(INDIRECT(ADDRESS(ROW() + $A$9-9 + (ROW()-11)*4,3,1,1,"Internet")))&gt;1,INDIRECT(ADDRESS(ROW() + $A$9-9 + (ROW()-11)*4,3,1,1,"Internet"))," "))</f>
        <v>HRODE KRUMSÍN</v>
      </c>
      <c r="M104" s="472">
        <f ca="1">IF(N(I104)=0,9999,VLOOKUP(I104,Hraci!$A$1:$I$1500,8,0))</f>
        <v>140</v>
      </c>
      <c r="N104" s="473">
        <f ca="1">IF(N(I104)=0,0,VLOOKUP(I104,Hraci!$A$1:$I$1500,9,0))</f>
        <v>15.500999999999999</v>
      </c>
      <c r="O104" s="469" t="str">
        <f t="shared" ca="1" si="39"/>
        <v/>
      </c>
      <c r="P104" s="470" t="str">
        <f ca="1">IF(N(O104)&gt;0,VLOOKUP(O104,Hraci!$A$1:$I$1500,2,0),IF(TYPE(INDIRECT(ADDRESS(ROW() + $A$9-8 + (ROW()-11)*4,2,1,1,"Internet")))&gt;1,INDIRECT(ADDRESS(ROW() + $A$9-8 + (ROW()-11)*4,2,1,1,"Internet"))," "))</f>
        <v xml:space="preserve"> </v>
      </c>
      <c r="Q104" s="471" t="str">
        <f ca="1">IF(N(O104)&gt;0,VLOOKUP(O104,Hraci!$A$1:$I$1500,3,0)," ")</f>
        <v xml:space="preserve"> </v>
      </c>
      <c r="R104" s="471" t="str">
        <f ca="1">IF(N(O104)&gt;0,VLOOKUP(O104,Hraci!$A$1:$I$1500,5,0),IF(TYPE(INDIRECT(ADDRESS(ROW() + $A$9-8 + (ROW()-11)*4,3,1,1,"Internet")))&gt;1,INDIRECT(ADDRESS(ROW() + $A$9-8 + (ROW()-11)*4,3,1,1,"Internet"))," "))</f>
        <v xml:space="preserve"> </v>
      </c>
      <c r="S104" s="472">
        <f ca="1">IF(N(O104)=0,9999,VLOOKUP(O104,Hraci!$A$1:$I$1500,8,0))</f>
        <v>9999</v>
      </c>
      <c r="T104" s="473">
        <f ca="1">IF(N(O104)=0,0,VLOOKUP(O104,Hraci!$A$1:$I$1500,9,0))</f>
        <v>0</v>
      </c>
      <c r="U104" s="469" t="str">
        <f t="shared" ca="1" si="40"/>
        <v/>
      </c>
      <c r="V104" s="470" t="str">
        <f ca="1">IF(N(U104)&gt;0,VLOOKUP(U104,Hraci!$A$1:$I$1500,2,0),IF(TYPE(INDIRECT(ADDRESS(ROW() + $A$9-7 + (ROW()-11)*4,2,1,1,"Internet")))&gt;1,INDIRECT(ADDRESS(ROW() + $A$9-7 + (ROW()-11)*4,2,1,1,"Internet"))," "))</f>
        <v xml:space="preserve"> </v>
      </c>
      <c r="W104" s="471" t="str">
        <f ca="1">IF(N(U104)&gt;0,VLOOKUP(U104,Hraci!$A$1:$I$1500,3,0)," ")</f>
        <v xml:space="preserve"> </v>
      </c>
      <c r="X104" s="471" t="str">
        <f ca="1">IF(N(U104)&gt;0,VLOOKUP(U104,Hraci!$A$1:$I$1500,5,0),IF(TYPE(INDIRECT(ADDRESS(ROW() + $A$9-7 + (ROW()-11)*4,3,1,1,"Internet")))&gt;1,INDIRECT(ADDRESS(ROW() + $A$9-7 + (ROW()-11)*4,3,1,1,"Internet"))," "))</f>
        <v xml:space="preserve"> </v>
      </c>
      <c r="Y104" s="472">
        <f ca="1">IF(N(U104)=0,9999,VLOOKUP(U104,Hraci!$A$1:$I$1500,8,0))</f>
        <v>9999</v>
      </c>
      <c r="Z104" s="473">
        <f ca="1">IF(N(U104)=0,0,VLOOKUP(U104,Hraci!$A$1:$I$1500,9,0))</f>
        <v>0</v>
      </c>
      <c r="AA104" s="469" t="str">
        <f t="shared" ca="1" si="41"/>
        <v/>
      </c>
      <c r="AB104" s="470" t="str">
        <f ca="1">IF(N(AA104)&gt;0,VLOOKUP(AA104,Hraci!$A$1:$I$1500,2,0)," ")</f>
        <v xml:space="preserve"> </v>
      </c>
      <c r="AC104" s="471" t="str">
        <f ca="1">IF(N(AA104)&gt;0,VLOOKUP(AA104,Hraci!$A$1:$I$1500,3,0)," ")</f>
        <v xml:space="preserve"> </v>
      </c>
      <c r="AD104" s="471" t="str">
        <f ca="1">IF(N(AA104)&gt;0,VLOOKUP(AA104,Hraci!$A$1:$I$1500,5,0)," ")</f>
        <v xml:space="preserve"> </v>
      </c>
      <c r="AE104" s="472">
        <f ca="1">IF(N(AA104)=0,9999,VLOOKUP(AA104,Hraci!$A$1:$I$1500,8,0))</f>
        <v>9999</v>
      </c>
      <c r="AF104" s="473">
        <f ca="1">IF(N(AA104)=0,0,VLOOKUP(AA104,Hraci!$A$1:$I$1500,9,0))</f>
        <v>0</v>
      </c>
      <c r="AG104" s="474"/>
      <c r="AH104" s="480">
        <v>129</v>
      </c>
      <c r="AI104" s="475">
        <f ca="1">IF(N($AH104)&gt;0,VLOOKUP($AH104,Body!$A$4:$F$259,5,0),"")</f>
        <v>553.40650000000005</v>
      </c>
      <c r="AJ104" s="476">
        <f ca="1">IF(N($AH104)&gt;0,VLOOKUP($AH104,Body!$A$4:$F$259,6,0),"")</f>
        <v>200</v>
      </c>
      <c r="AK104" s="475">
        <f ca="1">IF(N($AH104)&gt;0,VLOOKUP($AH104,Body!$A$4:$F$259,2,0),"")</f>
        <v>8</v>
      </c>
      <c r="AL104" s="477" t="str">
        <f t="shared" ca="1" si="42"/>
        <v>94 HRODE KRUMSÍN - Drmola Michal</v>
      </c>
      <c r="AM104" s="478">
        <f t="shared" ca="1" si="43"/>
        <v>15.500999999999999</v>
      </c>
      <c r="AN104" s="408">
        <f ca="1">IF(OR(TYPE(I104)&gt;1,TYPE(MATCH(I104,I105:I$267,0))&gt;1),0,MATCH(I104,I105:I$267,0))+IF(OR(TYPE(I104)&gt;1,TYPE(MATCH(I104,O$11:O$267,0))&gt;1),0,MATCH(I104,O$11:O$267,0))+IF(OR(TYPE(I104)&gt;1,TYPE(MATCH(I104,U$11:U$267,0))&gt;1),0,MATCH(I104,U$11:U$267,0))+IF(OR(TYPE(I104)&gt;1,TYPE(MATCH(I104,AA$11:AA$267,0))&gt;1),0,MATCH(I104,AA$11:AA$267,0))</f>
        <v>0</v>
      </c>
      <c r="AO104" s="408">
        <f ca="1">IF(OR(TYPE(O104)&gt;1,TYPE(MATCH(O104,I$11:I$267,0))&gt;1),0,MATCH(O104,I$11:I$267,0))+IF(OR(TYPE(O104)&gt;1,TYPE(MATCH(O104,O105:O$267,0))&gt;1),0,MATCH(O104,O105:O$267,0))+IF(OR(TYPE(O104)&gt;1,TYPE(MATCH(O104,U$11:U$267,0))&gt;1),0,MATCH(O104,U$11:U$267,0))+IF(OR(TYPE(O104)&gt;1,TYPE(MATCH(O104,AA$11:AA$267,0))&gt;1),0,MATCH(O104,AA$11:AA$267,0))</f>
        <v>0</v>
      </c>
      <c r="AP104" s="408">
        <f ca="1">IF(OR(TYPE(U104)&gt;1,TYPE(MATCH(U104,I$11:I$267,0))&gt;1),0,MATCH(U104,I$11:I$267,0))+IF(OR(TYPE(U104)&gt;1,TYPE(MATCH(U104,O$11:O$267,0))&gt;1),0,MATCH(U104,O$11:O$267,0))+IF(OR(TYPE(U104)&gt;1,TYPE(MATCH(U104,U105:U$267,0))&gt;1),0,MATCH(U104,U105:U$267,0))+IF(OR(TYPE(U104)&gt;1,TYPE(MATCH(U104,AA$11:AA$267,0))&gt;1),0,MATCH(U104,AA$11:AA$267,0))</f>
        <v>0</v>
      </c>
      <c r="AQ104" s="408">
        <f ca="1">IF(OR(TYPE(AA104)&gt;1,TYPE(MATCH(AA104,I$11:I$267,0))&gt;1),0,MATCH(AA104,I$11:I$267,0))+IF(OR(TYPE(AA104)&gt;1,TYPE(MATCH(AA104,O$11:O$267,0))&gt;1),0,MATCH(AA104,O$11:O$267,0))+IF(OR(TYPE(AA104)&gt;1,TYPE(MATCH(AA104,U$11:U$267,0))&gt;1),0,MATCH(U104,U$11:U$267,0))+IF(OR(TYPE(AA104)&gt;1,TYPE(MATCH(AA104,AA105:AA$267,0))&gt;1),0,MATCH(AA104,AA105:AA$267,0))</f>
        <v>0</v>
      </c>
      <c r="AR104" s="408">
        <f t="shared" ca="1" si="44"/>
        <v>0</v>
      </c>
      <c r="BF104" s="408">
        <f t="shared" si="45"/>
        <v>94</v>
      </c>
    </row>
    <row r="105" spans="1:58" ht="14.25">
      <c r="A105" s="430">
        <f t="shared" ca="1" si="30"/>
        <v>1</v>
      </c>
      <c r="B105" s="430">
        <f t="shared" ca="1" si="31"/>
        <v>1</v>
      </c>
      <c r="C105" s="430">
        <f t="shared" ca="1" si="32"/>
        <v>15.000999999999999</v>
      </c>
      <c r="D105" s="430">
        <f t="shared" ca="1" si="33"/>
        <v>20194</v>
      </c>
      <c r="E105" s="430">
        <f t="shared" ca="1" si="34"/>
        <v>196</v>
      </c>
      <c r="F105" s="431" t="str">
        <f t="shared" ca="1" si="35"/>
        <v>01000000000000000000092686</v>
      </c>
      <c r="G105" s="467" t="b">
        <f t="shared" ca="1" si="36"/>
        <v>0</v>
      </c>
      <c r="H105" s="468">
        <f t="shared" si="37"/>
        <v>95</v>
      </c>
      <c r="I105" s="469">
        <f t="shared" ca="1" si="38"/>
        <v>28030</v>
      </c>
      <c r="J105" s="470" t="str">
        <f ca="1">IF(N(I105)&gt;0,VLOOKUP(I105,Hraci!$A$1:$I$1500,2,0),IF(TYPE(INDIRECT(ADDRESS(ROW() + $A$9-9 + (ROW()-11)*4,2,1,1,"Internet")))&gt;1,INDIRECT(ADDRESS(ROW() + $A$9-9 + (ROW()-11)*4,2,1,1,"Internet"))," "))</f>
        <v>Michovský</v>
      </c>
      <c r="K105" s="471" t="str">
        <f ca="1">IF(N(I105)&gt;0,VLOOKUP(I105,Hraci!$A$1:$I$1500,3,0)," ")</f>
        <v>Jiří</v>
      </c>
      <c r="L105" s="471" t="str">
        <f ca="1">IF(N(I105)&gt;0,VLOOKUP(I105,Hraci!$A$1:$I$1500,5,0),IF(TYPE(INDIRECT(ADDRESS(ROW() + $A$9-9 + (ROW()-11)*4,3,1,1,"Internet")))&gt;1,INDIRECT(ADDRESS(ROW() + $A$9-9 + (ROW()-11)*4,3,1,1,"Internet"))," "))</f>
        <v>PPA POZORKA</v>
      </c>
      <c r="M105" s="472">
        <f ca="1">IF(N(I105)=0,9999,VLOOKUP(I105,Hraci!$A$1:$I$1500,8,0))</f>
        <v>196</v>
      </c>
      <c r="N105" s="473">
        <f ca="1">IF(N(I105)=0,0,VLOOKUP(I105,Hraci!$A$1:$I$1500,9,0))</f>
        <v>15.000999999999999</v>
      </c>
      <c r="O105" s="469" t="str">
        <f t="shared" ca="1" si="39"/>
        <v/>
      </c>
      <c r="P105" s="470" t="str">
        <f ca="1">IF(N(O105)&gt;0,VLOOKUP(O105,Hraci!$A$1:$I$1500,2,0),IF(TYPE(INDIRECT(ADDRESS(ROW() + $A$9-8 + (ROW()-11)*4,2,1,1,"Internet")))&gt;1,INDIRECT(ADDRESS(ROW() + $A$9-8 + (ROW()-11)*4,2,1,1,"Internet"))," "))</f>
        <v xml:space="preserve"> </v>
      </c>
      <c r="Q105" s="471" t="str">
        <f ca="1">IF(N(O105)&gt;0,VLOOKUP(O105,Hraci!$A$1:$I$1500,3,0)," ")</f>
        <v xml:space="preserve"> </v>
      </c>
      <c r="R105" s="471" t="str">
        <f ca="1">IF(N(O105)&gt;0,VLOOKUP(O105,Hraci!$A$1:$I$1500,5,0),IF(TYPE(INDIRECT(ADDRESS(ROW() + $A$9-8 + (ROW()-11)*4,3,1,1,"Internet")))&gt;1,INDIRECT(ADDRESS(ROW() + $A$9-8 + (ROW()-11)*4,3,1,1,"Internet"))," "))</f>
        <v xml:space="preserve"> </v>
      </c>
      <c r="S105" s="472">
        <f ca="1">IF(N(O105)=0,9999,VLOOKUP(O105,Hraci!$A$1:$I$1500,8,0))</f>
        <v>9999</v>
      </c>
      <c r="T105" s="473">
        <f ca="1">IF(N(O105)=0,0,VLOOKUP(O105,Hraci!$A$1:$I$1500,9,0))</f>
        <v>0</v>
      </c>
      <c r="U105" s="469" t="str">
        <f t="shared" ca="1" si="40"/>
        <v/>
      </c>
      <c r="V105" s="470" t="str">
        <f ca="1">IF(N(U105)&gt;0,VLOOKUP(U105,Hraci!$A$1:$I$1500,2,0),IF(TYPE(INDIRECT(ADDRESS(ROW() + $A$9-7 + (ROW()-11)*4,2,1,1,"Internet")))&gt;1,INDIRECT(ADDRESS(ROW() + $A$9-7 + (ROW()-11)*4,2,1,1,"Internet"))," "))</f>
        <v xml:space="preserve"> </v>
      </c>
      <c r="W105" s="471" t="str">
        <f ca="1">IF(N(U105)&gt;0,VLOOKUP(U105,Hraci!$A$1:$I$1500,3,0)," ")</f>
        <v xml:space="preserve"> </v>
      </c>
      <c r="X105" s="471" t="str">
        <f ca="1">IF(N(U105)&gt;0,VLOOKUP(U105,Hraci!$A$1:$I$1500,5,0),IF(TYPE(INDIRECT(ADDRESS(ROW() + $A$9-7 + (ROW()-11)*4,3,1,1,"Internet")))&gt;1,INDIRECT(ADDRESS(ROW() + $A$9-7 + (ROW()-11)*4,3,1,1,"Internet"))," "))</f>
        <v xml:space="preserve"> </v>
      </c>
      <c r="Y105" s="472">
        <f ca="1">IF(N(U105)=0,9999,VLOOKUP(U105,Hraci!$A$1:$I$1500,8,0))</f>
        <v>9999</v>
      </c>
      <c r="Z105" s="473">
        <f ca="1">IF(N(U105)=0,0,VLOOKUP(U105,Hraci!$A$1:$I$1500,9,0))</f>
        <v>0</v>
      </c>
      <c r="AA105" s="469" t="str">
        <f t="shared" ca="1" si="41"/>
        <v/>
      </c>
      <c r="AB105" s="470" t="str">
        <f ca="1">IF(N(AA105)&gt;0,VLOOKUP(AA105,Hraci!$A$1:$I$1500,2,0)," ")</f>
        <v xml:space="preserve"> </v>
      </c>
      <c r="AC105" s="471" t="str">
        <f ca="1">IF(N(AA105)&gt;0,VLOOKUP(AA105,Hraci!$A$1:$I$1500,3,0)," ")</f>
        <v xml:space="preserve"> </v>
      </c>
      <c r="AD105" s="471" t="str">
        <f ca="1">IF(N(AA105)&gt;0,VLOOKUP(AA105,Hraci!$A$1:$I$1500,5,0)," ")</f>
        <v xml:space="preserve"> </v>
      </c>
      <c r="AE105" s="472">
        <f ca="1">IF(N(AA105)=0,9999,VLOOKUP(AA105,Hraci!$A$1:$I$1500,8,0))</f>
        <v>9999</v>
      </c>
      <c r="AF105" s="473">
        <f ca="1">IF(N(AA105)=0,0,VLOOKUP(AA105,Hraci!$A$1:$I$1500,9,0))</f>
        <v>0</v>
      </c>
      <c r="AG105" s="474"/>
      <c r="AH105" s="480">
        <v>64</v>
      </c>
      <c r="AI105" s="475">
        <f ca="1">IF(N($AH105)&gt;0,VLOOKUP($AH105,Body!$A$4:$F$259,5,0),"")</f>
        <v>288.35162500000001</v>
      </c>
      <c r="AJ105" s="476">
        <f ca="1">IF(N($AH105)&gt;0,VLOOKUP($AH105,Body!$A$4:$F$259,6,0),"")</f>
        <v>200</v>
      </c>
      <c r="AK105" s="475">
        <f ca="1">IF(N($AH105)&gt;0,VLOOKUP($AH105,Body!$A$4:$F$259,2,0),"")</f>
        <v>2</v>
      </c>
      <c r="AL105" s="477" t="str">
        <f t="shared" ca="1" si="42"/>
        <v>95 PPA POZORKA - Michovský Jiří</v>
      </c>
      <c r="AM105" s="478">
        <f t="shared" ca="1" si="43"/>
        <v>15.000999999999999</v>
      </c>
      <c r="AN105" s="408">
        <f ca="1">IF(OR(TYPE(I105)&gt;1,TYPE(MATCH(I105,I106:I$267,0))&gt;1),0,MATCH(I105,I106:I$267,0))+IF(OR(TYPE(I105)&gt;1,TYPE(MATCH(I105,O$11:O$267,0))&gt;1),0,MATCH(I105,O$11:O$267,0))+IF(OR(TYPE(I105)&gt;1,TYPE(MATCH(I105,U$11:U$267,0))&gt;1),0,MATCH(I105,U$11:U$267,0))+IF(OR(TYPE(I105)&gt;1,TYPE(MATCH(I105,AA$11:AA$267,0))&gt;1),0,MATCH(I105,AA$11:AA$267,0))</f>
        <v>0</v>
      </c>
      <c r="AO105" s="408">
        <f ca="1">IF(OR(TYPE(O105)&gt;1,TYPE(MATCH(O105,I$11:I$267,0))&gt;1),0,MATCH(O105,I$11:I$267,0))+IF(OR(TYPE(O105)&gt;1,TYPE(MATCH(O105,O106:O$267,0))&gt;1),0,MATCH(O105,O106:O$267,0))+IF(OR(TYPE(O105)&gt;1,TYPE(MATCH(O105,U$11:U$267,0))&gt;1),0,MATCH(O105,U$11:U$267,0))+IF(OR(TYPE(O105)&gt;1,TYPE(MATCH(O105,AA$11:AA$267,0))&gt;1),0,MATCH(O105,AA$11:AA$267,0))</f>
        <v>0</v>
      </c>
      <c r="AP105" s="408">
        <f ca="1">IF(OR(TYPE(U105)&gt;1,TYPE(MATCH(U105,I$11:I$267,0))&gt;1),0,MATCH(U105,I$11:I$267,0))+IF(OR(TYPE(U105)&gt;1,TYPE(MATCH(U105,O$11:O$267,0))&gt;1),0,MATCH(U105,O$11:O$267,0))+IF(OR(TYPE(U105)&gt;1,TYPE(MATCH(U105,U106:U$267,0))&gt;1),0,MATCH(U105,U106:U$267,0))+IF(OR(TYPE(U105)&gt;1,TYPE(MATCH(U105,AA$11:AA$267,0))&gt;1),0,MATCH(U105,AA$11:AA$267,0))</f>
        <v>0</v>
      </c>
      <c r="AQ105" s="408">
        <f ca="1">IF(OR(TYPE(AA105)&gt;1,TYPE(MATCH(AA105,I$11:I$267,0))&gt;1),0,MATCH(AA105,I$11:I$267,0))+IF(OR(TYPE(AA105)&gt;1,TYPE(MATCH(AA105,O$11:O$267,0))&gt;1),0,MATCH(AA105,O$11:O$267,0))+IF(OR(TYPE(AA105)&gt;1,TYPE(MATCH(AA105,U$11:U$267,0))&gt;1),0,MATCH(U105,U$11:U$267,0))+IF(OR(TYPE(AA105)&gt;1,TYPE(MATCH(AA105,AA106:AA$267,0))&gt;1),0,MATCH(AA105,AA106:AA$267,0))</f>
        <v>0</v>
      </c>
      <c r="AR105" s="408">
        <f t="shared" ca="1" si="44"/>
        <v>0</v>
      </c>
      <c r="BF105" s="408">
        <f t="shared" si="45"/>
        <v>95</v>
      </c>
    </row>
    <row r="106" spans="1:58" ht="14.25">
      <c r="A106" s="400">
        <f t="shared" ca="1" si="30"/>
        <v>1</v>
      </c>
      <c r="B106" s="400">
        <f t="shared" ca="1" si="31"/>
        <v>1</v>
      </c>
      <c r="C106" s="400">
        <f t="shared" ca="1" si="32"/>
        <v>14.736000000000001</v>
      </c>
      <c r="D106" s="400">
        <f t="shared" ca="1" si="33"/>
        <v>20137</v>
      </c>
      <c r="E106" s="430">
        <f t="shared" ca="1" si="34"/>
        <v>139</v>
      </c>
      <c r="F106" s="431" t="str">
        <f t="shared" ca="1" si="35"/>
        <v>01000000000000000000609985</v>
      </c>
      <c r="G106" s="467" t="b">
        <f t="shared" ca="1" si="36"/>
        <v>0</v>
      </c>
      <c r="H106" s="468">
        <f t="shared" si="37"/>
        <v>96</v>
      </c>
      <c r="I106" s="469">
        <f t="shared" ca="1" si="38"/>
        <v>11041</v>
      </c>
      <c r="J106" s="470" t="str">
        <f ca="1">IF(N(I106)&gt;0,VLOOKUP(I106,Hraci!$A$1:$I$1500,2,0),IF(TYPE(INDIRECT(ADDRESS(ROW() + $A$9-9 + (ROW()-11)*4,2,1,1,"Internet")))&gt;1,INDIRECT(ADDRESS(ROW() + $A$9-9 + (ROW()-11)*4,2,1,1,"Internet"))," "))</f>
        <v>Kadavá</v>
      </c>
      <c r="K106" s="471" t="str">
        <f ca="1">IF(N(I106)&gt;0,VLOOKUP(I106,Hraci!$A$1:$I$1500,3,0)," ")</f>
        <v>Petra</v>
      </c>
      <c r="L106" s="471" t="str">
        <f ca="1">IF(N(I106)&gt;0,VLOOKUP(I106,Hraci!$A$1:$I$1500,5,0),IF(TYPE(INDIRECT(ADDRESS(ROW() + $A$9-9 + (ROW()-11)*4,3,1,1,"Internet")))&gt;1,INDIRECT(ADDRESS(ROW() + $A$9-9 + (ROW()-11)*4,3,1,1,"Internet"))," "))</f>
        <v>1. KPK Vrchlabí</v>
      </c>
      <c r="M106" s="472">
        <f ca="1">IF(N(I106)=0,9999,VLOOKUP(I106,Hraci!$A$1:$I$1500,8,0))</f>
        <v>139</v>
      </c>
      <c r="N106" s="473">
        <f ca="1">IF(N(I106)=0,0,VLOOKUP(I106,Hraci!$A$1:$I$1500,9,0))</f>
        <v>14.736000000000001</v>
      </c>
      <c r="O106" s="469" t="str">
        <f t="shared" ca="1" si="39"/>
        <v/>
      </c>
      <c r="P106" s="470" t="str">
        <f ca="1">IF(N(O106)&gt;0,VLOOKUP(O106,Hraci!$A$1:$I$1500,2,0),IF(TYPE(INDIRECT(ADDRESS(ROW() + $A$9-8 + (ROW()-11)*4,2,1,1,"Internet")))&gt;1,INDIRECT(ADDRESS(ROW() + $A$9-8 + (ROW()-11)*4,2,1,1,"Internet"))," "))</f>
        <v xml:space="preserve"> </v>
      </c>
      <c r="Q106" s="471" t="str">
        <f ca="1">IF(N(O106)&gt;0,VLOOKUP(O106,Hraci!$A$1:$I$1500,3,0)," ")</f>
        <v xml:space="preserve"> </v>
      </c>
      <c r="R106" s="471" t="str">
        <f ca="1">IF(N(O106)&gt;0,VLOOKUP(O106,Hraci!$A$1:$I$1500,5,0),IF(TYPE(INDIRECT(ADDRESS(ROW() + $A$9-8 + (ROW()-11)*4,3,1,1,"Internet")))&gt;1,INDIRECT(ADDRESS(ROW() + $A$9-8 + (ROW()-11)*4,3,1,1,"Internet"))," "))</f>
        <v xml:space="preserve"> </v>
      </c>
      <c r="S106" s="472">
        <f ca="1">IF(N(O106)=0,9999,VLOOKUP(O106,Hraci!$A$1:$I$1500,8,0))</f>
        <v>9999</v>
      </c>
      <c r="T106" s="473">
        <f ca="1">IF(N(O106)=0,0,VLOOKUP(O106,Hraci!$A$1:$I$1500,9,0))</f>
        <v>0</v>
      </c>
      <c r="U106" s="469" t="str">
        <f t="shared" ca="1" si="40"/>
        <v/>
      </c>
      <c r="V106" s="470" t="str">
        <f ca="1">IF(N(U106)&gt;0,VLOOKUP(U106,Hraci!$A$1:$I$1500,2,0),IF(TYPE(INDIRECT(ADDRESS(ROW() + $A$9-7 + (ROW()-11)*4,2,1,1,"Internet")))&gt;1,INDIRECT(ADDRESS(ROW() + $A$9-7 + (ROW()-11)*4,2,1,1,"Internet"))," "))</f>
        <v xml:space="preserve"> </v>
      </c>
      <c r="W106" s="471" t="str">
        <f ca="1">IF(N(U106)&gt;0,VLOOKUP(U106,Hraci!$A$1:$I$1500,3,0)," ")</f>
        <v xml:space="preserve"> </v>
      </c>
      <c r="X106" s="471" t="str">
        <f ca="1">IF(N(U106)&gt;0,VLOOKUP(U106,Hraci!$A$1:$I$1500,5,0),IF(TYPE(INDIRECT(ADDRESS(ROW() + $A$9-7 + (ROW()-11)*4,3,1,1,"Internet")))&gt;1,INDIRECT(ADDRESS(ROW() + $A$9-7 + (ROW()-11)*4,3,1,1,"Internet"))," "))</f>
        <v xml:space="preserve"> </v>
      </c>
      <c r="Y106" s="472">
        <f ca="1">IF(N(U106)=0,9999,VLOOKUP(U106,Hraci!$A$1:$I$1500,8,0))</f>
        <v>9999</v>
      </c>
      <c r="Z106" s="473">
        <f ca="1">IF(N(U106)=0,0,VLOOKUP(U106,Hraci!$A$1:$I$1500,9,0))</f>
        <v>0</v>
      </c>
      <c r="AA106" s="469" t="str">
        <f t="shared" ca="1" si="41"/>
        <v/>
      </c>
      <c r="AB106" s="470" t="str">
        <f ca="1">IF(N(AA106)&gt;0,VLOOKUP(AA106,Hraci!$A$1:$I$1500,2,0)," ")</f>
        <v xml:space="preserve"> </v>
      </c>
      <c r="AC106" s="471" t="str">
        <f ca="1">IF(N(AA106)&gt;0,VLOOKUP(AA106,Hraci!$A$1:$I$1500,3,0)," ")</f>
        <v xml:space="preserve"> </v>
      </c>
      <c r="AD106" s="471" t="str">
        <f ca="1">IF(N(AA106)&gt;0,VLOOKUP(AA106,Hraci!$A$1:$I$1500,5,0)," ")</f>
        <v xml:space="preserve"> </v>
      </c>
      <c r="AE106" s="472">
        <f ca="1">IF(N(AA106)=0,9999,VLOOKUP(AA106,Hraci!$A$1:$I$1500,8,0))</f>
        <v>9999</v>
      </c>
      <c r="AF106" s="473">
        <f ca="1">IF(N(AA106)=0,0,VLOOKUP(AA106,Hraci!$A$1:$I$1500,9,0))</f>
        <v>0</v>
      </c>
      <c r="AG106" s="474"/>
      <c r="AH106" s="480">
        <v>32</v>
      </c>
      <c r="AI106" s="475">
        <f ca="1">IF(N($AH106)&gt;0,VLOOKUP($AH106,Body!$A$4:$F$259,5,0),"")</f>
        <v>332.52743750000002</v>
      </c>
      <c r="AJ106" s="476">
        <f ca="1">IF(N($AH106)&gt;0,VLOOKUP($AH106,Body!$A$4:$F$259,6,0),"")</f>
        <v>200</v>
      </c>
      <c r="AK106" s="475">
        <f ca="1">IF(N($AH106)&gt;0,VLOOKUP($AH106,Body!$A$4:$F$259,2,0),"")</f>
        <v>3</v>
      </c>
      <c r="AL106" s="477" t="str">
        <f t="shared" ca="1" si="42"/>
        <v>96 1. KPK Vrchlabí - Kadavá Petra</v>
      </c>
      <c r="AM106" s="478">
        <f t="shared" ca="1" si="43"/>
        <v>14.736000000000001</v>
      </c>
      <c r="AN106" s="408">
        <f ca="1">IF(OR(TYPE(I106)&gt;1,TYPE(MATCH(I106,I107:I$267,0))&gt;1),0,MATCH(I106,I107:I$267,0))+IF(OR(TYPE(I106)&gt;1,TYPE(MATCH(I106,O$11:O$267,0))&gt;1),0,MATCH(I106,O$11:O$267,0))+IF(OR(TYPE(I106)&gt;1,TYPE(MATCH(I106,U$11:U$267,0))&gt;1),0,MATCH(I106,U$11:U$267,0))+IF(OR(TYPE(I106)&gt;1,TYPE(MATCH(I106,AA$11:AA$267,0))&gt;1),0,MATCH(I106,AA$11:AA$267,0))</f>
        <v>0</v>
      </c>
      <c r="AO106" s="408">
        <f ca="1">IF(OR(TYPE(O106)&gt;1,TYPE(MATCH(O106,I$11:I$267,0))&gt;1),0,MATCH(O106,I$11:I$267,0))+IF(OR(TYPE(O106)&gt;1,TYPE(MATCH(O106,O107:O$267,0))&gt;1),0,MATCH(O106,O107:O$267,0))+IF(OR(TYPE(O106)&gt;1,TYPE(MATCH(O106,U$11:U$267,0))&gt;1),0,MATCH(O106,U$11:U$267,0))+IF(OR(TYPE(O106)&gt;1,TYPE(MATCH(O106,AA$11:AA$267,0))&gt;1),0,MATCH(O106,AA$11:AA$267,0))</f>
        <v>0</v>
      </c>
      <c r="AP106" s="408">
        <f ca="1">IF(OR(TYPE(U106)&gt;1,TYPE(MATCH(U106,I$11:I$267,0))&gt;1),0,MATCH(U106,I$11:I$267,0))+IF(OR(TYPE(U106)&gt;1,TYPE(MATCH(U106,O$11:O$267,0))&gt;1),0,MATCH(U106,O$11:O$267,0))+IF(OR(TYPE(U106)&gt;1,TYPE(MATCH(U106,U107:U$267,0))&gt;1),0,MATCH(U106,U107:U$267,0))+IF(OR(TYPE(U106)&gt;1,TYPE(MATCH(U106,AA$11:AA$267,0))&gt;1),0,MATCH(U106,AA$11:AA$267,0))</f>
        <v>0</v>
      </c>
      <c r="AQ106" s="408">
        <f ca="1">IF(OR(TYPE(AA106)&gt;1,TYPE(MATCH(AA106,I$11:I$267,0))&gt;1),0,MATCH(AA106,I$11:I$267,0))+IF(OR(TYPE(AA106)&gt;1,TYPE(MATCH(AA106,O$11:O$267,0))&gt;1),0,MATCH(AA106,O$11:O$267,0))+IF(OR(TYPE(AA106)&gt;1,TYPE(MATCH(AA106,U$11:U$267,0))&gt;1),0,MATCH(U106,U$11:U$267,0))+IF(OR(TYPE(AA106)&gt;1,TYPE(MATCH(AA106,AA107:AA$267,0))&gt;1),0,MATCH(AA106,AA107:AA$267,0))</f>
        <v>0</v>
      </c>
      <c r="AR106" s="408">
        <f t="shared" ca="1" si="44"/>
        <v>0</v>
      </c>
      <c r="BF106" s="408">
        <f t="shared" si="45"/>
        <v>96</v>
      </c>
    </row>
    <row r="107" spans="1:58" ht="14.25">
      <c r="A107" s="430">
        <f t="shared" ref="A107:A140" ca="1" si="46">IF(OR(LEFT(J107,1)=" ",ISBLANK(J107)),0,1)+IF(OR(LEFT(P107,1)=" ",ISBLANK(P107)),0,1)+IF(OR(LEFT(V107,1)=" ",ISBLANK(V107)),0,1)</f>
        <v>1</v>
      </c>
      <c r="B107" s="430">
        <f t="shared" ref="B107:B140" ca="1" si="47">IF(AND(TYPE(G107&lt;15),G107=FALSE),1,0)</f>
        <v>1</v>
      </c>
      <c r="C107" s="430">
        <f t="shared" ref="C107:C138" ca="1" si="48">IF(B107=0,0,N107+T107+Z107)</f>
        <v>14.627000000000001</v>
      </c>
      <c r="D107" s="430">
        <f t="shared" ref="D107:D140" ca="1" si="49">IF(B107=0,99999,M107+S107+Y107)</f>
        <v>20131</v>
      </c>
      <c r="E107" s="430">
        <f t="shared" ref="E107:E140" ca="1" si="50">MIN(M107,S107,Y107)</f>
        <v>133</v>
      </c>
      <c r="F107" s="431" t="str">
        <f t="shared" ref="F107:F138" ca="1" si="51">CONCATENATE(IF(AND($P$4=1,H107&gt;2*$O$7),"0","9"),TEXT(B107,"0"),IF(AND($P$4=1,H107&gt;2*$O$7),"000000",TEXT(1000*C107,"000000")),IF(AND($P$4=1,H107&gt;2*$O$7),"000000",TEXT(999999-D107,"000000")),IF(AND($P$4=1,H107&gt;2*$O$7),"000000",TEXT(999999-E107,"000000")),TEXT(999999*RAND(),"000000"))</f>
        <v>01000000000000000000307696</v>
      </c>
      <c r="G107" s="467" t="b">
        <f t="shared" ref="G107:G140" ca="1" si="52">IF(OR($K$6&gt;A107,AR107&gt;0),TRUE,FALSE)</f>
        <v>0</v>
      </c>
      <c r="H107" s="468">
        <f t="shared" ref="H107:H138" si="53">ROW(H107)-10</f>
        <v>97</v>
      </c>
      <c r="I107" s="469">
        <f t="shared" ref="I107:I140" ca="1" si="54">IF(N(INDIRECT(ADDRESS(ROW() + $A$9-9 + (ROW()-11)*4,1,1,1,"Internet")))&gt;0,INDIRECT(ADDRESS(ROW() + $A$9-9 + (ROW()-11)*4,1,1,1,"Internet")),"")</f>
        <v>25075</v>
      </c>
      <c r="J107" s="470" t="str">
        <f ca="1">IF(N(I107)&gt;0,VLOOKUP(I107,Hraci!$A$1:$I$1500,2,0),IF(TYPE(INDIRECT(ADDRESS(ROW() + $A$9-9 + (ROW()-11)*4,2,1,1,"Internet")))&gt;1,INDIRECT(ADDRESS(ROW() + $A$9-9 + (ROW()-11)*4,2,1,1,"Internet"))," "))</f>
        <v>Špitálský</v>
      </c>
      <c r="K107" s="471" t="str">
        <f ca="1">IF(N(I107)&gt;0,VLOOKUP(I107,Hraci!$A$1:$I$1500,3,0)," ")</f>
        <v>Milan</v>
      </c>
      <c r="L107" s="471" t="str">
        <f ca="1">IF(N(I107)&gt;0,VLOOKUP(I107,Hraci!$A$1:$I$1500,5,0),IF(TYPE(INDIRECT(ADDRESS(ROW() + $A$9-9 + (ROW()-11)*4,3,1,1,"Internet")))&gt;1,INDIRECT(ADDRESS(ROW() + $A$9-9 + (ROW()-11)*4,3,1,1,"Internet"))," "))</f>
        <v>PK Osika Plzeň</v>
      </c>
      <c r="M107" s="472">
        <f ca="1">IF(N(I107)=0,9999,VLOOKUP(I107,Hraci!$A$1:$I$1500,8,0))</f>
        <v>133</v>
      </c>
      <c r="N107" s="473">
        <f ca="1">IF(N(I107)=0,0,VLOOKUP(I107,Hraci!$A$1:$I$1500,9,0))</f>
        <v>14.627000000000001</v>
      </c>
      <c r="O107" s="469" t="str">
        <f t="shared" ref="O107:O140" ca="1" si="55">IF(N(INDIRECT(ADDRESS(ROW() + $A$9-8 + (ROW()-11)*4,1,1,1,"Internet")))&gt;0,INDIRECT(ADDRESS(ROW() + $A$9-8 + (ROW()-11)*4,1,1,1,"Internet")),"")</f>
        <v/>
      </c>
      <c r="P107" s="470" t="str">
        <f ca="1">IF(N(O107)&gt;0,VLOOKUP(O107,Hraci!$A$1:$I$1500,2,0),IF(TYPE(INDIRECT(ADDRESS(ROW() + $A$9-8 + (ROW()-11)*4,2,1,1,"Internet")))&gt;1,INDIRECT(ADDRESS(ROW() + $A$9-8 + (ROW()-11)*4,2,1,1,"Internet"))," "))</f>
        <v xml:space="preserve"> </v>
      </c>
      <c r="Q107" s="471" t="str">
        <f ca="1">IF(N(O107)&gt;0,VLOOKUP(O107,Hraci!$A$1:$I$1500,3,0)," ")</f>
        <v xml:space="preserve"> </v>
      </c>
      <c r="R107" s="471" t="str">
        <f ca="1">IF(N(O107)&gt;0,VLOOKUP(O107,Hraci!$A$1:$I$1500,5,0),IF(TYPE(INDIRECT(ADDRESS(ROW() + $A$9-8 + (ROW()-11)*4,3,1,1,"Internet")))&gt;1,INDIRECT(ADDRESS(ROW() + $A$9-8 + (ROW()-11)*4,3,1,1,"Internet"))," "))</f>
        <v xml:space="preserve"> </v>
      </c>
      <c r="S107" s="472">
        <f ca="1">IF(N(O107)=0,9999,VLOOKUP(O107,Hraci!$A$1:$I$1500,8,0))</f>
        <v>9999</v>
      </c>
      <c r="T107" s="473">
        <f ca="1">IF(N(O107)=0,0,VLOOKUP(O107,Hraci!$A$1:$I$1500,9,0))</f>
        <v>0</v>
      </c>
      <c r="U107" s="469" t="str">
        <f t="shared" ref="U107:U140" ca="1" si="56">IF(N(INDIRECT(ADDRESS(ROW() + $A$9-7 + (ROW()-11)*4,1,1,1,"Internet")))&gt;0,INDIRECT(ADDRESS(ROW() + $A$9-7 + (ROW()-11)*4,1,1,1,"Internet")),"")</f>
        <v/>
      </c>
      <c r="V107" s="470" t="str">
        <f ca="1">IF(N(U107)&gt;0,VLOOKUP(U107,Hraci!$A$1:$I$1500,2,0),IF(TYPE(INDIRECT(ADDRESS(ROW() + $A$9-7 + (ROW()-11)*4,2,1,1,"Internet")))&gt;1,INDIRECT(ADDRESS(ROW() + $A$9-7 + (ROW()-11)*4,2,1,1,"Internet"))," "))</f>
        <v xml:space="preserve"> </v>
      </c>
      <c r="W107" s="471" t="str">
        <f ca="1">IF(N(U107)&gt;0,VLOOKUP(U107,Hraci!$A$1:$I$1500,3,0)," ")</f>
        <v xml:space="preserve"> </v>
      </c>
      <c r="X107" s="471" t="str">
        <f ca="1">IF(N(U107)&gt;0,VLOOKUP(U107,Hraci!$A$1:$I$1500,5,0),IF(TYPE(INDIRECT(ADDRESS(ROW() + $A$9-7 + (ROW()-11)*4,3,1,1,"Internet")))&gt;1,INDIRECT(ADDRESS(ROW() + $A$9-7 + (ROW()-11)*4,3,1,1,"Internet"))," "))</f>
        <v xml:space="preserve"> </v>
      </c>
      <c r="Y107" s="472">
        <f ca="1">IF(N(U107)=0,9999,VLOOKUP(U107,Hraci!$A$1:$I$1500,8,0))</f>
        <v>9999</v>
      </c>
      <c r="Z107" s="473">
        <f ca="1">IF(N(U107)=0,0,VLOOKUP(U107,Hraci!$A$1:$I$1500,9,0))</f>
        <v>0</v>
      </c>
      <c r="AA107" s="469" t="str">
        <f t="shared" ref="AA107:AA140" ca="1" si="57">IF(N(INDIRECT(ADDRESS(ROW() + $A$9-6 + (ROW()-11)*4,1,1,1,"Internet")))&gt;0,INDIRECT(ADDRESS(ROW() + $A$9-6 + (ROW()-11)*4,1,1,1,"Internet")),"")</f>
        <v/>
      </c>
      <c r="AB107" s="470" t="str">
        <f ca="1">IF(N(AA107)&gt;0,VLOOKUP(AA107,Hraci!$A$1:$I$1500,2,0)," ")</f>
        <v xml:space="preserve"> </v>
      </c>
      <c r="AC107" s="471" t="str">
        <f ca="1">IF(N(AA107)&gt;0,VLOOKUP(AA107,Hraci!$A$1:$I$1500,3,0)," ")</f>
        <v xml:space="preserve"> </v>
      </c>
      <c r="AD107" s="471" t="str">
        <f ca="1">IF(N(AA107)&gt;0,VLOOKUP(AA107,Hraci!$A$1:$I$1500,5,0)," ")</f>
        <v xml:space="preserve"> </v>
      </c>
      <c r="AE107" s="472">
        <f ca="1">IF(N(AA107)=0,9999,VLOOKUP(AA107,Hraci!$A$1:$I$1500,8,0))</f>
        <v>9999</v>
      </c>
      <c r="AF107" s="473">
        <f ca="1">IF(N(AA107)=0,0,VLOOKUP(AA107,Hraci!$A$1:$I$1500,9,0))</f>
        <v>0</v>
      </c>
      <c r="AG107" s="474"/>
      <c r="AH107" s="480">
        <v>32</v>
      </c>
      <c r="AI107" s="475">
        <f ca="1">IF(N($AH107)&gt;0,VLOOKUP($AH107,Body!$A$4:$F$259,5,0),"")</f>
        <v>332.52743750000002</v>
      </c>
      <c r="AJ107" s="476">
        <f ca="1">IF(N($AH107)&gt;0,VLOOKUP($AH107,Body!$A$4:$F$259,6,0),"")</f>
        <v>200</v>
      </c>
      <c r="AK107" s="475">
        <f ca="1">IF(N($AH107)&gt;0,VLOOKUP($AH107,Body!$A$4:$F$259,2,0),"")</f>
        <v>3</v>
      </c>
      <c r="AL107" s="477" t="str">
        <f t="shared" ref="AL107:AL138" ca="1" si="58">IF(N(H107)&gt;$K$7,"",CONCATENATE(IF($U$7="","",H107&amp;" "),L107,IF(L107="",""," - "),J107," ",K107))</f>
        <v>97 PK Osika Plzeň - Špitálský Milan</v>
      </c>
      <c r="AM107" s="478">
        <f t="shared" ref="AM107:AM138" ca="1" si="59">C107</f>
        <v>14.627000000000001</v>
      </c>
      <c r="AN107" s="408">
        <f ca="1">IF(OR(TYPE(I107)&gt;1,TYPE(MATCH(I107,I108:I$267,0))&gt;1),0,MATCH(I107,I108:I$267,0))+IF(OR(TYPE(I107)&gt;1,TYPE(MATCH(I107,O$11:O$267,0))&gt;1),0,MATCH(I107,O$11:O$267,0))+IF(OR(TYPE(I107)&gt;1,TYPE(MATCH(I107,U$11:U$267,0))&gt;1),0,MATCH(I107,U$11:U$267,0))+IF(OR(TYPE(I107)&gt;1,TYPE(MATCH(I107,AA$11:AA$267,0))&gt;1),0,MATCH(I107,AA$11:AA$267,0))</f>
        <v>0</v>
      </c>
      <c r="AO107" s="408">
        <f ca="1">IF(OR(TYPE(O107)&gt;1,TYPE(MATCH(O107,I$11:I$267,0))&gt;1),0,MATCH(O107,I$11:I$267,0))+IF(OR(TYPE(O107)&gt;1,TYPE(MATCH(O107,O108:O$267,0))&gt;1),0,MATCH(O107,O108:O$267,0))+IF(OR(TYPE(O107)&gt;1,TYPE(MATCH(O107,U$11:U$267,0))&gt;1),0,MATCH(O107,U$11:U$267,0))+IF(OR(TYPE(O107)&gt;1,TYPE(MATCH(O107,AA$11:AA$267,0))&gt;1),0,MATCH(O107,AA$11:AA$267,0))</f>
        <v>0</v>
      </c>
      <c r="AP107" s="408">
        <f ca="1">IF(OR(TYPE(U107)&gt;1,TYPE(MATCH(U107,I$11:I$267,0))&gt;1),0,MATCH(U107,I$11:I$267,0))+IF(OR(TYPE(U107)&gt;1,TYPE(MATCH(U107,O$11:O$267,0))&gt;1),0,MATCH(U107,O$11:O$267,0))+IF(OR(TYPE(U107)&gt;1,TYPE(MATCH(U107,U108:U$267,0))&gt;1),0,MATCH(U107,U108:U$267,0))+IF(OR(TYPE(U107)&gt;1,TYPE(MATCH(U107,AA$11:AA$267,0))&gt;1),0,MATCH(U107,AA$11:AA$267,0))</f>
        <v>0</v>
      </c>
      <c r="AQ107" s="408">
        <f ca="1">IF(OR(TYPE(AA107)&gt;1,TYPE(MATCH(AA107,I$11:I$267,0))&gt;1),0,MATCH(AA107,I$11:I$267,0))+IF(OR(TYPE(AA107)&gt;1,TYPE(MATCH(AA107,O$11:O$267,0))&gt;1),0,MATCH(AA107,O$11:O$267,0))+IF(OR(TYPE(AA107)&gt;1,TYPE(MATCH(AA107,U$11:U$267,0))&gt;1),0,MATCH(U107,U$11:U$267,0))+IF(OR(TYPE(AA107)&gt;1,TYPE(MATCH(AA107,AA108:AA$267,0))&gt;1),0,MATCH(AA107,AA108:AA$267,0))</f>
        <v>0</v>
      </c>
      <c r="AR107" s="408">
        <f t="shared" ca="1" si="44"/>
        <v>0</v>
      </c>
      <c r="BF107" s="408">
        <f t="shared" si="45"/>
        <v>97</v>
      </c>
    </row>
    <row r="108" spans="1:58" ht="14.25">
      <c r="A108" s="430">
        <f t="shared" ca="1" si="46"/>
        <v>1</v>
      </c>
      <c r="B108" s="430">
        <f t="shared" ca="1" si="47"/>
        <v>1</v>
      </c>
      <c r="C108" s="430">
        <f t="shared" ca="1" si="48"/>
        <v>14.532</v>
      </c>
      <c r="D108" s="430">
        <f t="shared" ca="1" si="49"/>
        <v>20235</v>
      </c>
      <c r="E108" s="430">
        <f t="shared" ca="1" si="50"/>
        <v>237</v>
      </c>
      <c r="F108" s="431" t="str">
        <f t="shared" ca="1" si="51"/>
        <v>01000000000000000000029576</v>
      </c>
      <c r="G108" s="467" t="b">
        <f t="shared" ca="1" si="52"/>
        <v>0</v>
      </c>
      <c r="H108" s="468">
        <f t="shared" si="53"/>
        <v>98</v>
      </c>
      <c r="I108" s="469">
        <f t="shared" ca="1" si="54"/>
        <v>96163</v>
      </c>
      <c r="J108" s="470" t="str">
        <f ca="1">IF(N(I108)&gt;0,VLOOKUP(I108,Hraci!$A$1:$I$1500,2,0),IF(TYPE(INDIRECT(ADDRESS(ROW() + $A$9-9 + (ROW()-11)*4,2,1,1,"Internet")))&gt;1,INDIRECT(ADDRESS(ROW() + $A$9-9 + (ROW()-11)*4,2,1,1,"Internet"))," "))</f>
        <v>Glaserová</v>
      </c>
      <c r="K108" s="471" t="str">
        <f ca="1">IF(N(I108)&gt;0,VLOOKUP(I108,Hraci!$A$1:$I$1500,3,0)," ")</f>
        <v>Dana</v>
      </c>
      <c r="L108" s="471" t="str">
        <f ca="1">IF(N(I108)&gt;0,VLOOKUP(I108,Hraci!$A$1:$I$1500,5,0),IF(TYPE(INDIRECT(ADDRESS(ROW() + $A$9-9 + (ROW()-11)*4,3,1,1,"Internet")))&gt;1,INDIRECT(ADDRESS(ROW() + $A$9-9 + (ROW()-11)*4,3,1,1,"Internet"))," "))</f>
        <v>C.T.P. Club Ořech</v>
      </c>
      <c r="M108" s="472">
        <f ca="1">IF(N(I108)=0,9999,VLOOKUP(I108,Hraci!$A$1:$I$1500,8,0))</f>
        <v>237</v>
      </c>
      <c r="N108" s="473">
        <f ca="1">IF(N(I108)=0,0,VLOOKUP(I108,Hraci!$A$1:$I$1500,9,0))</f>
        <v>14.532</v>
      </c>
      <c r="O108" s="469" t="str">
        <f t="shared" ca="1" si="55"/>
        <v/>
      </c>
      <c r="P108" s="470" t="str">
        <f ca="1">IF(N(O108)&gt;0,VLOOKUP(O108,Hraci!$A$1:$I$1500,2,0),IF(TYPE(INDIRECT(ADDRESS(ROW() + $A$9-8 + (ROW()-11)*4,2,1,1,"Internet")))&gt;1,INDIRECT(ADDRESS(ROW() + $A$9-8 + (ROW()-11)*4,2,1,1,"Internet"))," "))</f>
        <v xml:space="preserve"> </v>
      </c>
      <c r="Q108" s="471" t="str">
        <f ca="1">IF(N(O108)&gt;0,VLOOKUP(O108,Hraci!$A$1:$I$1500,3,0)," ")</f>
        <v xml:space="preserve"> </v>
      </c>
      <c r="R108" s="471" t="str">
        <f ca="1">IF(N(O108)&gt;0,VLOOKUP(O108,Hraci!$A$1:$I$1500,5,0),IF(TYPE(INDIRECT(ADDRESS(ROW() + $A$9-8 + (ROW()-11)*4,3,1,1,"Internet")))&gt;1,INDIRECT(ADDRESS(ROW() + $A$9-8 + (ROW()-11)*4,3,1,1,"Internet"))," "))</f>
        <v xml:space="preserve"> </v>
      </c>
      <c r="S108" s="472">
        <f ca="1">IF(N(O108)=0,9999,VLOOKUP(O108,Hraci!$A$1:$I$1500,8,0))</f>
        <v>9999</v>
      </c>
      <c r="T108" s="473">
        <f ca="1">IF(N(O108)=0,0,VLOOKUP(O108,Hraci!$A$1:$I$1500,9,0))</f>
        <v>0</v>
      </c>
      <c r="U108" s="469" t="str">
        <f t="shared" ca="1" si="56"/>
        <v/>
      </c>
      <c r="V108" s="470" t="str">
        <f ca="1">IF(N(U108)&gt;0,VLOOKUP(U108,Hraci!$A$1:$I$1500,2,0),IF(TYPE(INDIRECT(ADDRESS(ROW() + $A$9-7 + (ROW()-11)*4,2,1,1,"Internet")))&gt;1,INDIRECT(ADDRESS(ROW() + $A$9-7 + (ROW()-11)*4,2,1,1,"Internet"))," "))</f>
        <v xml:space="preserve"> </v>
      </c>
      <c r="W108" s="471" t="str">
        <f ca="1">IF(N(U108)&gt;0,VLOOKUP(U108,Hraci!$A$1:$I$1500,3,0)," ")</f>
        <v xml:space="preserve"> </v>
      </c>
      <c r="X108" s="471" t="str">
        <f ca="1">IF(N(U108)&gt;0,VLOOKUP(U108,Hraci!$A$1:$I$1500,5,0),IF(TYPE(INDIRECT(ADDRESS(ROW() + $A$9-7 + (ROW()-11)*4,3,1,1,"Internet")))&gt;1,INDIRECT(ADDRESS(ROW() + $A$9-7 + (ROW()-11)*4,3,1,1,"Internet"))," "))</f>
        <v xml:space="preserve"> </v>
      </c>
      <c r="Y108" s="472">
        <f ca="1">IF(N(U108)=0,9999,VLOOKUP(U108,Hraci!$A$1:$I$1500,8,0))</f>
        <v>9999</v>
      </c>
      <c r="Z108" s="473">
        <f ca="1">IF(N(U108)=0,0,VLOOKUP(U108,Hraci!$A$1:$I$1500,9,0))</f>
        <v>0</v>
      </c>
      <c r="AA108" s="469" t="str">
        <f t="shared" ca="1" si="57"/>
        <v/>
      </c>
      <c r="AB108" s="470" t="str">
        <f ca="1">IF(N(AA108)&gt;0,VLOOKUP(AA108,Hraci!$A$1:$I$1500,2,0)," ")</f>
        <v xml:space="preserve"> </v>
      </c>
      <c r="AC108" s="471" t="str">
        <f ca="1">IF(N(AA108)&gt;0,VLOOKUP(AA108,Hraci!$A$1:$I$1500,3,0)," ")</f>
        <v xml:space="preserve"> </v>
      </c>
      <c r="AD108" s="471" t="str">
        <f ca="1">IF(N(AA108)&gt;0,VLOOKUP(AA108,Hraci!$A$1:$I$1500,5,0)," ")</f>
        <v xml:space="preserve"> </v>
      </c>
      <c r="AE108" s="472">
        <f ca="1">IF(N(AA108)=0,9999,VLOOKUP(AA108,Hraci!$A$1:$I$1500,8,0))</f>
        <v>9999</v>
      </c>
      <c r="AF108" s="473">
        <f ca="1">IF(N(AA108)=0,0,VLOOKUP(AA108,Hraci!$A$1:$I$1500,9,0))</f>
        <v>0</v>
      </c>
      <c r="AG108" s="474"/>
      <c r="AH108" s="480">
        <v>86</v>
      </c>
      <c r="AI108" s="475">
        <f ca="1">IF(N($AH108)&gt;0,VLOOKUP($AH108,Body!$A$4:$F$259,5,0),"")</f>
        <v>553.40650000000005</v>
      </c>
      <c r="AJ108" s="476">
        <f ca="1">IF(N($AH108)&gt;0,VLOOKUP($AH108,Body!$A$4:$F$259,6,0),"")</f>
        <v>200</v>
      </c>
      <c r="AK108" s="475">
        <f ca="1">IF(N($AH108)&gt;0,VLOOKUP($AH108,Body!$A$4:$F$259,2,0),"")</f>
        <v>8</v>
      </c>
      <c r="AL108" s="477" t="str">
        <f t="shared" ca="1" si="58"/>
        <v>98 C.T.P. Club Ořech - Glaserová Dana</v>
      </c>
      <c r="AM108" s="478">
        <f t="shared" ca="1" si="59"/>
        <v>14.532</v>
      </c>
      <c r="AN108" s="408">
        <f ca="1">IF(OR(TYPE(I108)&gt;1,TYPE(MATCH(I108,I109:I$267,0))&gt;1),0,MATCH(I108,I109:I$267,0))+IF(OR(TYPE(I108)&gt;1,TYPE(MATCH(I108,O$11:O$267,0))&gt;1),0,MATCH(I108,O$11:O$267,0))+IF(OR(TYPE(I108)&gt;1,TYPE(MATCH(I108,U$11:U$267,0))&gt;1),0,MATCH(I108,U$11:U$267,0))+IF(OR(TYPE(I108)&gt;1,TYPE(MATCH(I108,AA$11:AA$267,0))&gt;1),0,MATCH(I108,AA$11:AA$267,0))</f>
        <v>0</v>
      </c>
      <c r="AO108" s="408">
        <f ca="1">IF(OR(TYPE(O108)&gt;1,TYPE(MATCH(O108,I$11:I$267,0))&gt;1),0,MATCH(O108,I$11:I$267,0))+IF(OR(TYPE(O108)&gt;1,TYPE(MATCH(O108,O109:O$267,0))&gt;1),0,MATCH(O108,O109:O$267,0))+IF(OR(TYPE(O108)&gt;1,TYPE(MATCH(O108,U$11:U$267,0))&gt;1),0,MATCH(O108,U$11:U$267,0))+IF(OR(TYPE(O108)&gt;1,TYPE(MATCH(O108,AA$11:AA$267,0))&gt;1),0,MATCH(O108,AA$11:AA$267,0))</f>
        <v>0</v>
      </c>
      <c r="AP108" s="408">
        <f ca="1">IF(OR(TYPE(U108)&gt;1,TYPE(MATCH(U108,I$11:I$267,0))&gt;1),0,MATCH(U108,I$11:I$267,0))+IF(OR(TYPE(U108)&gt;1,TYPE(MATCH(U108,O$11:O$267,0))&gt;1),0,MATCH(U108,O$11:O$267,0))+IF(OR(TYPE(U108)&gt;1,TYPE(MATCH(U108,U109:U$267,0))&gt;1),0,MATCH(U108,U109:U$267,0))+IF(OR(TYPE(U108)&gt;1,TYPE(MATCH(U108,AA$11:AA$267,0))&gt;1),0,MATCH(U108,AA$11:AA$267,0))</f>
        <v>0</v>
      </c>
      <c r="AQ108" s="408">
        <f ca="1">IF(OR(TYPE(AA108)&gt;1,TYPE(MATCH(AA108,I$11:I$267,0))&gt;1),0,MATCH(AA108,I$11:I$267,0))+IF(OR(TYPE(AA108)&gt;1,TYPE(MATCH(AA108,O$11:O$267,0))&gt;1),0,MATCH(AA108,O$11:O$267,0))+IF(OR(TYPE(AA108)&gt;1,TYPE(MATCH(AA108,U$11:U$267,0))&gt;1),0,MATCH(U108,U$11:U$267,0))+IF(OR(TYPE(AA108)&gt;1,TYPE(MATCH(AA108,AA109:AA$267,0))&gt;1),0,MATCH(AA108,AA109:AA$267,0))</f>
        <v>0</v>
      </c>
      <c r="AR108" s="408">
        <f t="shared" ca="1" si="44"/>
        <v>0</v>
      </c>
      <c r="BF108" s="408">
        <f t="shared" si="45"/>
        <v>98</v>
      </c>
    </row>
    <row r="109" spans="1:58" ht="14.25">
      <c r="A109" s="430">
        <f t="shared" ca="1" si="46"/>
        <v>1</v>
      </c>
      <c r="B109" s="430">
        <f t="shared" ca="1" si="47"/>
        <v>1</v>
      </c>
      <c r="C109" s="430">
        <f t="shared" ca="1" si="48"/>
        <v>14.313000000000001</v>
      </c>
      <c r="D109" s="430">
        <f t="shared" ca="1" si="49"/>
        <v>20150</v>
      </c>
      <c r="E109" s="430">
        <f t="shared" ca="1" si="50"/>
        <v>152</v>
      </c>
      <c r="F109" s="431" t="str">
        <f t="shared" ca="1" si="51"/>
        <v>01000000000000000000163574</v>
      </c>
      <c r="G109" s="467" t="b">
        <f t="shared" ca="1" si="52"/>
        <v>0</v>
      </c>
      <c r="H109" s="468">
        <f t="shared" si="53"/>
        <v>99</v>
      </c>
      <c r="I109" s="469">
        <f t="shared" ca="1" si="54"/>
        <v>99512</v>
      </c>
      <c r="J109" s="470" t="str">
        <f ca="1">IF(N(I109)&gt;0,VLOOKUP(I109,Hraci!$A$1:$I$1500,2,0),IF(TYPE(INDIRECT(ADDRESS(ROW() + $A$9-9 + (ROW()-11)*4,2,1,1,"Internet")))&gt;1,INDIRECT(ADDRESS(ROW() + $A$9-9 + (ROW()-11)*4,2,1,1,"Internet"))," "))</f>
        <v>Kocourek</v>
      </c>
      <c r="K109" s="471" t="str">
        <f ca="1">IF(N(I109)&gt;0,VLOOKUP(I109,Hraci!$A$1:$I$1500,3,0)," ")</f>
        <v>Pavel</v>
      </c>
      <c r="L109" s="471" t="str">
        <f ca="1">IF(N(I109)&gt;0,VLOOKUP(I109,Hraci!$A$1:$I$1500,5,0),IF(TYPE(INDIRECT(ADDRESS(ROW() + $A$9-9 + (ROW()-11)*4,3,1,1,"Internet")))&gt;1,INDIRECT(ADDRESS(ROW() + $A$9-9 + (ROW()-11)*4,3,1,1,"Internet"))," "))</f>
        <v>SK Sahara Vědomice</v>
      </c>
      <c r="M109" s="472">
        <f ca="1">IF(N(I109)=0,9999,VLOOKUP(I109,Hraci!$A$1:$I$1500,8,0))</f>
        <v>152</v>
      </c>
      <c r="N109" s="473">
        <f ca="1">IF(N(I109)=0,0,VLOOKUP(I109,Hraci!$A$1:$I$1500,9,0))</f>
        <v>14.313000000000001</v>
      </c>
      <c r="O109" s="469" t="str">
        <f t="shared" ca="1" si="55"/>
        <v/>
      </c>
      <c r="P109" s="470" t="str">
        <f ca="1">IF(N(O109)&gt;0,VLOOKUP(O109,Hraci!$A$1:$I$1500,2,0),IF(TYPE(INDIRECT(ADDRESS(ROW() + $A$9-8 + (ROW()-11)*4,2,1,1,"Internet")))&gt;1,INDIRECT(ADDRESS(ROW() + $A$9-8 + (ROW()-11)*4,2,1,1,"Internet"))," "))</f>
        <v xml:space="preserve"> </v>
      </c>
      <c r="Q109" s="471" t="str">
        <f ca="1">IF(N(O109)&gt;0,VLOOKUP(O109,Hraci!$A$1:$I$1500,3,0)," ")</f>
        <v xml:space="preserve"> </v>
      </c>
      <c r="R109" s="471" t="str">
        <f ca="1">IF(N(O109)&gt;0,VLOOKUP(O109,Hraci!$A$1:$I$1500,5,0),IF(TYPE(INDIRECT(ADDRESS(ROW() + $A$9-8 + (ROW()-11)*4,3,1,1,"Internet")))&gt;1,INDIRECT(ADDRESS(ROW() + $A$9-8 + (ROW()-11)*4,3,1,1,"Internet"))," "))</f>
        <v xml:space="preserve"> </v>
      </c>
      <c r="S109" s="472">
        <f ca="1">IF(N(O109)=0,9999,VLOOKUP(O109,Hraci!$A$1:$I$1500,8,0))</f>
        <v>9999</v>
      </c>
      <c r="T109" s="473">
        <f ca="1">IF(N(O109)=0,0,VLOOKUP(O109,Hraci!$A$1:$I$1500,9,0))</f>
        <v>0</v>
      </c>
      <c r="U109" s="469" t="str">
        <f t="shared" ca="1" si="56"/>
        <v/>
      </c>
      <c r="V109" s="470" t="str">
        <f ca="1">IF(N(U109)&gt;0,VLOOKUP(U109,Hraci!$A$1:$I$1500,2,0),IF(TYPE(INDIRECT(ADDRESS(ROW() + $A$9-7 + (ROW()-11)*4,2,1,1,"Internet")))&gt;1,INDIRECT(ADDRESS(ROW() + $A$9-7 + (ROW()-11)*4,2,1,1,"Internet"))," "))</f>
        <v xml:space="preserve"> </v>
      </c>
      <c r="W109" s="471" t="str">
        <f ca="1">IF(N(U109)&gt;0,VLOOKUP(U109,Hraci!$A$1:$I$1500,3,0)," ")</f>
        <v xml:space="preserve"> </v>
      </c>
      <c r="X109" s="471" t="str">
        <f ca="1">IF(N(U109)&gt;0,VLOOKUP(U109,Hraci!$A$1:$I$1500,5,0),IF(TYPE(INDIRECT(ADDRESS(ROW() + $A$9-7 + (ROW()-11)*4,3,1,1,"Internet")))&gt;1,INDIRECT(ADDRESS(ROW() + $A$9-7 + (ROW()-11)*4,3,1,1,"Internet"))," "))</f>
        <v xml:space="preserve"> </v>
      </c>
      <c r="Y109" s="472">
        <f ca="1">IF(N(U109)=0,9999,VLOOKUP(U109,Hraci!$A$1:$I$1500,8,0))</f>
        <v>9999</v>
      </c>
      <c r="Z109" s="473">
        <f ca="1">IF(N(U109)=0,0,VLOOKUP(U109,Hraci!$A$1:$I$1500,9,0))</f>
        <v>0</v>
      </c>
      <c r="AA109" s="469" t="str">
        <f t="shared" ca="1" si="57"/>
        <v/>
      </c>
      <c r="AB109" s="470" t="str">
        <f ca="1">IF(N(AA109)&gt;0,VLOOKUP(AA109,Hraci!$A$1:$I$1500,2,0)," ")</f>
        <v xml:space="preserve"> </v>
      </c>
      <c r="AC109" s="471" t="str">
        <f ca="1">IF(N(AA109)&gt;0,VLOOKUP(AA109,Hraci!$A$1:$I$1500,3,0)," ")</f>
        <v xml:space="preserve"> </v>
      </c>
      <c r="AD109" s="471" t="str">
        <f ca="1">IF(N(AA109)&gt;0,VLOOKUP(AA109,Hraci!$A$1:$I$1500,5,0)," ")</f>
        <v xml:space="preserve"> </v>
      </c>
      <c r="AE109" s="472">
        <f ca="1">IF(N(AA109)=0,9999,VLOOKUP(AA109,Hraci!$A$1:$I$1500,8,0))</f>
        <v>9999</v>
      </c>
      <c r="AF109" s="473">
        <f ca="1">IF(N(AA109)=0,0,VLOOKUP(AA109,Hraci!$A$1:$I$1500,9,0))</f>
        <v>0</v>
      </c>
      <c r="AG109" s="474"/>
      <c r="AH109" s="480">
        <f ca="1">IF(TYPE(VLOOKUP(H109,Nasazení!$A$3:$E$258,5,0))&lt;4,VLOOKUP(H109,Nasazení!$A$3:$E$258,5,0),0)</f>
        <v>64</v>
      </c>
      <c r="AI109" s="475">
        <f ca="1">IF(N($AH109)&gt;0,VLOOKUP($AH109,Body!$A$4:$F$259,5,0),"")</f>
        <v>288.35162500000001</v>
      </c>
      <c r="AJ109" s="476">
        <f ca="1">IF(N($AH109)&gt;0,VLOOKUP($AH109,Body!$A$4:$F$259,6,0),"")</f>
        <v>200</v>
      </c>
      <c r="AK109" s="475">
        <f ca="1">IF(N($AH109)&gt;0,VLOOKUP($AH109,Body!$A$4:$F$259,2,0),"")</f>
        <v>2</v>
      </c>
      <c r="AL109" s="477" t="str">
        <f t="shared" ca="1" si="58"/>
        <v>99 SK Sahara Vědomice - Kocourek Pavel</v>
      </c>
      <c r="AM109" s="478">
        <f t="shared" ca="1" si="59"/>
        <v>14.313000000000001</v>
      </c>
      <c r="AN109" s="408">
        <f ca="1">IF(OR(TYPE(I109)&gt;1,TYPE(MATCH(I109,I110:I$267,0))&gt;1),0,MATCH(I109,I110:I$267,0))+IF(OR(TYPE(I109)&gt;1,TYPE(MATCH(I109,O$11:O$267,0))&gt;1),0,MATCH(I109,O$11:O$267,0))+IF(OR(TYPE(I109)&gt;1,TYPE(MATCH(I109,U$11:U$267,0))&gt;1),0,MATCH(I109,U$11:U$267,0))+IF(OR(TYPE(I109)&gt;1,TYPE(MATCH(I109,AA$11:AA$267,0))&gt;1),0,MATCH(I109,AA$11:AA$267,0))</f>
        <v>0</v>
      </c>
      <c r="AO109" s="408">
        <f ca="1">IF(OR(TYPE(O109)&gt;1,TYPE(MATCH(O109,I$11:I$267,0))&gt;1),0,MATCH(O109,I$11:I$267,0))+IF(OR(TYPE(O109)&gt;1,TYPE(MATCH(O109,O110:O$267,0))&gt;1),0,MATCH(O109,O110:O$267,0))+IF(OR(TYPE(O109)&gt;1,TYPE(MATCH(O109,U$11:U$267,0))&gt;1),0,MATCH(O109,U$11:U$267,0))+IF(OR(TYPE(O109)&gt;1,TYPE(MATCH(O109,AA$11:AA$267,0))&gt;1),0,MATCH(O109,AA$11:AA$267,0))</f>
        <v>0</v>
      </c>
      <c r="AP109" s="408">
        <f ca="1">IF(OR(TYPE(U109)&gt;1,TYPE(MATCH(U109,I$11:I$267,0))&gt;1),0,MATCH(U109,I$11:I$267,0))+IF(OR(TYPE(U109)&gt;1,TYPE(MATCH(U109,O$11:O$267,0))&gt;1),0,MATCH(U109,O$11:O$267,0))+IF(OR(TYPE(U109)&gt;1,TYPE(MATCH(U109,U110:U$267,0))&gt;1),0,MATCH(U109,U110:U$267,0))+IF(OR(TYPE(U109)&gt;1,TYPE(MATCH(U109,AA$11:AA$267,0))&gt;1),0,MATCH(U109,AA$11:AA$267,0))</f>
        <v>0</v>
      </c>
      <c r="AQ109" s="408">
        <f ca="1">IF(OR(TYPE(AA109)&gt;1,TYPE(MATCH(AA109,I$11:I$267,0))&gt;1),0,MATCH(AA109,I$11:I$267,0))+IF(OR(TYPE(AA109)&gt;1,TYPE(MATCH(AA109,O$11:O$267,0))&gt;1),0,MATCH(AA109,O$11:O$267,0))+IF(OR(TYPE(AA109)&gt;1,TYPE(MATCH(AA109,U$11:U$267,0))&gt;1),0,MATCH(U109,U$11:U$267,0))+IF(OR(TYPE(AA109)&gt;1,TYPE(MATCH(AA109,AA110:AA$267,0))&gt;1),0,MATCH(AA109,AA110:AA$267,0))</f>
        <v>0</v>
      </c>
      <c r="AR109" s="408">
        <f t="shared" ca="1" si="44"/>
        <v>0</v>
      </c>
      <c r="BF109" s="408">
        <f t="shared" si="45"/>
        <v>99</v>
      </c>
    </row>
    <row r="110" spans="1:58" ht="14.25">
      <c r="A110" s="430">
        <f t="shared" ca="1" si="46"/>
        <v>1</v>
      </c>
      <c r="B110" s="430">
        <f t="shared" ca="1" si="47"/>
        <v>1</v>
      </c>
      <c r="C110" s="430">
        <f t="shared" ca="1" si="48"/>
        <v>14.032999999999999</v>
      </c>
      <c r="D110" s="430">
        <f t="shared" ca="1" si="49"/>
        <v>20161</v>
      </c>
      <c r="E110" s="430">
        <f t="shared" ca="1" si="50"/>
        <v>163</v>
      </c>
      <c r="F110" s="431" t="str">
        <f t="shared" ca="1" si="51"/>
        <v>01000000000000000000532306</v>
      </c>
      <c r="G110" s="467" t="b">
        <f t="shared" ca="1" si="52"/>
        <v>0</v>
      </c>
      <c r="H110" s="468">
        <f t="shared" si="53"/>
        <v>100</v>
      </c>
      <c r="I110" s="469">
        <f t="shared" ca="1" si="54"/>
        <v>28056</v>
      </c>
      <c r="J110" s="470" t="str">
        <f ca="1">IF(N(I110)&gt;0,VLOOKUP(I110,Hraci!$A$1:$I$1500,2,0),IF(TYPE(INDIRECT(ADDRESS(ROW() + $A$9-9 + (ROW()-11)*4,2,1,1,"Internet")))&gt;1,INDIRECT(ADDRESS(ROW() + $A$9-9 + (ROW()-11)*4,2,1,1,"Internet"))," "))</f>
        <v>Blažejová</v>
      </c>
      <c r="K110" s="471" t="str">
        <f ca="1">IF(N(I110)&gt;0,VLOOKUP(I110,Hraci!$A$1:$I$1500,3,0)," ")</f>
        <v>Eva</v>
      </c>
      <c r="L110" s="471" t="str">
        <f ca="1">IF(N(I110)&gt;0,VLOOKUP(I110,Hraci!$A$1:$I$1500,5,0),IF(TYPE(INDIRECT(ADDRESS(ROW() + $A$9-9 + (ROW()-11)*4,3,1,1,"Internet")))&gt;1,INDIRECT(ADDRESS(ROW() + $A$9-9 + (ROW()-11)*4,3,1,1,"Internet"))," "))</f>
        <v>1. Starobrněnský PK</v>
      </c>
      <c r="M110" s="472">
        <f ca="1">IF(N(I110)=0,9999,VLOOKUP(I110,Hraci!$A$1:$I$1500,8,0))</f>
        <v>163</v>
      </c>
      <c r="N110" s="473">
        <f ca="1">IF(N(I110)=0,0,VLOOKUP(I110,Hraci!$A$1:$I$1500,9,0))</f>
        <v>14.032999999999999</v>
      </c>
      <c r="O110" s="469" t="str">
        <f t="shared" ca="1" si="55"/>
        <v/>
      </c>
      <c r="P110" s="470" t="str">
        <f ca="1">IF(N(O110)&gt;0,VLOOKUP(O110,Hraci!$A$1:$I$1500,2,0),IF(TYPE(INDIRECT(ADDRESS(ROW() + $A$9-8 + (ROW()-11)*4,2,1,1,"Internet")))&gt;1,INDIRECT(ADDRESS(ROW() + $A$9-8 + (ROW()-11)*4,2,1,1,"Internet"))," "))</f>
        <v xml:space="preserve"> </v>
      </c>
      <c r="Q110" s="471" t="str">
        <f ca="1">IF(N(O110)&gt;0,VLOOKUP(O110,Hraci!$A$1:$I$1500,3,0)," ")</f>
        <v xml:space="preserve"> </v>
      </c>
      <c r="R110" s="471" t="str">
        <f ca="1">IF(N(O110)&gt;0,VLOOKUP(O110,Hraci!$A$1:$I$1500,5,0),IF(TYPE(INDIRECT(ADDRESS(ROW() + $A$9-8 + (ROW()-11)*4,3,1,1,"Internet")))&gt;1,INDIRECT(ADDRESS(ROW() + $A$9-8 + (ROW()-11)*4,3,1,1,"Internet"))," "))</f>
        <v xml:space="preserve"> </v>
      </c>
      <c r="S110" s="472">
        <f ca="1">IF(N(O110)=0,9999,VLOOKUP(O110,Hraci!$A$1:$I$1500,8,0))</f>
        <v>9999</v>
      </c>
      <c r="T110" s="473">
        <f ca="1">IF(N(O110)=0,0,VLOOKUP(O110,Hraci!$A$1:$I$1500,9,0))</f>
        <v>0</v>
      </c>
      <c r="U110" s="469" t="str">
        <f t="shared" ca="1" si="56"/>
        <v/>
      </c>
      <c r="V110" s="470" t="str">
        <f ca="1">IF(N(U110)&gt;0,VLOOKUP(U110,Hraci!$A$1:$I$1500,2,0),IF(TYPE(INDIRECT(ADDRESS(ROW() + $A$9-7 + (ROW()-11)*4,2,1,1,"Internet")))&gt;1,INDIRECT(ADDRESS(ROW() + $A$9-7 + (ROW()-11)*4,2,1,1,"Internet"))," "))</f>
        <v xml:space="preserve"> </v>
      </c>
      <c r="W110" s="471" t="str">
        <f ca="1">IF(N(U110)&gt;0,VLOOKUP(U110,Hraci!$A$1:$I$1500,3,0)," ")</f>
        <v xml:space="preserve"> </v>
      </c>
      <c r="X110" s="471" t="str">
        <f ca="1">IF(N(U110)&gt;0,VLOOKUP(U110,Hraci!$A$1:$I$1500,5,0),IF(TYPE(INDIRECT(ADDRESS(ROW() + $A$9-7 + (ROW()-11)*4,3,1,1,"Internet")))&gt;1,INDIRECT(ADDRESS(ROW() + $A$9-7 + (ROW()-11)*4,3,1,1,"Internet"))," "))</f>
        <v xml:space="preserve"> </v>
      </c>
      <c r="Y110" s="472">
        <f ca="1">IF(N(U110)=0,9999,VLOOKUP(U110,Hraci!$A$1:$I$1500,8,0))</f>
        <v>9999</v>
      </c>
      <c r="Z110" s="473">
        <f ca="1">IF(N(U110)=0,0,VLOOKUP(U110,Hraci!$A$1:$I$1500,9,0))</f>
        <v>0</v>
      </c>
      <c r="AA110" s="469" t="str">
        <f t="shared" ca="1" si="57"/>
        <v/>
      </c>
      <c r="AB110" s="470" t="str">
        <f ca="1">IF(N(AA110)&gt;0,VLOOKUP(AA110,Hraci!$A$1:$I$1500,2,0)," ")</f>
        <v xml:space="preserve"> </v>
      </c>
      <c r="AC110" s="471" t="str">
        <f ca="1">IF(N(AA110)&gt;0,VLOOKUP(AA110,Hraci!$A$1:$I$1500,3,0)," ")</f>
        <v xml:space="preserve"> </v>
      </c>
      <c r="AD110" s="471" t="str">
        <f ca="1">IF(N(AA110)&gt;0,VLOOKUP(AA110,Hraci!$A$1:$I$1500,5,0)," ")</f>
        <v xml:space="preserve"> </v>
      </c>
      <c r="AE110" s="472">
        <f ca="1">IF(N(AA110)=0,9999,VLOOKUP(AA110,Hraci!$A$1:$I$1500,8,0))</f>
        <v>9999</v>
      </c>
      <c r="AF110" s="473">
        <f ca="1">IF(N(AA110)=0,0,VLOOKUP(AA110,Hraci!$A$1:$I$1500,9,0))</f>
        <v>0</v>
      </c>
      <c r="AG110" s="474"/>
      <c r="AH110" s="480">
        <v>64</v>
      </c>
      <c r="AI110" s="475">
        <f ca="1">IF(N($AH110)&gt;0,VLOOKUP($AH110,Body!$A$4:$F$259,5,0),"")</f>
        <v>288.35162500000001</v>
      </c>
      <c r="AJ110" s="476">
        <f ca="1">IF(N($AH110)&gt;0,VLOOKUP($AH110,Body!$A$4:$F$259,6,0),"")</f>
        <v>200</v>
      </c>
      <c r="AK110" s="475">
        <f ca="1">IF(N($AH110)&gt;0,VLOOKUP($AH110,Body!$A$4:$F$259,2,0),"")</f>
        <v>2</v>
      </c>
      <c r="AL110" s="477" t="str">
        <f t="shared" ca="1" si="58"/>
        <v>100 1. Starobrněnský PK - Blažejová Eva</v>
      </c>
      <c r="AM110" s="478">
        <f t="shared" ca="1" si="59"/>
        <v>14.032999999999999</v>
      </c>
      <c r="AN110" s="408">
        <f ca="1">IF(OR(TYPE(I110)&gt;1,TYPE(MATCH(I110,I111:I$267,0))&gt;1),0,MATCH(I110,I111:I$267,0))+IF(OR(TYPE(I110)&gt;1,TYPE(MATCH(I110,O$11:O$267,0))&gt;1),0,MATCH(I110,O$11:O$267,0))+IF(OR(TYPE(I110)&gt;1,TYPE(MATCH(I110,U$11:U$267,0))&gt;1),0,MATCH(I110,U$11:U$267,0))+IF(OR(TYPE(I110)&gt;1,TYPE(MATCH(I110,AA$11:AA$267,0))&gt;1),0,MATCH(I110,AA$11:AA$267,0))</f>
        <v>0</v>
      </c>
      <c r="AO110" s="408">
        <f ca="1">IF(OR(TYPE(O110)&gt;1,TYPE(MATCH(O110,I$11:I$267,0))&gt;1),0,MATCH(O110,I$11:I$267,0))+IF(OR(TYPE(O110)&gt;1,TYPE(MATCH(O110,O111:O$267,0))&gt;1),0,MATCH(O110,O111:O$267,0))+IF(OR(TYPE(O110)&gt;1,TYPE(MATCH(O110,U$11:U$267,0))&gt;1),0,MATCH(O110,U$11:U$267,0))+IF(OR(TYPE(O110)&gt;1,TYPE(MATCH(O110,AA$11:AA$267,0))&gt;1),0,MATCH(O110,AA$11:AA$267,0))</f>
        <v>0</v>
      </c>
      <c r="AP110" s="408">
        <f ca="1">IF(OR(TYPE(U110)&gt;1,TYPE(MATCH(U110,I$11:I$267,0))&gt;1),0,MATCH(U110,I$11:I$267,0))+IF(OR(TYPE(U110)&gt;1,TYPE(MATCH(U110,O$11:O$267,0))&gt;1),0,MATCH(U110,O$11:O$267,0))+IF(OR(TYPE(U110)&gt;1,TYPE(MATCH(U110,U111:U$267,0))&gt;1),0,MATCH(U110,U111:U$267,0))+IF(OR(TYPE(U110)&gt;1,TYPE(MATCH(U110,AA$11:AA$267,0))&gt;1),0,MATCH(U110,AA$11:AA$267,0))</f>
        <v>0</v>
      </c>
      <c r="AQ110" s="408">
        <f ca="1">IF(OR(TYPE(AA110)&gt;1,TYPE(MATCH(AA110,I$11:I$267,0))&gt;1),0,MATCH(AA110,I$11:I$267,0))+IF(OR(TYPE(AA110)&gt;1,TYPE(MATCH(AA110,O$11:O$267,0))&gt;1),0,MATCH(AA110,O$11:O$267,0))+IF(OR(TYPE(AA110)&gt;1,TYPE(MATCH(AA110,U$11:U$267,0))&gt;1),0,MATCH(U110,U$11:U$267,0))+IF(OR(TYPE(AA110)&gt;1,TYPE(MATCH(AA110,AA111:AA$267,0))&gt;1),0,MATCH(AA110,AA111:AA$267,0))</f>
        <v>0</v>
      </c>
      <c r="AR110" s="408">
        <f t="shared" ca="1" si="44"/>
        <v>0</v>
      </c>
      <c r="BF110" s="408">
        <f t="shared" si="45"/>
        <v>100</v>
      </c>
    </row>
    <row r="111" spans="1:58" ht="14.25">
      <c r="A111" s="430">
        <f t="shared" ca="1" si="46"/>
        <v>1</v>
      </c>
      <c r="B111" s="430">
        <f t="shared" ca="1" si="47"/>
        <v>1</v>
      </c>
      <c r="C111" s="430">
        <f t="shared" ca="1" si="48"/>
        <v>14.031000000000001</v>
      </c>
      <c r="D111" s="430">
        <f t="shared" ca="1" si="49"/>
        <v>20166</v>
      </c>
      <c r="E111" s="430">
        <f t="shared" ca="1" si="50"/>
        <v>168</v>
      </c>
      <c r="F111" s="431" t="str">
        <f t="shared" ca="1" si="51"/>
        <v>01000000000000000000676382</v>
      </c>
      <c r="G111" s="467" t="b">
        <f t="shared" ca="1" si="52"/>
        <v>0</v>
      </c>
      <c r="H111" s="468">
        <f t="shared" si="53"/>
        <v>101</v>
      </c>
      <c r="I111" s="469">
        <f t="shared" ca="1" si="54"/>
        <v>18065</v>
      </c>
      <c r="J111" s="470" t="str">
        <f ca="1">IF(N(I111)&gt;0,VLOOKUP(I111,Hraci!$A$1:$I$1500,2,0),IF(TYPE(INDIRECT(ADDRESS(ROW() + $A$9-9 + (ROW()-11)*4,2,1,1,"Internet")))&gt;1,INDIRECT(ADDRESS(ROW() + $A$9-9 + (ROW()-11)*4,2,1,1,"Internet"))," "))</f>
        <v>Valošek</v>
      </c>
      <c r="K111" s="471" t="str">
        <f ca="1">IF(N(I111)&gt;0,VLOOKUP(I111,Hraci!$A$1:$I$1500,3,0)," ")</f>
        <v>Radim</v>
      </c>
      <c r="L111" s="471" t="str">
        <f ca="1">IF(N(I111)&gt;0,VLOOKUP(I111,Hraci!$A$1:$I$1500,5,0),IF(TYPE(INDIRECT(ADDRESS(ROW() + $A$9-9 + (ROW()-11)*4,3,1,1,"Internet")))&gt;1,INDIRECT(ADDRESS(ROW() + $A$9-9 + (ROW()-11)*4,3,1,1,"Internet"))," "))</f>
        <v>PK Polouvsí</v>
      </c>
      <c r="M111" s="472">
        <f ca="1">IF(N(I111)=0,9999,VLOOKUP(I111,Hraci!$A$1:$I$1500,8,0))</f>
        <v>168</v>
      </c>
      <c r="N111" s="473">
        <f ca="1">IF(N(I111)=0,0,VLOOKUP(I111,Hraci!$A$1:$I$1500,9,0))</f>
        <v>14.031000000000001</v>
      </c>
      <c r="O111" s="469" t="str">
        <f t="shared" ca="1" si="55"/>
        <v/>
      </c>
      <c r="P111" s="470" t="str">
        <f ca="1">IF(N(O111)&gt;0,VLOOKUP(O111,Hraci!$A$1:$I$1500,2,0),IF(TYPE(INDIRECT(ADDRESS(ROW() + $A$9-8 + (ROW()-11)*4,2,1,1,"Internet")))&gt;1,INDIRECT(ADDRESS(ROW() + $A$9-8 + (ROW()-11)*4,2,1,1,"Internet"))," "))</f>
        <v xml:space="preserve"> </v>
      </c>
      <c r="Q111" s="471" t="str">
        <f ca="1">IF(N(O111)&gt;0,VLOOKUP(O111,Hraci!$A$1:$I$1500,3,0)," ")</f>
        <v xml:space="preserve"> </v>
      </c>
      <c r="R111" s="471" t="str">
        <f ca="1">IF(N(O111)&gt;0,VLOOKUP(O111,Hraci!$A$1:$I$1500,5,0),IF(TYPE(INDIRECT(ADDRESS(ROW() + $A$9-8 + (ROW()-11)*4,3,1,1,"Internet")))&gt;1,INDIRECT(ADDRESS(ROW() + $A$9-8 + (ROW()-11)*4,3,1,1,"Internet"))," "))</f>
        <v xml:space="preserve"> </v>
      </c>
      <c r="S111" s="472">
        <f ca="1">IF(N(O111)=0,9999,VLOOKUP(O111,Hraci!$A$1:$I$1500,8,0))</f>
        <v>9999</v>
      </c>
      <c r="T111" s="473">
        <f ca="1">IF(N(O111)=0,0,VLOOKUP(O111,Hraci!$A$1:$I$1500,9,0))</f>
        <v>0</v>
      </c>
      <c r="U111" s="469" t="str">
        <f t="shared" ca="1" si="56"/>
        <v/>
      </c>
      <c r="V111" s="470" t="str">
        <f ca="1">IF(N(U111)&gt;0,VLOOKUP(U111,Hraci!$A$1:$I$1500,2,0),IF(TYPE(INDIRECT(ADDRESS(ROW() + $A$9-7 + (ROW()-11)*4,2,1,1,"Internet")))&gt;1,INDIRECT(ADDRESS(ROW() + $A$9-7 + (ROW()-11)*4,2,1,1,"Internet"))," "))</f>
        <v xml:space="preserve"> </v>
      </c>
      <c r="W111" s="471" t="str">
        <f ca="1">IF(N(U111)&gt;0,VLOOKUP(U111,Hraci!$A$1:$I$1500,3,0)," ")</f>
        <v xml:space="preserve"> </v>
      </c>
      <c r="X111" s="471" t="str">
        <f ca="1">IF(N(U111)&gt;0,VLOOKUP(U111,Hraci!$A$1:$I$1500,5,0),IF(TYPE(INDIRECT(ADDRESS(ROW() + $A$9-7 + (ROW()-11)*4,3,1,1,"Internet")))&gt;1,INDIRECT(ADDRESS(ROW() + $A$9-7 + (ROW()-11)*4,3,1,1,"Internet"))," "))</f>
        <v xml:space="preserve"> </v>
      </c>
      <c r="Y111" s="472">
        <f ca="1">IF(N(U111)=0,9999,VLOOKUP(U111,Hraci!$A$1:$I$1500,8,0))</f>
        <v>9999</v>
      </c>
      <c r="Z111" s="473">
        <f ca="1">IF(N(U111)=0,0,VLOOKUP(U111,Hraci!$A$1:$I$1500,9,0))</f>
        <v>0</v>
      </c>
      <c r="AA111" s="469" t="str">
        <f t="shared" ca="1" si="57"/>
        <v/>
      </c>
      <c r="AB111" s="470" t="str">
        <f ca="1">IF(N(AA111)&gt;0,VLOOKUP(AA111,Hraci!$A$1:$I$1500,2,0)," ")</f>
        <v xml:space="preserve"> </v>
      </c>
      <c r="AC111" s="471" t="str">
        <f ca="1">IF(N(AA111)&gt;0,VLOOKUP(AA111,Hraci!$A$1:$I$1500,3,0)," ")</f>
        <v xml:space="preserve"> </v>
      </c>
      <c r="AD111" s="471" t="str">
        <f ca="1">IF(N(AA111)&gt;0,VLOOKUP(AA111,Hraci!$A$1:$I$1500,5,0)," ")</f>
        <v xml:space="preserve"> </v>
      </c>
      <c r="AE111" s="472">
        <f ca="1">IF(N(AA111)=0,9999,VLOOKUP(AA111,Hraci!$A$1:$I$1500,8,0))</f>
        <v>9999</v>
      </c>
      <c r="AF111" s="473">
        <f ca="1">IF(N(AA111)=0,0,VLOOKUP(AA111,Hraci!$A$1:$I$1500,9,0))</f>
        <v>0</v>
      </c>
      <c r="AG111" s="474"/>
      <c r="AH111" s="480">
        <v>129</v>
      </c>
      <c r="AI111" s="475">
        <f ca="1">IF(N($AH111)&gt;0,VLOOKUP($AH111,Body!$A$4:$F$259,5,0),"")</f>
        <v>553.40650000000005</v>
      </c>
      <c r="AJ111" s="476">
        <f ca="1">IF(N($AH111)&gt;0,VLOOKUP($AH111,Body!$A$4:$F$259,6,0),"")</f>
        <v>200</v>
      </c>
      <c r="AK111" s="475">
        <f ca="1">IF(N($AH111)&gt;0,VLOOKUP($AH111,Body!$A$4:$F$259,2,0),"")</f>
        <v>8</v>
      </c>
      <c r="AL111" s="477" t="str">
        <f t="shared" ca="1" si="58"/>
        <v>101 PK Polouvsí - Valošek Radim</v>
      </c>
      <c r="AM111" s="478">
        <f t="shared" ca="1" si="59"/>
        <v>14.031000000000001</v>
      </c>
      <c r="AN111" s="408">
        <f ca="1">IF(OR(TYPE(I111)&gt;1,TYPE(MATCH(I111,I112:I$267,0))&gt;1),0,MATCH(I111,I112:I$267,0))+IF(OR(TYPE(I111)&gt;1,TYPE(MATCH(I111,O$11:O$267,0))&gt;1),0,MATCH(I111,O$11:O$267,0))+IF(OR(TYPE(I111)&gt;1,TYPE(MATCH(I111,U$11:U$267,0))&gt;1),0,MATCH(I111,U$11:U$267,0))+IF(OR(TYPE(I111)&gt;1,TYPE(MATCH(I111,AA$11:AA$267,0))&gt;1),0,MATCH(I111,AA$11:AA$267,0))</f>
        <v>0</v>
      </c>
      <c r="AO111" s="408">
        <f ca="1">IF(OR(TYPE(O111)&gt;1,TYPE(MATCH(O111,I$11:I$267,0))&gt;1),0,MATCH(O111,I$11:I$267,0))+IF(OR(TYPE(O111)&gt;1,TYPE(MATCH(O111,O112:O$267,0))&gt;1),0,MATCH(O111,O112:O$267,0))+IF(OR(TYPE(O111)&gt;1,TYPE(MATCH(O111,U$11:U$267,0))&gt;1),0,MATCH(O111,U$11:U$267,0))+IF(OR(TYPE(O111)&gt;1,TYPE(MATCH(O111,AA$11:AA$267,0))&gt;1),0,MATCH(O111,AA$11:AA$267,0))</f>
        <v>0</v>
      </c>
      <c r="AP111" s="408">
        <f ca="1">IF(OR(TYPE(U111)&gt;1,TYPE(MATCH(U111,I$11:I$267,0))&gt;1),0,MATCH(U111,I$11:I$267,0))+IF(OR(TYPE(U111)&gt;1,TYPE(MATCH(U111,O$11:O$267,0))&gt;1),0,MATCH(U111,O$11:O$267,0))+IF(OR(TYPE(U111)&gt;1,TYPE(MATCH(U111,U112:U$267,0))&gt;1),0,MATCH(U111,U112:U$267,0))+IF(OR(TYPE(U111)&gt;1,TYPE(MATCH(U111,AA$11:AA$267,0))&gt;1),0,MATCH(U111,AA$11:AA$267,0))</f>
        <v>0</v>
      </c>
      <c r="AQ111" s="408">
        <f ca="1">IF(OR(TYPE(AA111)&gt;1,TYPE(MATCH(AA111,I$11:I$267,0))&gt;1),0,MATCH(AA111,I$11:I$267,0))+IF(OR(TYPE(AA111)&gt;1,TYPE(MATCH(AA111,O$11:O$267,0))&gt;1),0,MATCH(AA111,O$11:O$267,0))+IF(OR(TYPE(AA111)&gt;1,TYPE(MATCH(AA111,U$11:U$267,0))&gt;1),0,MATCH(U111,U$11:U$267,0))+IF(OR(TYPE(AA111)&gt;1,TYPE(MATCH(AA111,AA112:AA$267,0))&gt;1),0,MATCH(AA111,AA112:AA$267,0))</f>
        <v>0</v>
      </c>
      <c r="AR111" s="408">
        <f t="shared" ca="1" si="44"/>
        <v>0</v>
      </c>
      <c r="BF111" s="408">
        <f t="shared" si="45"/>
        <v>101</v>
      </c>
    </row>
    <row r="112" spans="1:58" ht="14.25">
      <c r="A112" s="430">
        <f t="shared" ca="1" si="46"/>
        <v>1</v>
      </c>
      <c r="B112" s="430">
        <f t="shared" ca="1" si="47"/>
        <v>1</v>
      </c>
      <c r="C112" s="430">
        <f t="shared" ca="1" si="48"/>
        <v>13.97</v>
      </c>
      <c r="D112" s="430">
        <f t="shared" ca="1" si="49"/>
        <v>20171</v>
      </c>
      <c r="E112" s="430">
        <f t="shared" ca="1" si="50"/>
        <v>173</v>
      </c>
      <c r="F112" s="431" t="str">
        <f t="shared" ca="1" si="51"/>
        <v>01000000000000000000941794</v>
      </c>
      <c r="G112" s="467" t="b">
        <f t="shared" ca="1" si="52"/>
        <v>0</v>
      </c>
      <c r="H112" s="468">
        <f t="shared" si="53"/>
        <v>102</v>
      </c>
      <c r="I112" s="469">
        <f t="shared" ca="1" si="54"/>
        <v>10159</v>
      </c>
      <c r="J112" s="470" t="str">
        <f ca="1">IF(N(I112)&gt;0,VLOOKUP(I112,Hraci!$A$1:$I$1500,2,0),IF(TYPE(INDIRECT(ADDRESS(ROW() + $A$9-9 + (ROW()-11)*4,2,1,1,"Internet")))&gt;1,INDIRECT(ADDRESS(ROW() + $A$9-9 + (ROW()-11)*4,2,1,1,"Internet"))," "))</f>
        <v>Vaníček</v>
      </c>
      <c r="K112" s="471" t="str">
        <f ca="1">IF(N(I112)&gt;0,VLOOKUP(I112,Hraci!$A$1:$I$1500,3,0)," ")</f>
        <v>Rudolf</v>
      </c>
      <c r="L112" s="471" t="str">
        <f ca="1">IF(N(I112)&gt;0,VLOOKUP(I112,Hraci!$A$1:$I$1500,5,0),IF(TYPE(INDIRECT(ADDRESS(ROW() + $A$9-9 + (ROW()-11)*4,3,1,1,"Internet")))&gt;1,INDIRECT(ADDRESS(ROW() + $A$9-9 + (ROW()-11)*4,3,1,1,"Internet"))," "))</f>
        <v>Sokol Kostomlaty</v>
      </c>
      <c r="M112" s="472">
        <f ca="1">IF(N(I112)=0,9999,VLOOKUP(I112,Hraci!$A$1:$I$1500,8,0))</f>
        <v>173</v>
      </c>
      <c r="N112" s="473">
        <f ca="1">IF(N(I112)=0,0,VLOOKUP(I112,Hraci!$A$1:$I$1500,9,0))</f>
        <v>13.97</v>
      </c>
      <c r="O112" s="469" t="str">
        <f t="shared" ca="1" si="55"/>
        <v/>
      </c>
      <c r="P112" s="470" t="str">
        <f ca="1">IF(N(O112)&gt;0,VLOOKUP(O112,Hraci!$A$1:$I$1500,2,0),IF(TYPE(INDIRECT(ADDRESS(ROW() + $A$9-8 + (ROW()-11)*4,2,1,1,"Internet")))&gt;1,INDIRECT(ADDRESS(ROW() + $A$9-8 + (ROW()-11)*4,2,1,1,"Internet"))," "))</f>
        <v xml:space="preserve"> </v>
      </c>
      <c r="Q112" s="471" t="str">
        <f ca="1">IF(N(O112)&gt;0,VLOOKUP(O112,Hraci!$A$1:$I$1500,3,0)," ")</f>
        <v xml:space="preserve"> </v>
      </c>
      <c r="R112" s="471" t="str">
        <f ca="1">IF(N(O112)&gt;0,VLOOKUP(O112,Hraci!$A$1:$I$1500,5,0),IF(TYPE(INDIRECT(ADDRESS(ROW() + $A$9-8 + (ROW()-11)*4,3,1,1,"Internet")))&gt;1,INDIRECT(ADDRESS(ROW() + $A$9-8 + (ROW()-11)*4,3,1,1,"Internet"))," "))</f>
        <v xml:space="preserve"> </v>
      </c>
      <c r="S112" s="472">
        <f ca="1">IF(N(O112)=0,9999,VLOOKUP(O112,Hraci!$A$1:$I$1500,8,0))</f>
        <v>9999</v>
      </c>
      <c r="T112" s="473">
        <f ca="1">IF(N(O112)=0,0,VLOOKUP(O112,Hraci!$A$1:$I$1500,9,0))</f>
        <v>0</v>
      </c>
      <c r="U112" s="469" t="str">
        <f t="shared" ca="1" si="56"/>
        <v/>
      </c>
      <c r="V112" s="470" t="str">
        <f ca="1">IF(N(U112)&gt;0,VLOOKUP(U112,Hraci!$A$1:$I$1500,2,0),IF(TYPE(INDIRECT(ADDRESS(ROW() + $A$9-7 + (ROW()-11)*4,2,1,1,"Internet")))&gt;1,INDIRECT(ADDRESS(ROW() + $A$9-7 + (ROW()-11)*4,2,1,1,"Internet"))," "))</f>
        <v xml:space="preserve"> </v>
      </c>
      <c r="W112" s="471" t="str">
        <f ca="1">IF(N(U112)&gt;0,VLOOKUP(U112,Hraci!$A$1:$I$1500,3,0)," ")</f>
        <v xml:space="preserve"> </v>
      </c>
      <c r="X112" s="471" t="str">
        <f ca="1">IF(N(U112)&gt;0,VLOOKUP(U112,Hraci!$A$1:$I$1500,5,0),IF(TYPE(INDIRECT(ADDRESS(ROW() + $A$9-7 + (ROW()-11)*4,3,1,1,"Internet")))&gt;1,INDIRECT(ADDRESS(ROW() + $A$9-7 + (ROW()-11)*4,3,1,1,"Internet"))," "))</f>
        <v xml:space="preserve"> </v>
      </c>
      <c r="Y112" s="472">
        <f ca="1">IF(N(U112)=0,9999,VLOOKUP(U112,Hraci!$A$1:$I$1500,8,0))</f>
        <v>9999</v>
      </c>
      <c r="Z112" s="473">
        <f ca="1">IF(N(U112)=0,0,VLOOKUP(U112,Hraci!$A$1:$I$1500,9,0))</f>
        <v>0</v>
      </c>
      <c r="AA112" s="469" t="str">
        <f t="shared" ca="1" si="57"/>
        <v/>
      </c>
      <c r="AB112" s="470" t="str">
        <f ca="1">IF(N(AA112)&gt;0,VLOOKUP(AA112,Hraci!$A$1:$I$1500,2,0)," ")</f>
        <v xml:space="preserve"> </v>
      </c>
      <c r="AC112" s="471" t="str">
        <f ca="1">IF(N(AA112)&gt;0,VLOOKUP(AA112,Hraci!$A$1:$I$1500,3,0)," ")</f>
        <v xml:space="preserve"> </v>
      </c>
      <c r="AD112" s="471" t="str">
        <f ca="1">IF(N(AA112)&gt;0,VLOOKUP(AA112,Hraci!$A$1:$I$1500,5,0)," ")</f>
        <v xml:space="preserve"> </v>
      </c>
      <c r="AE112" s="472">
        <f ca="1">IF(N(AA112)=0,9999,VLOOKUP(AA112,Hraci!$A$1:$I$1500,8,0))</f>
        <v>9999</v>
      </c>
      <c r="AF112" s="473">
        <f ca="1">IF(N(AA112)=0,0,VLOOKUP(AA112,Hraci!$A$1:$I$1500,9,0))</f>
        <v>0</v>
      </c>
      <c r="AG112" s="474"/>
      <c r="AH112" s="480">
        <v>86</v>
      </c>
      <c r="AI112" s="475">
        <f ca="1">IF(N($AH112)&gt;0,VLOOKUP($AH112,Body!$A$4:$F$259,5,0),"")</f>
        <v>553.40650000000005</v>
      </c>
      <c r="AJ112" s="476">
        <f ca="1">IF(N($AH112)&gt;0,VLOOKUP($AH112,Body!$A$4:$F$259,6,0),"")</f>
        <v>200</v>
      </c>
      <c r="AK112" s="475">
        <f ca="1">IF(N($AH112)&gt;0,VLOOKUP($AH112,Body!$A$4:$F$259,2,0),"")</f>
        <v>8</v>
      </c>
      <c r="AL112" s="477" t="str">
        <f t="shared" ca="1" si="58"/>
        <v>102 Sokol Kostomlaty - Vaníček Rudolf</v>
      </c>
      <c r="AM112" s="478">
        <f t="shared" ca="1" si="59"/>
        <v>13.97</v>
      </c>
      <c r="AN112" s="408">
        <f ca="1">IF(OR(TYPE(I112)&gt;1,TYPE(MATCH(I112,I113:I$267,0))&gt;1),0,MATCH(I112,I113:I$267,0))+IF(OR(TYPE(I112)&gt;1,TYPE(MATCH(I112,O$11:O$267,0))&gt;1),0,MATCH(I112,O$11:O$267,0))+IF(OR(TYPE(I112)&gt;1,TYPE(MATCH(I112,U$11:U$267,0))&gt;1),0,MATCH(I112,U$11:U$267,0))+IF(OR(TYPE(I112)&gt;1,TYPE(MATCH(I112,AA$11:AA$267,0))&gt;1),0,MATCH(I112,AA$11:AA$267,0))</f>
        <v>0</v>
      </c>
      <c r="AO112" s="408">
        <f ca="1">IF(OR(TYPE(O112)&gt;1,TYPE(MATCH(O112,I$11:I$267,0))&gt;1),0,MATCH(O112,I$11:I$267,0))+IF(OR(TYPE(O112)&gt;1,TYPE(MATCH(O112,O113:O$267,0))&gt;1),0,MATCH(O112,O113:O$267,0))+IF(OR(TYPE(O112)&gt;1,TYPE(MATCH(O112,U$11:U$267,0))&gt;1),0,MATCH(O112,U$11:U$267,0))+IF(OR(TYPE(O112)&gt;1,TYPE(MATCH(O112,AA$11:AA$267,0))&gt;1),0,MATCH(O112,AA$11:AA$267,0))</f>
        <v>0</v>
      </c>
      <c r="AP112" s="408">
        <f ca="1">IF(OR(TYPE(U112)&gt;1,TYPE(MATCH(U112,I$11:I$267,0))&gt;1),0,MATCH(U112,I$11:I$267,0))+IF(OR(TYPE(U112)&gt;1,TYPE(MATCH(U112,O$11:O$267,0))&gt;1),0,MATCH(U112,O$11:O$267,0))+IF(OR(TYPE(U112)&gt;1,TYPE(MATCH(U112,U113:U$267,0))&gt;1),0,MATCH(U112,U113:U$267,0))+IF(OR(TYPE(U112)&gt;1,TYPE(MATCH(U112,AA$11:AA$267,0))&gt;1),0,MATCH(U112,AA$11:AA$267,0))</f>
        <v>0</v>
      </c>
      <c r="AQ112" s="408">
        <f ca="1">IF(OR(TYPE(AA112)&gt;1,TYPE(MATCH(AA112,I$11:I$267,0))&gt;1),0,MATCH(AA112,I$11:I$267,0))+IF(OR(TYPE(AA112)&gt;1,TYPE(MATCH(AA112,O$11:O$267,0))&gt;1),0,MATCH(AA112,O$11:O$267,0))+IF(OR(TYPE(AA112)&gt;1,TYPE(MATCH(AA112,U$11:U$267,0))&gt;1),0,MATCH(U112,U$11:U$267,0))+IF(OR(TYPE(AA112)&gt;1,TYPE(MATCH(AA112,AA113:AA$267,0))&gt;1),0,MATCH(AA112,AA113:AA$267,0))</f>
        <v>0</v>
      </c>
      <c r="AR112" s="408">
        <f t="shared" ca="1" si="44"/>
        <v>0</v>
      </c>
      <c r="BF112" s="408">
        <f t="shared" si="45"/>
        <v>102</v>
      </c>
    </row>
    <row r="113" spans="1:58" ht="14.25">
      <c r="A113" s="430">
        <f t="shared" ca="1" si="46"/>
        <v>1</v>
      </c>
      <c r="B113" s="430">
        <f t="shared" ca="1" si="47"/>
        <v>1</v>
      </c>
      <c r="C113" s="430">
        <f t="shared" ca="1" si="48"/>
        <v>13.064</v>
      </c>
      <c r="D113" s="430">
        <f t="shared" ca="1" si="49"/>
        <v>20248</v>
      </c>
      <c r="E113" s="430">
        <f t="shared" ca="1" si="50"/>
        <v>250</v>
      </c>
      <c r="F113" s="431" t="str">
        <f t="shared" ca="1" si="51"/>
        <v>01000000000000000000001012</v>
      </c>
      <c r="G113" s="467" t="b">
        <f t="shared" ca="1" si="52"/>
        <v>0</v>
      </c>
      <c r="H113" s="468">
        <f t="shared" si="53"/>
        <v>103</v>
      </c>
      <c r="I113" s="469">
        <f t="shared" ca="1" si="54"/>
        <v>18064</v>
      </c>
      <c r="J113" s="470" t="str">
        <f ca="1">IF(N(I113)&gt;0,VLOOKUP(I113,Hraci!$A$1:$I$1500,2,0),IF(TYPE(INDIRECT(ADDRESS(ROW() + $A$9-9 + (ROW()-11)*4,2,1,1,"Internet")))&gt;1,INDIRECT(ADDRESS(ROW() + $A$9-9 + (ROW()-11)*4,2,1,1,"Internet"))," "))</f>
        <v>Rusek</v>
      </c>
      <c r="K113" s="471" t="str">
        <f ca="1">IF(N(I113)&gt;0,VLOOKUP(I113,Hraci!$A$1:$I$1500,3,0)," ")</f>
        <v>Luboš</v>
      </c>
      <c r="L113" s="471" t="str">
        <f ca="1">IF(N(I113)&gt;0,VLOOKUP(I113,Hraci!$A$1:$I$1500,5,0),IF(TYPE(INDIRECT(ADDRESS(ROW() + $A$9-9 + (ROW()-11)*4,3,1,1,"Internet")))&gt;1,INDIRECT(ADDRESS(ROW() + $A$9-9 + (ROW()-11)*4,3,1,1,"Internet"))," "))</f>
        <v>PK Polouvsí</v>
      </c>
      <c r="M113" s="472">
        <f ca="1">IF(N(I113)=0,9999,VLOOKUP(I113,Hraci!$A$1:$I$1500,8,0))</f>
        <v>250</v>
      </c>
      <c r="N113" s="473">
        <f ca="1">IF(N(I113)=0,0,VLOOKUP(I113,Hraci!$A$1:$I$1500,9,0))</f>
        <v>13.064</v>
      </c>
      <c r="O113" s="469" t="str">
        <f t="shared" ca="1" si="55"/>
        <v/>
      </c>
      <c r="P113" s="470" t="str">
        <f ca="1">IF(N(O113)&gt;0,VLOOKUP(O113,Hraci!$A$1:$I$1500,2,0),IF(TYPE(INDIRECT(ADDRESS(ROW() + $A$9-8 + (ROW()-11)*4,2,1,1,"Internet")))&gt;1,INDIRECT(ADDRESS(ROW() + $A$9-8 + (ROW()-11)*4,2,1,1,"Internet"))," "))</f>
        <v xml:space="preserve"> </v>
      </c>
      <c r="Q113" s="471" t="str">
        <f ca="1">IF(N(O113)&gt;0,VLOOKUP(O113,Hraci!$A$1:$I$1500,3,0)," ")</f>
        <v xml:space="preserve"> </v>
      </c>
      <c r="R113" s="471" t="str">
        <f ca="1">IF(N(O113)&gt;0,VLOOKUP(O113,Hraci!$A$1:$I$1500,5,0),IF(TYPE(INDIRECT(ADDRESS(ROW() + $A$9-8 + (ROW()-11)*4,3,1,1,"Internet")))&gt;1,INDIRECT(ADDRESS(ROW() + $A$9-8 + (ROW()-11)*4,3,1,1,"Internet"))," "))</f>
        <v xml:space="preserve"> </v>
      </c>
      <c r="S113" s="472">
        <f ca="1">IF(N(O113)=0,9999,VLOOKUP(O113,Hraci!$A$1:$I$1500,8,0))</f>
        <v>9999</v>
      </c>
      <c r="T113" s="473">
        <f ca="1">IF(N(O113)=0,0,VLOOKUP(O113,Hraci!$A$1:$I$1500,9,0))</f>
        <v>0</v>
      </c>
      <c r="U113" s="469" t="str">
        <f t="shared" ca="1" si="56"/>
        <v/>
      </c>
      <c r="V113" s="470" t="str">
        <f ca="1">IF(N(U113)&gt;0,VLOOKUP(U113,Hraci!$A$1:$I$1500,2,0),IF(TYPE(INDIRECT(ADDRESS(ROW() + $A$9-7 + (ROW()-11)*4,2,1,1,"Internet")))&gt;1,INDIRECT(ADDRESS(ROW() + $A$9-7 + (ROW()-11)*4,2,1,1,"Internet"))," "))</f>
        <v xml:space="preserve"> </v>
      </c>
      <c r="W113" s="471" t="str">
        <f ca="1">IF(N(U113)&gt;0,VLOOKUP(U113,Hraci!$A$1:$I$1500,3,0)," ")</f>
        <v xml:space="preserve"> </v>
      </c>
      <c r="X113" s="471" t="str">
        <f ca="1">IF(N(U113)&gt;0,VLOOKUP(U113,Hraci!$A$1:$I$1500,5,0),IF(TYPE(INDIRECT(ADDRESS(ROW() + $A$9-7 + (ROW()-11)*4,3,1,1,"Internet")))&gt;1,INDIRECT(ADDRESS(ROW() + $A$9-7 + (ROW()-11)*4,3,1,1,"Internet"))," "))</f>
        <v xml:space="preserve"> </v>
      </c>
      <c r="Y113" s="472">
        <f ca="1">IF(N(U113)=0,9999,VLOOKUP(U113,Hraci!$A$1:$I$1500,8,0))</f>
        <v>9999</v>
      </c>
      <c r="Z113" s="473">
        <f ca="1">IF(N(U113)=0,0,VLOOKUP(U113,Hraci!$A$1:$I$1500,9,0))</f>
        <v>0</v>
      </c>
      <c r="AA113" s="469" t="str">
        <f t="shared" ca="1" si="57"/>
        <v/>
      </c>
      <c r="AB113" s="470" t="str">
        <f ca="1">IF(N(AA113)&gt;0,VLOOKUP(AA113,Hraci!$A$1:$I$1500,2,0)," ")</f>
        <v xml:space="preserve"> </v>
      </c>
      <c r="AC113" s="471" t="str">
        <f ca="1">IF(N(AA113)&gt;0,VLOOKUP(AA113,Hraci!$A$1:$I$1500,3,0)," ")</f>
        <v xml:space="preserve"> </v>
      </c>
      <c r="AD113" s="471" t="str">
        <f ca="1">IF(N(AA113)&gt;0,VLOOKUP(AA113,Hraci!$A$1:$I$1500,5,0)," ")</f>
        <v xml:space="preserve"> </v>
      </c>
      <c r="AE113" s="472">
        <f ca="1">IF(N(AA113)=0,9999,VLOOKUP(AA113,Hraci!$A$1:$I$1500,8,0))</f>
        <v>9999</v>
      </c>
      <c r="AF113" s="473">
        <f ca="1">IF(N(AA113)=0,0,VLOOKUP(AA113,Hraci!$A$1:$I$1500,9,0))</f>
        <v>0</v>
      </c>
      <c r="AG113" s="474"/>
      <c r="AH113" s="480">
        <v>129</v>
      </c>
      <c r="AI113" s="475">
        <f ca="1">IF(N($AH113)&gt;0,VLOOKUP($AH113,Body!$A$4:$F$259,5,0),"")</f>
        <v>553.40650000000005</v>
      </c>
      <c r="AJ113" s="476">
        <f ca="1">IF(N($AH113)&gt;0,VLOOKUP($AH113,Body!$A$4:$F$259,6,0),"")</f>
        <v>200</v>
      </c>
      <c r="AK113" s="475">
        <f ca="1">IF(N($AH113)&gt;0,VLOOKUP($AH113,Body!$A$4:$F$259,2,0),"")</f>
        <v>8</v>
      </c>
      <c r="AL113" s="477" t="str">
        <f t="shared" ca="1" si="58"/>
        <v>103 PK Polouvsí - Rusek Luboš</v>
      </c>
      <c r="AM113" s="478">
        <f t="shared" ca="1" si="59"/>
        <v>13.064</v>
      </c>
      <c r="AN113" s="408">
        <f ca="1">IF(OR(TYPE(I113)&gt;1,TYPE(MATCH(I113,I114:I$267,0))&gt;1),0,MATCH(I113,I114:I$267,0))+IF(OR(TYPE(I113)&gt;1,TYPE(MATCH(I113,O$11:O$267,0))&gt;1),0,MATCH(I113,O$11:O$267,0))+IF(OR(TYPE(I113)&gt;1,TYPE(MATCH(I113,U$11:U$267,0))&gt;1),0,MATCH(I113,U$11:U$267,0))+IF(OR(TYPE(I113)&gt;1,TYPE(MATCH(I113,AA$11:AA$267,0))&gt;1),0,MATCH(I113,AA$11:AA$267,0))</f>
        <v>0</v>
      </c>
      <c r="AO113" s="408">
        <f ca="1">IF(OR(TYPE(O113)&gt;1,TYPE(MATCH(O113,I$11:I$267,0))&gt;1),0,MATCH(O113,I$11:I$267,0))+IF(OR(TYPE(O113)&gt;1,TYPE(MATCH(O113,O114:O$267,0))&gt;1),0,MATCH(O113,O114:O$267,0))+IF(OR(TYPE(O113)&gt;1,TYPE(MATCH(O113,U$11:U$267,0))&gt;1),0,MATCH(O113,U$11:U$267,0))+IF(OR(TYPE(O113)&gt;1,TYPE(MATCH(O113,AA$11:AA$267,0))&gt;1),0,MATCH(O113,AA$11:AA$267,0))</f>
        <v>0</v>
      </c>
      <c r="AP113" s="408">
        <f ca="1">IF(OR(TYPE(U113)&gt;1,TYPE(MATCH(U113,I$11:I$267,0))&gt;1),0,MATCH(U113,I$11:I$267,0))+IF(OR(TYPE(U113)&gt;1,TYPE(MATCH(U113,O$11:O$267,0))&gt;1),0,MATCH(U113,O$11:O$267,0))+IF(OR(TYPE(U113)&gt;1,TYPE(MATCH(U113,U114:U$267,0))&gt;1),0,MATCH(U113,U114:U$267,0))+IF(OR(TYPE(U113)&gt;1,TYPE(MATCH(U113,AA$11:AA$267,0))&gt;1),0,MATCH(U113,AA$11:AA$267,0))</f>
        <v>0</v>
      </c>
      <c r="AQ113" s="408">
        <f ca="1">IF(OR(TYPE(AA113)&gt;1,TYPE(MATCH(AA113,I$11:I$267,0))&gt;1),0,MATCH(AA113,I$11:I$267,0))+IF(OR(TYPE(AA113)&gt;1,TYPE(MATCH(AA113,O$11:O$267,0))&gt;1),0,MATCH(AA113,O$11:O$267,0))+IF(OR(TYPE(AA113)&gt;1,TYPE(MATCH(AA113,U$11:U$267,0))&gt;1),0,MATCH(U113,U$11:U$267,0))+IF(OR(TYPE(AA113)&gt;1,TYPE(MATCH(AA113,AA114:AA$267,0))&gt;1),0,MATCH(AA113,AA114:AA$267,0))</f>
        <v>0</v>
      </c>
      <c r="AR113" s="408">
        <f t="shared" ca="1" si="44"/>
        <v>0</v>
      </c>
      <c r="BF113" s="408">
        <f t="shared" si="45"/>
        <v>103</v>
      </c>
    </row>
    <row r="114" spans="1:58" ht="14.25">
      <c r="A114" s="430">
        <f t="shared" ca="1" si="46"/>
        <v>1</v>
      </c>
      <c r="B114" s="430">
        <f t="shared" ca="1" si="47"/>
        <v>1</v>
      </c>
      <c r="C114" s="430">
        <f t="shared" ca="1" si="48"/>
        <v>13.000999999999999</v>
      </c>
      <c r="D114" s="430">
        <f t="shared" ca="1" si="49"/>
        <v>20240</v>
      </c>
      <c r="E114" s="430">
        <f t="shared" ca="1" si="50"/>
        <v>242</v>
      </c>
      <c r="F114" s="431" t="str">
        <f t="shared" ca="1" si="51"/>
        <v>01000000000000000000067355</v>
      </c>
      <c r="G114" s="467" t="b">
        <f t="shared" ca="1" si="52"/>
        <v>0</v>
      </c>
      <c r="H114" s="468">
        <f t="shared" si="53"/>
        <v>104</v>
      </c>
      <c r="I114" s="469">
        <f t="shared" ca="1" si="54"/>
        <v>18066</v>
      </c>
      <c r="J114" s="470" t="str">
        <f ca="1">IF(N(I114)&gt;0,VLOOKUP(I114,Hraci!$A$1:$I$1500,2,0),IF(TYPE(INDIRECT(ADDRESS(ROW() + $A$9-9 + (ROW()-11)*4,2,1,1,"Internet")))&gt;1,INDIRECT(ADDRESS(ROW() + $A$9-9 + (ROW()-11)*4,2,1,1,"Internet"))," "))</f>
        <v>Ondryhal</v>
      </c>
      <c r="K114" s="471" t="str">
        <f ca="1">IF(N(I114)&gt;0,VLOOKUP(I114,Hraci!$A$1:$I$1500,3,0)," ")</f>
        <v>Josef</v>
      </c>
      <c r="L114" s="471" t="str">
        <f ca="1">IF(N(I114)&gt;0,VLOOKUP(I114,Hraci!$A$1:$I$1500,5,0),IF(TYPE(INDIRECT(ADDRESS(ROW() + $A$9-9 + (ROW()-11)*4,3,1,1,"Internet")))&gt;1,INDIRECT(ADDRESS(ROW() + $A$9-9 + (ROW()-11)*4,3,1,1,"Internet"))," "))</f>
        <v>PK Polouvsí</v>
      </c>
      <c r="M114" s="472">
        <f ca="1">IF(N(I114)=0,9999,VLOOKUP(I114,Hraci!$A$1:$I$1500,8,0))</f>
        <v>242</v>
      </c>
      <c r="N114" s="473">
        <f ca="1">IF(N(I114)=0,0,VLOOKUP(I114,Hraci!$A$1:$I$1500,9,0))</f>
        <v>13.000999999999999</v>
      </c>
      <c r="O114" s="469" t="str">
        <f t="shared" ca="1" si="55"/>
        <v/>
      </c>
      <c r="P114" s="470" t="str">
        <f ca="1">IF(N(O114)&gt;0,VLOOKUP(O114,Hraci!$A$1:$I$1500,2,0),IF(TYPE(INDIRECT(ADDRESS(ROW() + $A$9-8 + (ROW()-11)*4,2,1,1,"Internet")))&gt;1,INDIRECT(ADDRESS(ROW() + $A$9-8 + (ROW()-11)*4,2,1,1,"Internet"))," "))</f>
        <v xml:space="preserve"> </v>
      </c>
      <c r="Q114" s="471" t="str">
        <f ca="1">IF(N(O114)&gt;0,VLOOKUP(O114,Hraci!$A$1:$I$1500,3,0)," ")</f>
        <v xml:space="preserve"> </v>
      </c>
      <c r="R114" s="471" t="str">
        <f ca="1">IF(N(O114)&gt;0,VLOOKUP(O114,Hraci!$A$1:$I$1500,5,0),IF(TYPE(INDIRECT(ADDRESS(ROW() + $A$9-8 + (ROW()-11)*4,3,1,1,"Internet")))&gt;1,INDIRECT(ADDRESS(ROW() + $A$9-8 + (ROW()-11)*4,3,1,1,"Internet"))," "))</f>
        <v xml:space="preserve"> </v>
      </c>
      <c r="S114" s="472">
        <f ca="1">IF(N(O114)=0,9999,VLOOKUP(O114,Hraci!$A$1:$I$1500,8,0))</f>
        <v>9999</v>
      </c>
      <c r="T114" s="473">
        <f ca="1">IF(N(O114)=0,0,VLOOKUP(O114,Hraci!$A$1:$I$1500,9,0))</f>
        <v>0</v>
      </c>
      <c r="U114" s="469" t="str">
        <f t="shared" ca="1" si="56"/>
        <v/>
      </c>
      <c r="V114" s="470" t="str">
        <f ca="1">IF(N(U114)&gt;0,VLOOKUP(U114,Hraci!$A$1:$I$1500,2,0),IF(TYPE(INDIRECT(ADDRESS(ROW() + $A$9-7 + (ROW()-11)*4,2,1,1,"Internet")))&gt;1,INDIRECT(ADDRESS(ROW() + $A$9-7 + (ROW()-11)*4,2,1,1,"Internet"))," "))</f>
        <v xml:space="preserve"> </v>
      </c>
      <c r="W114" s="471" t="str">
        <f ca="1">IF(N(U114)&gt;0,VLOOKUP(U114,Hraci!$A$1:$I$1500,3,0)," ")</f>
        <v xml:space="preserve"> </v>
      </c>
      <c r="X114" s="471" t="str">
        <f ca="1">IF(N(U114)&gt;0,VLOOKUP(U114,Hraci!$A$1:$I$1500,5,0),IF(TYPE(INDIRECT(ADDRESS(ROW() + $A$9-7 + (ROW()-11)*4,3,1,1,"Internet")))&gt;1,INDIRECT(ADDRESS(ROW() + $A$9-7 + (ROW()-11)*4,3,1,1,"Internet"))," "))</f>
        <v xml:space="preserve"> </v>
      </c>
      <c r="Y114" s="472">
        <f ca="1">IF(N(U114)=0,9999,VLOOKUP(U114,Hraci!$A$1:$I$1500,8,0))</f>
        <v>9999</v>
      </c>
      <c r="Z114" s="473">
        <f ca="1">IF(N(U114)=0,0,VLOOKUP(U114,Hraci!$A$1:$I$1500,9,0))</f>
        <v>0</v>
      </c>
      <c r="AA114" s="469" t="str">
        <f t="shared" ca="1" si="57"/>
        <v/>
      </c>
      <c r="AB114" s="470" t="str">
        <f ca="1">IF(N(AA114)&gt;0,VLOOKUP(AA114,Hraci!$A$1:$I$1500,2,0)," ")</f>
        <v xml:space="preserve"> </v>
      </c>
      <c r="AC114" s="471" t="str">
        <f ca="1">IF(N(AA114)&gt;0,VLOOKUP(AA114,Hraci!$A$1:$I$1500,3,0)," ")</f>
        <v xml:space="preserve"> </v>
      </c>
      <c r="AD114" s="471" t="str">
        <f ca="1">IF(N(AA114)&gt;0,VLOOKUP(AA114,Hraci!$A$1:$I$1500,5,0)," ")</f>
        <v xml:space="preserve"> </v>
      </c>
      <c r="AE114" s="472">
        <f ca="1">IF(N(AA114)=0,9999,VLOOKUP(AA114,Hraci!$A$1:$I$1500,8,0))</f>
        <v>9999</v>
      </c>
      <c r="AF114" s="473">
        <f ca="1">IF(N(AA114)=0,0,VLOOKUP(AA114,Hraci!$A$1:$I$1500,9,0))</f>
        <v>0</v>
      </c>
      <c r="AG114" s="474"/>
      <c r="AH114" s="480">
        <v>12</v>
      </c>
      <c r="AI114" s="475">
        <f ca="1">IF(N($AH114)&gt;0,VLOOKUP($AH114,Body!$A$4:$F$259,5,0),"")</f>
        <v>398.79115624999997</v>
      </c>
      <c r="AJ114" s="476">
        <f ca="1">IF(N($AH114)&gt;0,VLOOKUP($AH114,Body!$A$4:$F$259,6,0),"")</f>
        <v>200</v>
      </c>
      <c r="AK114" s="475">
        <f ca="1">IF(N($AH114)&gt;0,VLOOKUP($AH114,Body!$A$4:$F$259,2,0),"")</f>
        <v>4.5</v>
      </c>
      <c r="AL114" s="477" t="str">
        <f t="shared" ca="1" si="58"/>
        <v>104 PK Polouvsí - Ondryhal Josef</v>
      </c>
      <c r="AM114" s="478">
        <f t="shared" ca="1" si="59"/>
        <v>13.000999999999999</v>
      </c>
      <c r="AN114" s="408">
        <f ca="1">IF(OR(TYPE(I114)&gt;1,TYPE(MATCH(I114,I115:I$267,0))&gt;1),0,MATCH(I114,I115:I$267,0))+IF(OR(TYPE(I114)&gt;1,TYPE(MATCH(I114,O$11:O$267,0))&gt;1),0,MATCH(I114,O$11:O$267,0))+IF(OR(TYPE(I114)&gt;1,TYPE(MATCH(I114,U$11:U$267,0))&gt;1),0,MATCH(I114,U$11:U$267,0))+IF(OR(TYPE(I114)&gt;1,TYPE(MATCH(I114,AA$11:AA$267,0))&gt;1),0,MATCH(I114,AA$11:AA$267,0))</f>
        <v>0</v>
      </c>
      <c r="AO114" s="408">
        <f ca="1">IF(OR(TYPE(O114)&gt;1,TYPE(MATCH(O114,I$11:I$267,0))&gt;1),0,MATCH(O114,I$11:I$267,0))+IF(OR(TYPE(O114)&gt;1,TYPE(MATCH(O114,O115:O$267,0))&gt;1),0,MATCH(O114,O115:O$267,0))+IF(OR(TYPE(O114)&gt;1,TYPE(MATCH(O114,U$11:U$267,0))&gt;1),0,MATCH(O114,U$11:U$267,0))+IF(OR(TYPE(O114)&gt;1,TYPE(MATCH(O114,AA$11:AA$267,0))&gt;1),0,MATCH(O114,AA$11:AA$267,0))</f>
        <v>0</v>
      </c>
      <c r="AP114" s="408">
        <f ca="1">IF(OR(TYPE(U114)&gt;1,TYPE(MATCH(U114,I$11:I$267,0))&gt;1),0,MATCH(U114,I$11:I$267,0))+IF(OR(TYPE(U114)&gt;1,TYPE(MATCH(U114,O$11:O$267,0))&gt;1),0,MATCH(U114,O$11:O$267,0))+IF(OR(TYPE(U114)&gt;1,TYPE(MATCH(U114,U115:U$267,0))&gt;1),0,MATCH(U114,U115:U$267,0))+IF(OR(TYPE(U114)&gt;1,TYPE(MATCH(U114,AA$11:AA$267,0))&gt;1),0,MATCH(U114,AA$11:AA$267,0))</f>
        <v>0</v>
      </c>
      <c r="AQ114" s="408">
        <f ca="1">IF(OR(TYPE(AA114)&gt;1,TYPE(MATCH(AA114,I$11:I$267,0))&gt;1),0,MATCH(AA114,I$11:I$267,0))+IF(OR(TYPE(AA114)&gt;1,TYPE(MATCH(AA114,O$11:O$267,0))&gt;1),0,MATCH(AA114,O$11:O$267,0))+IF(OR(TYPE(AA114)&gt;1,TYPE(MATCH(AA114,U$11:U$267,0))&gt;1),0,MATCH(U114,U$11:U$267,0))+IF(OR(TYPE(AA114)&gt;1,TYPE(MATCH(AA114,AA115:AA$267,0))&gt;1),0,MATCH(AA114,AA115:AA$267,0))</f>
        <v>0</v>
      </c>
      <c r="AR114" s="408">
        <f t="shared" ca="1" si="44"/>
        <v>0</v>
      </c>
      <c r="BF114" s="408">
        <f t="shared" si="45"/>
        <v>104</v>
      </c>
    </row>
    <row r="115" spans="1:58" ht="14.25">
      <c r="A115" s="430">
        <f t="shared" ca="1" si="46"/>
        <v>1</v>
      </c>
      <c r="B115" s="430">
        <f t="shared" ca="1" si="47"/>
        <v>1</v>
      </c>
      <c r="C115" s="430">
        <f t="shared" ca="1" si="48"/>
        <v>12.345000000000001</v>
      </c>
      <c r="D115" s="430">
        <f t="shared" ca="1" si="49"/>
        <v>20207</v>
      </c>
      <c r="E115" s="430">
        <f t="shared" ca="1" si="50"/>
        <v>209</v>
      </c>
      <c r="F115" s="431" t="str">
        <f t="shared" ca="1" si="51"/>
        <v>01000000000000000000282778</v>
      </c>
      <c r="G115" s="467" t="b">
        <f t="shared" ca="1" si="52"/>
        <v>0</v>
      </c>
      <c r="H115" s="468">
        <f t="shared" si="53"/>
        <v>105</v>
      </c>
      <c r="I115" s="469">
        <f t="shared" ca="1" si="54"/>
        <v>17055</v>
      </c>
      <c r="J115" s="470" t="str">
        <f ca="1">IF(N(I115)&gt;0,VLOOKUP(I115,Hraci!$A$1:$I$1500,2,0),IF(TYPE(INDIRECT(ADDRESS(ROW() + $A$9-9 + (ROW()-11)*4,2,1,1,"Internet")))&gt;1,INDIRECT(ADDRESS(ROW() + $A$9-9 + (ROW()-11)*4,2,1,1,"Internet"))," "))</f>
        <v>Zikmunda</v>
      </c>
      <c r="K115" s="471" t="str">
        <f ca="1">IF(N(I115)&gt;0,VLOOKUP(I115,Hraci!$A$1:$I$1500,3,0)," ")</f>
        <v>Matěj</v>
      </c>
      <c r="L115" s="471" t="str">
        <f ca="1">IF(N(I115)&gt;0,VLOOKUP(I115,Hraci!$A$1:$I$1500,5,0),IF(TYPE(INDIRECT(ADDRESS(ROW() + $A$9-9 + (ROW()-11)*4,3,1,1,"Internet")))&gt;1,INDIRECT(ADDRESS(ROW() + $A$9-9 + (ROW()-11)*4,3,1,1,"Internet"))," "))</f>
        <v>PC Mimo Done</v>
      </c>
      <c r="M115" s="472">
        <f ca="1">IF(N(I115)=0,9999,VLOOKUP(I115,Hraci!$A$1:$I$1500,8,0))</f>
        <v>209</v>
      </c>
      <c r="N115" s="473">
        <f ca="1">IF(N(I115)=0,0,VLOOKUP(I115,Hraci!$A$1:$I$1500,9,0))</f>
        <v>12.345000000000001</v>
      </c>
      <c r="O115" s="469" t="str">
        <f t="shared" ca="1" si="55"/>
        <v/>
      </c>
      <c r="P115" s="470" t="str">
        <f ca="1">IF(N(O115)&gt;0,VLOOKUP(O115,Hraci!$A$1:$I$1500,2,0),IF(TYPE(INDIRECT(ADDRESS(ROW() + $A$9-8 + (ROW()-11)*4,2,1,1,"Internet")))&gt;1,INDIRECT(ADDRESS(ROW() + $A$9-8 + (ROW()-11)*4,2,1,1,"Internet"))," "))</f>
        <v xml:space="preserve"> </v>
      </c>
      <c r="Q115" s="471" t="str">
        <f ca="1">IF(N(O115)&gt;0,VLOOKUP(O115,Hraci!$A$1:$I$1500,3,0)," ")</f>
        <v xml:space="preserve"> </v>
      </c>
      <c r="R115" s="471" t="str">
        <f ca="1">IF(N(O115)&gt;0,VLOOKUP(O115,Hraci!$A$1:$I$1500,5,0),IF(TYPE(INDIRECT(ADDRESS(ROW() + $A$9-8 + (ROW()-11)*4,3,1,1,"Internet")))&gt;1,INDIRECT(ADDRESS(ROW() + $A$9-8 + (ROW()-11)*4,3,1,1,"Internet"))," "))</f>
        <v xml:space="preserve"> </v>
      </c>
      <c r="S115" s="472">
        <f ca="1">IF(N(O115)=0,9999,VLOOKUP(O115,Hraci!$A$1:$I$1500,8,0))</f>
        <v>9999</v>
      </c>
      <c r="T115" s="473">
        <f ca="1">IF(N(O115)=0,0,VLOOKUP(O115,Hraci!$A$1:$I$1500,9,0))</f>
        <v>0</v>
      </c>
      <c r="U115" s="469" t="str">
        <f t="shared" ca="1" si="56"/>
        <v/>
      </c>
      <c r="V115" s="470" t="str">
        <f ca="1">IF(N(U115)&gt;0,VLOOKUP(U115,Hraci!$A$1:$I$1500,2,0),IF(TYPE(INDIRECT(ADDRESS(ROW() + $A$9-7 + (ROW()-11)*4,2,1,1,"Internet")))&gt;1,INDIRECT(ADDRESS(ROW() + $A$9-7 + (ROW()-11)*4,2,1,1,"Internet"))," "))</f>
        <v xml:space="preserve"> </v>
      </c>
      <c r="W115" s="471" t="str">
        <f ca="1">IF(N(U115)&gt;0,VLOOKUP(U115,Hraci!$A$1:$I$1500,3,0)," ")</f>
        <v xml:space="preserve"> </v>
      </c>
      <c r="X115" s="471" t="str">
        <f ca="1">IF(N(U115)&gt;0,VLOOKUP(U115,Hraci!$A$1:$I$1500,5,0),IF(TYPE(INDIRECT(ADDRESS(ROW() + $A$9-7 + (ROW()-11)*4,3,1,1,"Internet")))&gt;1,INDIRECT(ADDRESS(ROW() + $A$9-7 + (ROW()-11)*4,3,1,1,"Internet"))," "))</f>
        <v xml:space="preserve"> </v>
      </c>
      <c r="Y115" s="472">
        <f ca="1">IF(N(U115)=0,9999,VLOOKUP(U115,Hraci!$A$1:$I$1500,8,0))</f>
        <v>9999</v>
      </c>
      <c r="Z115" s="473">
        <f ca="1">IF(N(U115)=0,0,VLOOKUP(U115,Hraci!$A$1:$I$1500,9,0))</f>
        <v>0</v>
      </c>
      <c r="AA115" s="469" t="str">
        <f t="shared" ca="1" si="57"/>
        <v/>
      </c>
      <c r="AB115" s="470" t="str">
        <f ca="1">IF(N(AA115)&gt;0,VLOOKUP(AA115,Hraci!$A$1:$I$1500,2,0)," ")</f>
        <v xml:space="preserve"> </v>
      </c>
      <c r="AC115" s="471" t="str">
        <f ca="1">IF(N(AA115)&gt;0,VLOOKUP(AA115,Hraci!$A$1:$I$1500,3,0)," ")</f>
        <v xml:space="preserve"> </v>
      </c>
      <c r="AD115" s="471" t="str">
        <f ca="1">IF(N(AA115)&gt;0,VLOOKUP(AA115,Hraci!$A$1:$I$1500,5,0)," ")</f>
        <v xml:space="preserve"> </v>
      </c>
      <c r="AE115" s="472">
        <f ca="1">IF(N(AA115)=0,9999,VLOOKUP(AA115,Hraci!$A$1:$I$1500,8,0))</f>
        <v>9999</v>
      </c>
      <c r="AF115" s="473">
        <f ca="1">IF(N(AA115)=0,0,VLOOKUP(AA115,Hraci!$A$1:$I$1500,9,0))</f>
        <v>0</v>
      </c>
      <c r="AG115" s="474"/>
      <c r="AH115" s="480">
        <v>64</v>
      </c>
      <c r="AI115" s="475">
        <f ca="1">IF(N($AH115)&gt;0,VLOOKUP($AH115,Body!$A$4:$F$259,5,0),"")</f>
        <v>288.35162500000001</v>
      </c>
      <c r="AJ115" s="476">
        <f ca="1">IF(N($AH115)&gt;0,VLOOKUP($AH115,Body!$A$4:$F$259,6,0),"")</f>
        <v>200</v>
      </c>
      <c r="AK115" s="475">
        <f ca="1">IF(N($AH115)&gt;0,VLOOKUP($AH115,Body!$A$4:$F$259,2,0),"")</f>
        <v>2</v>
      </c>
      <c r="AL115" s="477" t="str">
        <f t="shared" ca="1" si="58"/>
        <v>105 PC Mimo Done - Zikmunda Matěj</v>
      </c>
      <c r="AM115" s="478">
        <f t="shared" ca="1" si="59"/>
        <v>12.345000000000001</v>
      </c>
      <c r="AN115" s="408">
        <f ca="1">IF(OR(TYPE(I115)&gt;1,TYPE(MATCH(I115,I116:I$267,0))&gt;1),0,MATCH(I115,I116:I$267,0))+IF(OR(TYPE(I115)&gt;1,TYPE(MATCH(I115,O$11:O$267,0))&gt;1),0,MATCH(I115,O$11:O$267,0))+IF(OR(TYPE(I115)&gt;1,TYPE(MATCH(I115,U$11:U$267,0))&gt;1),0,MATCH(I115,U$11:U$267,0))+IF(OR(TYPE(I115)&gt;1,TYPE(MATCH(I115,AA$11:AA$267,0))&gt;1),0,MATCH(I115,AA$11:AA$267,0))</f>
        <v>0</v>
      </c>
      <c r="AO115" s="408">
        <f ca="1">IF(OR(TYPE(O115)&gt;1,TYPE(MATCH(O115,I$11:I$267,0))&gt;1),0,MATCH(O115,I$11:I$267,0))+IF(OR(TYPE(O115)&gt;1,TYPE(MATCH(O115,O116:O$267,0))&gt;1),0,MATCH(O115,O116:O$267,0))+IF(OR(TYPE(O115)&gt;1,TYPE(MATCH(O115,U$11:U$267,0))&gt;1),0,MATCH(O115,U$11:U$267,0))+IF(OR(TYPE(O115)&gt;1,TYPE(MATCH(O115,AA$11:AA$267,0))&gt;1),0,MATCH(O115,AA$11:AA$267,0))</f>
        <v>0</v>
      </c>
      <c r="AP115" s="408">
        <f ca="1">IF(OR(TYPE(U115)&gt;1,TYPE(MATCH(U115,I$11:I$267,0))&gt;1),0,MATCH(U115,I$11:I$267,0))+IF(OR(TYPE(U115)&gt;1,TYPE(MATCH(U115,O$11:O$267,0))&gt;1),0,MATCH(U115,O$11:O$267,0))+IF(OR(TYPE(U115)&gt;1,TYPE(MATCH(U115,U116:U$267,0))&gt;1),0,MATCH(U115,U116:U$267,0))+IF(OR(TYPE(U115)&gt;1,TYPE(MATCH(U115,AA$11:AA$267,0))&gt;1),0,MATCH(U115,AA$11:AA$267,0))</f>
        <v>0</v>
      </c>
      <c r="AQ115" s="408">
        <f ca="1">IF(OR(TYPE(AA115)&gt;1,TYPE(MATCH(AA115,I$11:I$267,0))&gt;1),0,MATCH(AA115,I$11:I$267,0))+IF(OR(TYPE(AA115)&gt;1,TYPE(MATCH(AA115,O$11:O$267,0))&gt;1),0,MATCH(AA115,O$11:O$267,0))+IF(OR(TYPE(AA115)&gt;1,TYPE(MATCH(AA115,U$11:U$267,0))&gt;1),0,MATCH(U115,U$11:U$267,0))+IF(OR(TYPE(AA115)&gt;1,TYPE(MATCH(AA115,AA116:AA$267,0))&gt;1),0,MATCH(AA115,AA116:AA$267,0))</f>
        <v>0</v>
      </c>
      <c r="AR115" s="408">
        <f t="shared" ca="1" si="44"/>
        <v>0</v>
      </c>
      <c r="BF115" s="408">
        <f t="shared" si="45"/>
        <v>105</v>
      </c>
    </row>
    <row r="116" spans="1:58" ht="14.25">
      <c r="A116" s="430">
        <f t="shared" ca="1" si="46"/>
        <v>1</v>
      </c>
      <c r="B116" s="430">
        <f t="shared" ca="1" si="47"/>
        <v>1</v>
      </c>
      <c r="C116" s="430">
        <f t="shared" ca="1" si="48"/>
        <v>11.564</v>
      </c>
      <c r="D116" s="430">
        <f t="shared" ca="1" si="49"/>
        <v>20187</v>
      </c>
      <c r="E116" s="430">
        <f t="shared" ca="1" si="50"/>
        <v>189</v>
      </c>
      <c r="F116" s="431" t="str">
        <f t="shared" ca="1" si="51"/>
        <v>01000000000000000000069066</v>
      </c>
      <c r="G116" s="467" t="b">
        <f t="shared" ca="1" si="52"/>
        <v>0</v>
      </c>
      <c r="H116" s="468">
        <f t="shared" si="53"/>
        <v>106</v>
      </c>
      <c r="I116" s="469">
        <f t="shared" ca="1" si="54"/>
        <v>19023</v>
      </c>
      <c r="J116" s="470" t="str">
        <f ca="1">IF(N(I116)&gt;0,VLOOKUP(I116,Hraci!$A$1:$I$1500,2,0),IF(TYPE(INDIRECT(ADDRESS(ROW() + $A$9-9 + (ROW()-11)*4,2,1,1,"Internet")))&gt;1,INDIRECT(ADDRESS(ROW() + $A$9-9 + (ROW()-11)*4,2,1,1,"Internet"))," "))</f>
        <v>Blieková</v>
      </c>
      <c r="K116" s="471" t="str">
        <f ca="1">IF(N(I116)&gt;0,VLOOKUP(I116,Hraci!$A$1:$I$1500,3,0)," ")</f>
        <v>Alena</v>
      </c>
      <c r="L116" s="471" t="str">
        <f ca="1">IF(N(I116)&gt;0,VLOOKUP(I116,Hraci!$A$1:$I$1500,5,0),IF(TYPE(INDIRECT(ADDRESS(ROW() + $A$9-9 + (ROW()-11)*4,3,1,1,"Internet")))&gt;1,INDIRECT(ADDRESS(ROW() + $A$9-9 + (ROW()-11)*4,3,1,1,"Internet"))," "))</f>
        <v>SENIOR TÝM Praha 1</v>
      </c>
      <c r="M116" s="472">
        <f ca="1">IF(N(I116)=0,9999,VLOOKUP(I116,Hraci!$A$1:$I$1500,8,0))</f>
        <v>189</v>
      </c>
      <c r="N116" s="473">
        <f ca="1">IF(N(I116)=0,0,VLOOKUP(I116,Hraci!$A$1:$I$1500,9,0))</f>
        <v>11.564</v>
      </c>
      <c r="O116" s="469" t="str">
        <f t="shared" ca="1" si="55"/>
        <v/>
      </c>
      <c r="P116" s="470" t="str">
        <f ca="1">IF(N(O116)&gt;0,VLOOKUP(O116,Hraci!$A$1:$I$1500,2,0),IF(TYPE(INDIRECT(ADDRESS(ROW() + $A$9-8 + (ROW()-11)*4,2,1,1,"Internet")))&gt;1,INDIRECT(ADDRESS(ROW() + $A$9-8 + (ROW()-11)*4,2,1,1,"Internet"))," "))</f>
        <v xml:space="preserve"> </v>
      </c>
      <c r="Q116" s="471" t="str">
        <f ca="1">IF(N(O116)&gt;0,VLOOKUP(O116,Hraci!$A$1:$I$1500,3,0)," ")</f>
        <v xml:space="preserve"> </v>
      </c>
      <c r="R116" s="471" t="str">
        <f ca="1">IF(N(O116)&gt;0,VLOOKUP(O116,Hraci!$A$1:$I$1500,5,0),IF(TYPE(INDIRECT(ADDRESS(ROW() + $A$9-8 + (ROW()-11)*4,3,1,1,"Internet")))&gt;1,INDIRECT(ADDRESS(ROW() + $A$9-8 + (ROW()-11)*4,3,1,1,"Internet"))," "))</f>
        <v xml:space="preserve"> </v>
      </c>
      <c r="S116" s="472">
        <f ca="1">IF(N(O116)=0,9999,VLOOKUP(O116,Hraci!$A$1:$I$1500,8,0))</f>
        <v>9999</v>
      </c>
      <c r="T116" s="473">
        <f ca="1">IF(N(O116)=0,0,VLOOKUP(O116,Hraci!$A$1:$I$1500,9,0))</f>
        <v>0</v>
      </c>
      <c r="U116" s="469" t="str">
        <f t="shared" ca="1" si="56"/>
        <v/>
      </c>
      <c r="V116" s="470" t="str">
        <f ca="1">IF(N(U116)&gt;0,VLOOKUP(U116,Hraci!$A$1:$I$1500,2,0),IF(TYPE(INDIRECT(ADDRESS(ROW() + $A$9-7 + (ROW()-11)*4,2,1,1,"Internet")))&gt;1,INDIRECT(ADDRESS(ROW() + $A$9-7 + (ROW()-11)*4,2,1,1,"Internet"))," "))</f>
        <v xml:space="preserve"> </v>
      </c>
      <c r="W116" s="471" t="str">
        <f ca="1">IF(N(U116)&gt;0,VLOOKUP(U116,Hraci!$A$1:$I$1500,3,0)," ")</f>
        <v xml:space="preserve"> </v>
      </c>
      <c r="X116" s="471" t="str">
        <f ca="1">IF(N(U116)&gt;0,VLOOKUP(U116,Hraci!$A$1:$I$1500,5,0),IF(TYPE(INDIRECT(ADDRESS(ROW() + $A$9-7 + (ROW()-11)*4,3,1,1,"Internet")))&gt;1,INDIRECT(ADDRESS(ROW() + $A$9-7 + (ROW()-11)*4,3,1,1,"Internet"))," "))</f>
        <v xml:space="preserve"> </v>
      </c>
      <c r="Y116" s="472">
        <f ca="1">IF(N(U116)=0,9999,VLOOKUP(U116,Hraci!$A$1:$I$1500,8,0))</f>
        <v>9999</v>
      </c>
      <c r="Z116" s="473">
        <f ca="1">IF(N(U116)=0,0,VLOOKUP(U116,Hraci!$A$1:$I$1500,9,0))</f>
        <v>0</v>
      </c>
      <c r="AA116" s="469" t="str">
        <f t="shared" ca="1" si="57"/>
        <v/>
      </c>
      <c r="AB116" s="470" t="str">
        <f ca="1">IF(N(AA116)&gt;0,VLOOKUP(AA116,Hraci!$A$1:$I$1500,2,0)," ")</f>
        <v xml:space="preserve"> </v>
      </c>
      <c r="AC116" s="471" t="str">
        <f ca="1">IF(N(AA116)&gt;0,VLOOKUP(AA116,Hraci!$A$1:$I$1500,3,0)," ")</f>
        <v xml:space="preserve"> </v>
      </c>
      <c r="AD116" s="471" t="str">
        <f ca="1">IF(N(AA116)&gt;0,VLOOKUP(AA116,Hraci!$A$1:$I$1500,5,0)," ")</f>
        <v xml:space="preserve"> </v>
      </c>
      <c r="AE116" s="472">
        <f ca="1">IF(N(AA116)=0,9999,VLOOKUP(AA116,Hraci!$A$1:$I$1500,8,0))</f>
        <v>9999</v>
      </c>
      <c r="AF116" s="473">
        <f ca="1">IF(N(AA116)=0,0,VLOOKUP(AA116,Hraci!$A$1:$I$1500,9,0))</f>
        <v>0</v>
      </c>
      <c r="AG116" s="474"/>
      <c r="AH116" s="480">
        <v>129</v>
      </c>
      <c r="AI116" s="475">
        <f ca="1">IF(N($AH116)&gt;0,VLOOKUP($AH116,Body!$A$4:$F$259,5,0),"")</f>
        <v>553.40650000000005</v>
      </c>
      <c r="AJ116" s="476">
        <f ca="1">IF(N($AH116)&gt;0,VLOOKUP($AH116,Body!$A$4:$F$259,6,0),"")</f>
        <v>200</v>
      </c>
      <c r="AK116" s="475">
        <f ca="1">IF(N($AH116)&gt;0,VLOOKUP($AH116,Body!$A$4:$F$259,2,0),"")</f>
        <v>8</v>
      </c>
      <c r="AL116" s="477" t="str">
        <f t="shared" ca="1" si="58"/>
        <v>106 SENIOR TÝM Praha 1 - Blieková Alena</v>
      </c>
      <c r="AM116" s="478">
        <f t="shared" ca="1" si="59"/>
        <v>11.564</v>
      </c>
      <c r="AN116" s="408">
        <f ca="1">IF(OR(TYPE(I116)&gt;1,TYPE(MATCH(I116,I117:I$267,0))&gt;1),0,MATCH(I116,I117:I$267,0))+IF(OR(TYPE(I116)&gt;1,TYPE(MATCH(I116,O$11:O$267,0))&gt;1),0,MATCH(I116,O$11:O$267,0))+IF(OR(TYPE(I116)&gt;1,TYPE(MATCH(I116,U$11:U$267,0))&gt;1),0,MATCH(I116,U$11:U$267,0))+IF(OR(TYPE(I116)&gt;1,TYPE(MATCH(I116,AA$11:AA$267,0))&gt;1),0,MATCH(I116,AA$11:AA$267,0))</f>
        <v>0</v>
      </c>
      <c r="AO116" s="408">
        <f ca="1">IF(OR(TYPE(O116)&gt;1,TYPE(MATCH(O116,I$11:I$267,0))&gt;1),0,MATCH(O116,I$11:I$267,0))+IF(OR(TYPE(O116)&gt;1,TYPE(MATCH(O116,O117:O$267,0))&gt;1),0,MATCH(O116,O117:O$267,0))+IF(OR(TYPE(O116)&gt;1,TYPE(MATCH(O116,U$11:U$267,0))&gt;1),0,MATCH(O116,U$11:U$267,0))+IF(OR(TYPE(O116)&gt;1,TYPE(MATCH(O116,AA$11:AA$267,0))&gt;1),0,MATCH(O116,AA$11:AA$267,0))</f>
        <v>0</v>
      </c>
      <c r="AP116" s="408">
        <f ca="1">IF(OR(TYPE(U116)&gt;1,TYPE(MATCH(U116,I$11:I$267,0))&gt;1),0,MATCH(U116,I$11:I$267,0))+IF(OR(TYPE(U116)&gt;1,TYPE(MATCH(U116,O$11:O$267,0))&gt;1),0,MATCH(U116,O$11:O$267,0))+IF(OR(TYPE(U116)&gt;1,TYPE(MATCH(U116,U117:U$267,0))&gt;1),0,MATCH(U116,U117:U$267,0))+IF(OR(TYPE(U116)&gt;1,TYPE(MATCH(U116,AA$11:AA$267,0))&gt;1),0,MATCH(U116,AA$11:AA$267,0))</f>
        <v>0</v>
      </c>
      <c r="AQ116" s="408">
        <f ca="1">IF(OR(TYPE(AA116)&gt;1,TYPE(MATCH(AA116,I$11:I$267,0))&gt;1),0,MATCH(AA116,I$11:I$267,0))+IF(OR(TYPE(AA116)&gt;1,TYPE(MATCH(AA116,O$11:O$267,0))&gt;1),0,MATCH(AA116,O$11:O$267,0))+IF(OR(TYPE(AA116)&gt;1,TYPE(MATCH(AA116,U$11:U$267,0))&gt;1),0,MATCH(U116,U$11:U$267,0))+IF(OR(TYPE(AA116)&gt;1,TYPE(MATCH(AA116,AA117:AA$267,0))&gt;1),0,MATCH(AA116,AA117:AA$267,0))</f>
        <v>0</v>
      </c>
      <c r="AR116" s="408">
        <f t="shared" ca="1" si="44"/>
        <v>0</v>
      </c>
      <c r="BF116" s="408">
        <f t="shared" si="45"/>
        <v>106</v>
      </c>
    </row>
    <row r="117" spans="1:58" ht="14.25">
      <c r="A117" s="430">
        <f t="shared" ca="1" si="46"/>
        <v>1</v>
      </c>
      <c r="B117" s="430">
        <f t="shared" ca="1" si="47"/>
        <v>1</v>
      </c>
      <c r="C117" s="430">
        <f t="shared" ca="1" si="48"/>
        <v>11.172000000000001</v>
      </c>
      <c r="D117" s="430">
        <f t="shared" ca="1" si="49"/>
        <v>20186</v>
      </c>
      <c r="E117" s="430">
        <f t="shared" ca="1" si="50"/>
        <v>188</v>
      </c>
      <c r="F117" s="431" t="str">
        <f t="shared" ca="1" si="51"/>
        <v>01000000000000000000155491</v>
      </c>
      <c r="G117" s="467" t="b">
        <f t="shared" ca="1" si="52"/>
        <v>0</v>
      </c>
      <c r="H117" s="468">
        <f t="shared" si="53"/>
        <v>107</v>
      </c>
      <c r="I117" s="469">
        <f t="shared" ca="1" si="54"/>
        <v>15055</v>
      </c>
      <c r="J117" s="470" t="str">
        <f ca="1">IF(N(I117)&gt;0,VLOOKUP(I117,Hraci!$A$1:$I$1500,2,0),IF(TYPE(INDIRECT(ADDRESS(ROW() + $A$9-9 + (ROW()-11)*4,2,1,1,"Internet")))&gt;1,INDIRECT(ADDRESS(ROW() + $A$9-9 + (ROW()-11)*4,2,1,1,"Internet"))," "))</f>
        <v>Srnský</v>
      </c>
      <c r="K117" s="471" t="str">
        <f ca="1">IF(N(I117)&gt;0,VLOOKUP(I117,Hraci!$A$1:$I$1500,3,0)," ")</f>
        <v>Jakub</v>
      </c>
      <c r="L117" s="471" t="str">
        <f ca="1">IF(N(I117)&gt;0,VLOOKUP(I117,Hraci!$A$1:$I$1500,5,0),IF(TYPE(INDIRECT(ADDRESS(ROW() + $A$9-9 + (ROW()-11)*4,3,1,1,"Internet")))&gt;1,INDIRECT(ADDRESS(ROW() + $A$9-9 + (ROW()-11)*4,3,1,1,"Internet"))," "))</f>
        <v>1. KPK Vrchlabí</v>
      </c>
      <c r="M117" s="472">
        <f ca="1">IF(N(I117)=0,9999,VLOOKUP(I117,Hraci!$A$1:$I$1500,8,0))</f>
        <v>188</v>
      </c>
      <c r="N117" s="473">
        <f ca="1">IF(N(I117)=0,0,VLOOKUP(I117,Hraci!$A$1:$I$1500,9,0))</f>
        <v>11.172000000000001</v>
      </c>
      <c r="O117" s="469" t="str">
        <f t="shared" ca="1" si="55"/>
        <v/>
      </c>
      <c r="P117" s="470" t="str">
        <f ca="1">IF(N(O117)&gt;0,VLOOKUP(O117,Hraci!$A$1:$I$1500,2,0),IF(TYPE(INDIRECT(ADDRESS(ROW() + $A$9-8 + (ROW()-11)*4,2,1,1,"Internet")))&gt;1,INDIRECT(ADDRESS(ROW() + $A$9-8 + (ROW()-11)*4,2,1,1,"Internet"))," "))</f>
        <v xml:space="preserve"> </v>
      </c>
      <c r="Q117" s="471" t="str">
        <f ca="1">IF(N(O117)&gt;0,VLOOKUP(O117,Hraci!$A$1:$I$1500,3,0)," ")</f>
        <v xml:space="preserve"> </v>
      </c>
      <c r="R117" s="471" t="str">
        <f ca="1">IF(N(O117)&gt;0,VLOOKUP(O117,Hraci!$A$1:$I$1500,5,0),IF(TYPE(INDIRECT(ADDRESS(ROW() + $A$9-8 + (ROW()-11)*4,3,1,1,"Internet")))&gt;1,INDIRECT(ADDRESS(ROW() + $A$9-8 + (ROW()-11)*4,3,1,1,"Internet"))," "))</f>
        <v xml:space="preserve"> </v>
      </c>
      <c r="S117" s="472">
        <f ca="1">IF(N(O117)=0,9999,VLOOKUP(O117,Hraci!$A$1:$I$1500,8,0))</f>
        <v>9999</v>
      </c>
      <c r="T117" s="473">
        <f ca="1">IF(N(O117)=0,0,VLOOKUP(O117,Hraci!$A$1:$I$1500,9,0))</f>
        <v>0</v>
      </c>
      <c r="U117" s="469" t="str">
        <f t="shared" ca="1" si="56"/>
        <v/>
      </c>
      <c r="V117" s="470" t="str">
        <f ca="1">IF(N(U117)&gt;0,VLOOKUP(U117,Hraci!$A$1:$I$1500,2,0),IF(TYPE(INDIRECT(ADDRESS(ROW() + $A$9-7 + (ROW()-11)*4,2,1,1,"Internet")))&gt;1,INDIRECT(ADDRESS(ROW() + $A$9-7 + (ROW()-11)*4,2,1,1,"Internet"))," "))</f>
        <v xml:space="preserve"> </v>
      </c>
      <c r="W117" s="471" t="str">
        <f ca="1">IF(N(U117)&gt;0,VLOOKUP(U117,Hraci!$A$1:$I$1500,3,0)," ")</f>
        <v xml:space="preserve"> </v>
      </c>
      <c r="X117" s="471" t="str">
        <f ca="1">IF(N(U117)&gt;0,VLOOKUP(U117,Hraci!$A$1:$I$1500,5,0),IF(TYPE(INDIRECT(ADDRESS(ROW() + $A$9-7 + (ROW()-11)*4,3,1,1,"Internet")))&gt;1,INDIRECT(ADDRESS(ROW() + $A$9-7 + (ROW()-11)*4,3,1,1,"Internet"))," "))</f>
        <v xml:space="preserve"> </v>
      </c>
      <c r="Y117" s="472">
        <f ca="1">IF(N(U117)=0,9999,VLOOKUP(U117,Hraci!$A$1:$I$1500,8,0))</f>
        <v>9999</v>
      </c>
      <c r="Z117" s="473">
        <f ca="1">IF(N(U117)=0,0,VLOOKUP(U117,Hraci!$A$1:$I$1500,9,0))</f>
        <v>0</v>
      </c>
      <c r="AA117" s="469" t="str">
        <f t="shared" ca="1" si="57"/>
        <v/>
      </c>
      <c r="AB117" s="470" t="str">
        <f ca="1">IF(N(AA117)&gt;0,VLOOKUP(AA117,Hraci!$A$1:$I$1500,2,0)," ")</f>
        <v xml:space="preserve"> </v>
      </c>
      <c r="AC117" s="471" t="str">
        <f ca="1">IF(N(AA117)&gt;0,VLOOKUP(AA117,Hraci!$A$1:$I$1500,3,0)," ")</f>
        <v xml:space="preserve"> </v>
      </c>
      <c r="AD117" s="471" t="str">
        <f ca="1">IF(N(AA117)&gt;0,VLOOKUP(AA117,Hraci!$A$1:$I$1500,5,0)," ")</f>
        <v xml:space="preserve"> </v>
      </c>
      <c r="AE117" s="472">
        <f ca="1">IF(N(AA117)=0,9999,VLOOKUP(AA117,Hraci!$A$1:$I$1500,8,0))</f>
        <v>9999</v>
      </c>
      <c r="AF117" s="473">
        <f ca="1">IF(N(AA117)=0,0,VLOOKUP(AA117,Hraci!$A$1:$I$1500,9,0))</f>
        <v>0</v>
      </c>
      <c r="AG117" s="474"/>
      <c r="AH117" s="480">
        <v>129</v>
      </c>
      <c r="AI117" s="475">
        <f ca="1">IF(N($AH117)&gt;0,VLOOKUP($AH117,Body!$A$4:$F$259,5,0),"")</f>
        <v>553.40650000000005</v>
      </c>
      <c r="AJ117" s="476">
        <f ca="1">IF(N($AH117)&gt;0,VLOOKUP($AH117,Body!$A$4:$F$259,6,0),"")</f>
        <v>200</v>
      </c>
      <c r="AK117" s="475">
        <f ca="1">IF(N($AH117)&gt;0,VLOOKUP($AH117,Body!$A$4:$F$259,2,0),"")</f>
        <v>8</v>
      </c>
      <c r="AL117" s="477" t="str">
        <f t="shared" ca="1" si="58"/>
        <v>107 1. KPK Vrchlabí - Srnský Jakub</v>
      </c>
      <c r="AM117" s="478">
        <f t="shared" ca="1" si="59"/>
        <v>11.172000000000001</v>
      </c>
      <c r="AN117" s="408">
        <f ca="1">IF(OR(TYPE(I117)&gt;1,TYPE(MATCH(I117,I118:I$267,0))&gt;1),0,MATCH(I117,I118:I$267,0))+IF(OR(TYPE(I117)&gt;1,TYPE(MATCH(I117,O$11:O$267,0))&gt;1),0,MATCH(I117,O$11:O$267,0))+IF(OR(TYPE(I117)&gt;1,TYPE(MATCH(I117,U$11:U$267,0))&gt;1),0,MATCH(I117,U$11:U$267,0))+IF(OR(TYPE(I117)&gt;1,TYPE(MATCH(I117,AA$11:AA$267,0))&gt;1),0,MATCH(I117,AA$11:AA$267,0))</f>
        <v>0</v>
      </c>
      <c r="AO117" s="408">
        <f ca="1">IF(OR(TYPE(O117)&gt;1,TYPE(MATCH(O117,I$11:I$267,0))&gt;1),0,MATCH(O117,I$11:I$267,0))+IF(OR(TYPE(O117)&gt;1,TYPE(MATCH(O117,O118:O$267,0))&gt;1),0,MATCH(O117,O118:O$267,0))+IF(OR(TYPE(O117)&gt;1,TYPE(MATCH(O117,U$11:U$267,0))&gt;1),0,MATCH(O117,U$11:U$267,0))+IF(OR(TYPE(O117)&gt;1,TYPE(MATCH(O117,AA$11:AA$267,0))&gt;1),0,MATCH(O117,AA$11:AA$267,0))</f>
        <v>0</v>
      </c>
      <c r="AP117" s="408">
        <f ca="1">IF(OR(TYPE(U117)&gt;1,TYPE(MATCH(U117,I$11:I$267,0))&gt;1),0,MATCH(U117,I$11:I$267,0))+IF(OR(TYPE(U117)&gt;1,TYPE(MATCH(U117,O$11:O$267,0))&gt;1),0,MATCH(U117,O$11:O$267,0))+IF(OR(TYPE(U117)&gt;1,TYPE(MATCH(U117,U118:U$267,0))&gt;1),0,MATCH(U117,U118:U$267,0))+IF(OR(TYPE(U117)&gt;1,TYPE(MATCH(U117,AA$11:AA$267,0))&gt;1),0,MATCH(U117,AA$11:AA$267,0))</f>
        <v>0</v>
      </c>
      <c r="AQ117" s="408">
        <f ca="1">IF(OR(TYPE(AA117)&gt;1,TYPE(MATCH(AA117,I$11:I$267,0))&gt;1),0,MATCH(AA117,I$11:I$267,0))+IF(OR(TYPE(AA117)&gt;1,TYPE(MATCH(AA117,O$11:O$267,0))&gt;1),0,MATCH(AA117,O$11:O$267,0))+IF(OR(TYPE(AA117)&gt;1,TYPE(MATCH(AA117,U$11:U$267,0))&gt;1),0,MATCH(U117,U$11:U$267,0))+IF(OR(TYPE(AA117)&gt;1,TYPE(MATCH(AA117,AA118:AA$267,0))&gt;1),0,MATCH(AA117,AA118:AA$267,0))</f>
        <v>0</v>
      </c>
      <c r="AR117" s="408">
        <f t="shared" ca="1" si="44"/>
        <v>0</v>
      </c>
      <c r="BF117" s="408">
        <f t="shared" si="45"/>
        <v>107</v>
      </c>
    </row>
    <row r="118" spans="1:58" ht="14.25">
      <c r="A118" s="430">
        <f t="shared" ca="1" si="46"/>
        <v>1</v>
      </c>
      <c r="B118" s="430">
        <f t="shared" ca="1" si="47"/>
        <v>1</v>
      </c>
      <c r="C118" s="430">
        <f t="shared" ca="1" si="48"/>
        <v>10.815</v>
      </c>
      <c r="D118" s="430">
        <f t="shared" ca="1" si="49"/>
        <v>20197</v>
      </c>
      <c r="E118" s="430">
        <f t="shared" ca="1" si="50"/>
        <v>199</v>
      </c>
      <c r="F118" s="431" t="str">
        <f t="shared" ca="1" si="51"/>
        <v>01000000000000000000428517</v>
      </c>
      <c r="G118" s="467" t="b">
        <f t="shared" ca="1" si="52"/>
        <v>0</v>
      </c>
      <c r="H118" s="468">
        <f t="shared" si="53"/>
        <v>108</v>
      </c>
      <c r="I118" s="469">
        <f t="shared" ca="1" si="54"/>
        <v>14037</v>
      </c>
      <c r="J118" s="470" t="str">
        <f ca="1">IF(N(I118)&gt;0,VLOOKUP(I118,Hraci!$A$1:$I$1500,2,0),IF(TYPE(INDIRECT(ADDRESS(ROW() + $A$9-9 + (ROW()-11)*4,2,1,1,"Internet")))&gt;1,INDIRECT(ADDRESS(ROW() + $A$9-9 + (ROW()-11)*4,2,1,1,"Internet"))," "))</f>
        <v>Hůrka</v>
      </c>
      <c r="K118" s="471" t="str">
        <f ca="1">IF(N(I118)&gt;0,VLOOKUP(I118,Hraci!$A$1:$I$1500,3,0)," ")</f>
        <v>Jindřich</v>
      </c>
      <c r="L118" s="471" t="str">
        <f ca="1">IF(N(I118)&gt;0,VLOOKUP(I118,Hraci!$A$1:$I$1500,5,0),IF(TYPE(INDIRECT(ADDRESS(ROW() + $A$9-9 + (ROW()-11)*4,3,1,1,"Internet")))&gt;1,INDIRECT(ADDRESS(ROW() + $A$9-9 + (ROW()-11)*4,3,1,1,"Internet"))," "))</f>
        <v>Bowle 09 Klatovy</v>
      </c>
      <c r="M118" s="472">
        <f ca="1">IF(N(I118)=0,9999,VLOOKUP(I118,Hraci!$A$1:$I$1500,8,0))</f>
        <v>199</v>
      </c>
      <c r="N118" s="473">
        <f ca="1">IF(N(I118)=0,0,VLOOKUP(I118,Hraci!$A$1:$I$1500,9,0))</f>
        <v>10.815</v>
      </c>
      <c r="O118" s="469" t="str">
        <f t="shared" ca="1" si="55"/>
        <v/>
      </c>
      <c r="P118" s="470" t="str">
        <f ca="1">IF(N(O118)&gt;0,VLOOKUP(O118,Hraci!$A$1:$I$1500,2,0),IF(TYPE(INDIRECT(ADDRESS(ROW() + $A$9-8 + (ROW()-11)*4,2,1,1,"Internet")))&gt;1,INDIRECT(ADDRESS(ROW() + $A$9-8 + (ROW()-11)*4,2,1,1,"Internet"))," "))</f>
        <v xml:space="preserve"> </v>
      </c>
      <c r="Q118" s="471" t="str">
        <f ca="1">IF(N(O118)&gt;0,VLOOKUP(O118,Hraci!$A$1:$I$1500,3,0)," ")</f>
        <v xml:space="preserve"> </v>
      </c>
      <c r="R118" s="471" t="str">
        <f ca="1">IF(N(O118)&gt;0,VLOOKUP(O118,Hraci!$A$1:$I$1500,5,0),IF(TYPE(INDIRECT(ADDRESS(ROW() + $A$9-8 + (ROW()-11)*4,3,1,1,"Internet")))&gt;1,INDIRECT(ADDRESS(ROW() + $A$9-8 + (ROW()-11)*4,3,1,1,"Internet"))," "))</f>
        <v xml:space="preserve"> </v>
      </c>
      <c r="S118" s="472">
        <f ca="1">IF(N(O118)=0,9999,VLOOKUP(O118,Hraci!$A$1:$I$1500,8,0))</f>
        <v>9999</v>
      </c>
      <c r="T118" s="473">
        <f ca="1">IF(N(O118)=0,0,VLOOKUP(O118,Hraci!$A$1:$I$1500,9,0))</f>
        <v>0</v>
      </c>
      <c r="U118" s="469" t="str">
        <f t="shared" ca="1" si="56"/>
        <v/>
      </c>
      <c r="V118" s="470" t="str">
        <f ca="1">IF(N(U118)&gt;0,VLOOKUP(U118,Hraci!$A$1:$I$1500,2,0),IF(TYPE(INDIRECT(ADDRESS(ROW() + $A$9-7 + (ROW()-11)*4,2,1,1,"Internet")))&gt;1,INDIRECT(ADDRESS(ROW() + $A$9-7 + (ROW()-11)*4,2,1,1,"Internet"))," "))</f>
        <v xml:space="preserve"> </v>
      </c>
      <c r="W118" s="471" t="str">
        <f ca="1">IF(N(U118)&gt;0,VLOOKUP(U118,Hraci!$A$1:$I$1500,3,0)," ")</f>
        <v xml:space="preserve"> </v>
      </c>
      <c r="X118" s="471" t="str">
        <f ca="1">IF(N(U118)&gt;0,VLOOKUP(U118,Hraci!$A$1:$I$1500,5,0),IF(TYPE(INDIRECT(ADDRESS(ROW() + $A$9-7 + (ROW()-11)*4,3,1,1,"Internet")))&gt;1,INDIRECT(ADDRESS(ROW() + $A$9-7 + (ROW()-11)*4,3,1,1,"Internet"))," "))</f>
        <v xml:space="preserve"> </v>
      </c>
      <c r="Y118" s="472">
        <f ca="1">IF(N(U118)=0,9999,VLOOKUP(U118,Hraci!$A$1:$I$1500,8,0))</f>
        <v>9999</v>
      </c>
      <c r="Z118" s="473">
        <f ca="1">IF(N(U118)=0,0,VLOOKUP(U118,Hraci!$A$1:$I$1500,9,0))</f>
        <v>0</v>
      </c>
      <c r="AA118" s="469" t="str">
        <f t="shared" ca="1" si="57"/>
        <v/>
      </c>
      <c r="AB118" s="470" t="str">
        <f ca="1">IF(N(AA118)&gt;0,VLOOKUP(AA118,Hraci!$A$1:$I$1500,2,0)," ")</f>
        <v xml:space="preserve"> </v>
      </c>
      <c r="AC118" s="471" t="str">
        <f ca="1">IF(N(AA118)&gt;0,VLOOKUP(AA118,Hraci!$A$1:$I$1500,3,0)," ")</f>
        <v xml:space="preserve"> </v>
      </c>
      <c r="AD118" s="471" t="str">
        <f ca="1">IF(N(AA118)&gt;0,VLOOKUP(AA118,Hraci!$A$1:$I$1500,5,0)," ")</f>
        <v xml:space="preserve"> </v>
      </c>
      <c r="AE118" s="472">
        <f ca="1">IF(N(AA118)=0,9999,VLOOKUP(AA118,Hraci!$A$1:$I$1500,8,0))</f>
        <v>9999</v>
      </c>
      <c r="AF118" s="473">
        <f ca="1">IF(N(AA118)=0,0,VLOOKUP(AA118,Hraci!$A$1:$I$1500,9,0))</f>
        <v>0</v>
      </c>
      <c r="AG118" s="474"/>
      <c r="AH118" s="480">
        <v>129</v>
      </c>
      <c r="AI118" s="475">
        <f ca="1">IF(N($AH118)&gt;0,VLOOKUP($AH118,Body!$A$4:$F$259,5,0),"")</f>
        <v>553.40650000000005</v>
      </c>
      <c r="AJ118" s="476">
        <f ca="1">IF(N($AH118)&gt;0,VLOOKUP($AH118,Body!$A$4:$F$259,6,0),"")</f>
        <v>200</v>
      </c>
      <c r="AK118" s="475">
        <f ca="1">IF(N($AH118)&gt;0,VLOOKUP($AH118,Body!$A$4:$F$259,2,0),"")</f>
        <v>8</v>
      </c>
      <c r="AL118" s="477" t="str">
        <f t="shared" ca="1" si="58"/>
        <v>108 Bowle 09 Klatovy - Hůrka Jindřich</v>
      </c>
      <c r="AM118" s="478">
        <f t="shared" ca="1" si="59"/>
        <v>10.815</v>
      </c>
      <c r="AN118" s="408">
        <f ca="1">IF(OR(TYPE(I118)&gt;1,TYPE(MATCH(I118,I119:I$267,0))&gt;1),0,MATCH(I118,I119:I$267,0))+IF(OR(TYPE(I118)&gt;1,TYPE(MATCH(I118,O$11:O$267,0))&gt;1),0,MATCH(I118,O$11:O$267,0))+IF(OR(TYPE(I118)&gt;1,TYPE(MATCH(I118,U$11:U$267,0))&gt;1),0,MATCH(I118,U$11:U$267,0))+IF(OR(TYPE(I118)&gt;1,TYPE(MATCH(I118,AA$11:AA$267,0))&gt;1),0,MATCH(I118,AA$11:AA$267,0))</f>
        <v>0</v>
      </c>
      <c r="AO118" s="408">
        <f ca="1">IF(OR(TYPE(O118)&gt;1,TYPE(MATCH(O118,I$11:I$267,0))&gt;1),0,MATCH(O118,I$11:I$267,0))+IF(OR(TYPE(O118)&gt;1,TYPE(MATCH(O118,O119:O$267,0))&gt;1),0,MATCH(O118,O119:O$267,0))+IF(OR(TYPE(O118)&gt;1,TYPE(MATCH(O118,U$11:U$267,0))&gt;1),0,MATCH(O118,U$11:U$267,0))+IF(OR(TYPE(O118)&gt;1,TYPE(MATCH(O118,AA$11:AA$267,0))&gt;1),0,MATCH(O118,AA$11:AA$267,0))</f>
        <v>0</v>
      </c>
      <c r="AP118" s="408">
        <f ca="1">IF(OR(TYPE(U118)&gt;1,TYPE(MATCH(U118,I$11:I$267,0))&gt;1),0,MATCH(U118,I$11:I$267,0))+IF(OR(TYPE(U118)&gt;1,TYPE(MATCH(U118,O$11:O$267,0))&gt;1),0,MATCH(U118,O$11:O$267,0))+IF(OR(TYPE(U118)&gt;1,TYPE(MATCH(U118,U119:U$267,0))&gt;1),0,MATCH(U118,U119:U$267,0))+IF(OR(TYPE(U118)&gt;1,TYPE(MATCH(U118,AA$11:AA$267,0))&gt;1),0,MATCH(U118,AA$11:AA$267,0))</f>
        <v>0</v>
      </c>
      <c r="AQ118" s="408">
        <f ca="1">IF(OR(TYPE(AA118)&gt;1,TYPE(MATCH(AA118,I$11:I$267,0))&gt;1),0,MATCH(AA118,I$11:I$267,0))+IF(OR(TYPE(AA118)&gt;1,TYPE(MATCH(AA118,O$11:O$267,0))&gt;1),0,MATCH(AA118,O$11:O$267,0))+IF(OR(TYPE(AA118)&gt;1,TYPE(MATCH(AA118,U$11:U$267,0))&gt;1),0,MATCH(U118,U$11:U$267,0))+IF(OR(TYPE(AA118)&gt;1,TYPE(MATCH(AA118,AA119:AA$267,0))&gt;1),0,MATCH(AA118,AA119:AA$267,0))</f>
        <v>0</v>
      </c>
      <c r="AR118" s="408">
        <f t="shared" ca="1" si="44"/>
        <v>0</v>
      </c>
      <c r="BF118" s="408">
        <f t="shared" si="45"/>
        <v>108</v>
      </c>
    </row>
    <row r="119" spans="1:58" ht="14.25">
      <c r="A119" s="430">
        <f t="shared" ca="1" si="46"/>
        <v>1</v>
      </c>
      <c r="B119" s="430">
        <f t="shared" ca="1" si="47"/>
        <v>1</v>
      </c>
      <c r="C119" s="430">
        <f t="shared" ca="1" si="48"/>
        <v>10.72</v>
      </c>
      <c r="D119" s="430">
        <f t="shared" ca="1" si="49"/>
        <v>20243</v>
      </c>
      <c r="E119" s="430">
        <f t="shared" ca="1" si="50"/>
        <v>245</v>
      </c>
      <c r="F119" s="431" t="str">
        <f t="shared" ca="1" si="51"/>
        <v>01000000000000000000893833</v>
      </c>
      <c r="G119" s="467" t="b">
        <f t="shared" ca="1" si="52"/>
        <v>0</v>
      </c>
      <c r="H119" s="468">
        <f t="shared" si="53"/>
        <v>109</v>
      </c>
      <c r="I119" s="469">
        <f t="shared" ca="1" si="54"/>
        <v>14055</v>
      </c>
      <c r="J119" s="470" t="str">
        <f ca="1">IF(N(I119)&gt;0,VLOOKUP(I119,Hraci!$A$1:$I$1500,2,0),IF(TYPE(INDIRECT(ADDRESS(ROW() + $A$9-9 + (ROW()-11)*4,2,1,1,"Internet")))&gt;1,INDIRECT(ADDRESS(ROW() + $A$9-9 + (ROW()-11)*4,2,1,1,"Internet"))," "))</f>
        <v>Stejskal</v>
      </c>
      <c r="K119" s="471" t="str">
        <f ca="1">IF(N(I119)&gt;0,VLOOKUP(I119,Hraci!$A$1:$I$1500,3,0)," ")</f>
        <v>Petr</v>
      </c>
      <c r="L119" s="471" t="str">
        <f ca="1">IF(N(I119)&gt;0,VLOOKUP(I119,Hraci!$A$1:$I$1500,5,0),IF(TYPE(INDIRECT(ADDRESS(ROW() + $A$9-9 + (ROW()-11)*4,3,1,1,"Internet")))&gt;1,INDIRECT(ADDRESS(ROW() + $A$9-9 + (ROW()-11)*4,3,1,1,"Internet"))," "))</f>
        <v>JAPKO</v>
      </c>
      <c r="M119" s="472">
        <f ca="1">IF(N(I119)=0,9999,VLOOKUP(I119,Hraci!$A$1:$I$1500,8,0))</f>
        <v>245</v>
      </c>
      <c r="N119" s="473">
        <f ca="1">IF(N(I119)=0,0,VLOOKUP(I119,Hraci!$A$1:$I$1500,9,0))</f>
        <v>10.72</v>
      </c>
      <c r="O119" s="469" t="str">
        <f t="shared" ca="1" si="55"/>
        <v/>
      </c>
      <c r="P119" s="470" t="str">
        <f ca="1">IF(N(O119)&gt;0,VLOOKUP(O119,Hraci!$A$1:$I$1500,2,0),IF(TYPE(INDIRECT(ADDRESS(ROW() + $A$9-8 + (ROW()-11)*4,2,1,1,"Internet")))&gt;1,INDIRECT(ADDRESS(ROW() + $A$9-8 + (ROW()-11)*4,2,1,1,"Internet"))," "))</f>
        <v xml:space="preserve"> </v>
      </c>
      <c r="Q119" s="471" t="str">
        <f ca="1">IF(N(O119)&gt;0,VLOOKUP(O119,Hraci!$A$1:$I$1500,3,0)," ")</f>
        <v xml:space="preserve"> </v>
      </c>
      <c r="R119" s="471" t="str">
        <f ca="1">IF(N(O119)&gt;0,VLOOKUP(O119,Hraci!$A$1:$I$1500,5,0),IF(TYPE(INDIRECT(ADDRESS(ROW() + $A$9-8 + (ROW()-11)*4,3,1,1,"Internet")))&gt;1,INDIRECT(ADDRESS(ROW() + $A$9-8 + (ROW()-11)*4,3,1,1,"Internet"))," "))</f>
        <v xml:space="preserve"> </v>
      </c>
      <c r="S119" s="472">
        <f ca="1">IF(N(O119)=0,9999,VLOOKUP(O119,Hraci!$A$1:$I$1500,8,0))</f>
        <v>9999</v>
      </c>
      <c r="T119" s="473">
        <f ca="1">IF(N(O119)=0,0,VLOOKUP(O119,Hraci!$A$1:$I$1500,9,0))</f>
        <v>0</v>
      </c>
      <c r="U119" s="469" t="str">
        <f t="shared" ca="1" si="56"/>
        <v/>
      </c>
      <c r="V119" s="470" t="str">
        <f ca="1">IF(N(U119)&gt;0,VLOOKUP(U119,Hraci!$A$1:$I$1500,2,0),IF(TYPE(INDIRECT(ADDRESS(ROW() + $A$9-7 + (ROW()-11)*4,2,1,1,"Internet")))&gt;1,INDIRECT(ADDRESS(ROW() + $A$9-7 + (ROW()-11)*4,2,1,1,"Internet"))," "))</f>
        <v xml:space="preserve"> </v>
      </c>
      <c r="W119" s="471" t="str">
        <f ca="1">IF(N(U119)&gt;0,VLOOKUP(U119,Hraci!$A$1:$I$1500,3,0)," ")</f>
        <v xml:space="preserve"> </v>
      </c>
      <c r="X119" s="471" t="str">
        <f ca="1">IF(N(U119)&gt;0,VLOOKUP(U119,Hraci!$A$1:$I$1500,5,0),IF(TYPE(INDIRECT(ADDRESS(ROW() + $A$9-7 + (ROW()-11)*4,3,1,1,"Internet")))&gt;1,INDIRECT(ADDRESS(ROW() + $A$9-7 + (ROW()-11)*4,3,1,1,"Internet"))," "))</f>
        <v xml:space="preserve"> </v>
      </c>
      <c r="Y119" s="472">
        <f ca="1">IF(N(U119)=0,9999,VLOOKUP(U119,Hraci!$A$1:$I$1500,8,0))</f>
        <v>9999</v>
      </c>
      <c r="Z119" s="473">
        <f ca="1">IF(N(U119)=0,0,VLOOKUP(U119,Hraci!$A$1:$I$1500,9,0))</f>
        <v>0</v>
      </c>
      <c r="AA119" s="469" t="str">
        <f t="shared" ca="1" si="57"/>
        <v/>
      </c>
      <c r="AB119" s="470" t="str">
        <f ca="1">IF(N(AA119)&gt;0,VLOOKUP(AA119,Hraci!$A$1:$I$1500,2,0)," ")</f>
        <v xml:space="preserve"> </v>
      </c>
      <c r="AC119" s="471" t="str">
        <f ca="1">IF(N(AA119)&gt;0,VLOOKUP(AA119,Hraci!$A$1:$I$1500,3,0)," ")</f>
        <v xml:space="preserve"> </v>
      </c>
      <c r="AD119" s="471" t="str">
        <f ca="1">IF(N(AA119)&gt;0,VLOOKUP(AA119,Hraci!$A$1:$I$1500,5,0)," ")</f>
        <v xml:space="preserve"> </v>
      </c>
      <c r="AE119" s="472">
        <f ca="1">IF(N(AA119)=0,9999,VLOOKUP(AA119,Hraci!$A$1:$I$1500,8,0))</f>
        <v>9999</v>
      </c>
      <c r="AF119" s="473">
        <f ca="1">IF(N(AA119)=0,0,VLOOKUP(AA119,Hraci!$A$1:$I$1500,9,0))</f>
        <v>0</v>
      </c>
      <c r="AG119" s="474"/>
      <c r="AH119" s="480">
        <v>86</v>
      </c>
      <c r="AI119" s="475">
        <f ca="1">IF(N($AH119)&gt;0,VLOOKUP($AH119,Body!$A$4:$F$259,5,0),"")</f>
        <v>553.40650000000005</v>
      </c>
      <c r="AJ119" s="476">
        <f ca="1">IF(N($AH119)&gt;0,VLOOKUP($AH119,Body!$A$4:$F$259,6,0),"")</f>
        <v>200</v>
      </c>
      <c r="AK119" s="475">
        <f ca="1">IF(N($AH119)&gt;0,VLOOKUP($AH119,Body!$A$4:$F$259,2,0),"")</f>
        <v>8</v>
      </c>
      <c r="AL119" s="477" t="str">
        <f t="shared" ca="1" si="58"/>
        <v>109 JAPKO - Stejskal Petr</v>
      </c>
      <c r="AM119" s="478">
        <f t="shared" ca="1" si="59"/>
        <v>10.72</v>
      </c>
      <c r="AN119" s="408">
        <f ca="1">IF(OR(TYPE(I119)&gt;1,TYPE(MATCH(I119,I120:I$267,0))&gt;1),0,MATCH(I119,I120:I$267,0))+IF(OR(TYPE(I119)&gt;1,TYPE(MATCH(I119,O$11:O$267,0))&gt;1),0,MATCH(I119,O$11:O$267,0))+IF(OR(TYPE(I119)&gt;1,TYPE(MATCH(I119,U$11:U$267,0))&gt;1),0,MATCH(I119,U$11:U$267,0))+IF(OR(TYPE(I119)&gt;1,TYPE(MATCH(I119,AA$11:AA$267,0))&gt;1),0,MATCH(I119,AA$11:AA$267,0))</f>
        <v>0</v>
      </c>
      <c r="AO119" s="408">
        <f ca="1">IF(OR(TYPE(O119)&gt;1,TYPE(MATCH(O119,I$11:I$267,0))&gt;1),0,MATCH(O119,I$11:I$267,0))+IF(OR(TYPE(O119)&gt;1,TYPE(MATCH(O119,O120:O$267,0))&gt;1),0,MATCH(O119,O120:O$267,0))+IF(OR(TYPE(O119)&gt;1,TYPE(MATCH(O119,U$11:U$267,0))&gt;1),0,MATCH(O119,U$11:U$267,0))+IF(OR(TYPE(O119)&gt;1,TYPE(MATCH(O119,AA$11:AA$267,0))&gt;1),0,MATCH(O119,AA$11:AA$267,0))</f>
        <v>0</v>
      </c>
      <c r="AP119" s="408">
        <f ca="1">IF(OR(TYPE(U119)&gt;1,TYPE(MATCH(U119,I$11:I$267,0))&gt;1),0,MATCH(U119,I$11:I$267,0))+IF(OR(TYPE(U119)&gt;1,TYPE(MATCH(U119,O$11:O$267,0))&gt;1),0,MATCH(U119,O$11:O$267,0))+IF(OR(TYPE(U119)&gt;1,TYPE(MATCH(U119,U120:U$267,0))&gt;1),0,MATCH(U119,U120:U$267,0))+IF(OR(TYPE(U119)&gt;1,TYPE(MATCH(U119,AA$11:AA$267,0))&gt;1),0,MATCH(U119,AA$11:AA$267,0))</f>
        <v>0</v>
      </c>
      <c r="AQ119" s="408">
        <f ca="1">IF(OR(TYPE(AA119)&gt;1,TYPE(MATCH(AA119,I$11:I$267,0))&gt;1),0,MATCH(AA119,I$11:I$267,0))+IF(OR(TYPE(AA119)&gt;1,TYPE(MATCH(AA119,O$11:O$267,0))&gt;1),0,MATCH(AA119,O$11:O$267,0))+IF(OR(TYPE(AA119)&gt;1,TYPE(MATCH(AA119,U$11:U$267,0))&gt;1),0,MATCH(U119,U$11:U$267,0))+IF(OR(TYPE(AA119)&gt;1,TYPE(MATCH(AA119,AA120:AA$267,0))&gt;1),0,MATCH(AA119,AA120:AA$267,0))</f>
        <v>0</v>
      </c>
      <c r="AR119" s="408">
        <f t="shared" ca="1" si="44"/>
        <v>0</v>
      </c>
      <c r="BF119" s="408">
        <f t="shared" si="45"/>
        <v>109</v>
      </c>
    </row>
    <row r="120" spans="1:58" ht="14.25">
      <c r="A120" s="430">
        <f t="shared" ca="1" si="46"/>
        <v>1</v>
      </c>
      <c r="B120" s="430">
        <f t="shared" ca="1" si="47"/>
        <v>1</v>
      </c>
      <c r="C120" s="430">
        <f t="shared" ca="1" si="48"/>
        <v>10.656000000000001</v>
      </c>
      <c r="D120" s="430">
        <f t="shared" ca="1" si="49"/>
        <v>20224</v>
      </c>
      <c r="E120" s="430">
        <f t="shared" ca="1" si="50"/>
        <v>226</v>
      </c>
      <c r="F120" s="431" t="str">
        <f t="shared" ca="1" si="51"/>
        <v>01000000000000000000739325</v>
      </c>
      <c r="G120" s="467" t="b">
        <f t="shared" ca="1" si="52"/>
        <v>0</v>
      </c>
      <c r="H120" s="468">
        <f t="shared" si="53"/>
        <v>110</v>
      </c>
      <c r="I120" s="469">
        <f t="shared" ca="1" si="54"/>
        <v>18124</v>
      </c>
      <c r="J120" s="470" t="str">
        <f ca="1">IF(N(I120)&gt;0,VLOOKUP(I120,Hraci!$A$1:$I$1500,2,0),IF(TYPE(INDIRECT(ADDRESS(ROW() + $A$9-9 + (ROW()-11)*4,2,1,1,"Internet")))&gt;1,INDIRECT(ADDRESS(ROW() + $A$9-9 + (ROW()-11)*4,2,1,1,"Internet"))," "))</f>
        <v>Valošková</v>
      </c>
      <c r="K120" s="471" t="str">
        <f ca="1">IF(N(I120)&gt;0,VLOOKUP(I120,Hraci!$A$1:$I$1500,3,0)," ")</f>
        <v>Sára</v>
      </c>
      <c r="L120" s="471" t="str">
        <f ca="1">IF(N(I120)&gt;0,VLOOKUP(I120,Hraci!$A$1:$I$1500,5,0),IF(TYPE(INDIRECT(ADDRESS(ROW() + $A$9-9 + (ROW()-11)*4,3,1,1,"Internet")))&gt;1,INDIRECT(ADDRESS(ROW() + $A$9-9 + (ROW()-11)*4,3,1,1,"Internet"))," "))</f>
        <v>PK Polouvsí</v>
      </c>
      <c r="M120" s="472">
        <f ca="1">IF(N(I120)=0,9999,VLOOKUP(I120,Hraci!$A$1:$I$1500,8,0))</f>
        <v>226</v>
      </c>
      <c r="N120" s="473">
        <f ca="1">IF(N(I120)=0,0,VLOOKUP(I120,Hraci!$A$1:$I$1500,9,0))</f>
        <v>10.656000000000001</v>
      </c>
      <c r="O120" s="469" t="str">
        <f t="shared" ca="1" si="55"/>
        <v/>
      </c>
      <c r="P120" s="470" t="str">
        <f ca="1">IF(N(O120)&gt;0,VLOOKUP(O120,Hraci!$A$1:$I$1500,2,0),IF(TYPE(INDIRECT(ADDRESS(ROW() + $A$9-8 + (ROW()-11)*4,2,1,1,"Internet")))&gt;1,INDIRECT(ADDRESS(ROW() + $A$9-8 + (ROW()-11)*4,2,1,1,"Internet"))," "))</f>
        <v xml:space="preserve"> </v>
      </c>
      <c r="Q120" s="471" t="str">
        <f ca="1">IF(N(O120)&gt;0,VLOOKUP(O120,Hraci!$A$1:$I$1500,3,0)," ")</f>
        <v xml:space="preserve"> </v>
      </c>
      <c r="R120" s="471" t="str">
        <f ca="1">IF(N(O120)&gt;0,VLOOKUP(O120,Hraci!$A$1:$I$1500,5,0),IF(TYPE(INDIRECT(ADDRESS(ROW() + $A$9-8 + (ROW()-11)*4,3,1,1,"Internet")))&gt;1,INDIRECT(ADDRESS(ROW() + $A$9-8 + (ROW()-11)*4,3,1,1,"Internet"))," "))</f>
        <v xml:space="preserve"> </v>
      </c>
      <c r="S120" s="472">
        <f ca="1">IF(N(O120)=0,9999,VLOOKUP(O120,Hraci!$A$1:$I$1500,8,0))</f>
        <v>9999</v>
      </c>
      <c r="T120" s="473">
        <f ca="1">IF(N(O120)=0,0,VLOOKUP(O120,Hraci!$A$1:$I$1500,9,0))</f>
        <v>0</v>
      </c>
      <c r="U120" s="469" t="str">
        <f t="shared" ca="1" si="56"/>
        <v/>
      </c>
      <c r="V120" s="470" t="str">
        <f ca="1">IF(N(U120)&gt;0,VLOOKUP(U120,Hraci!$A$1:$I$1500,2,0),IF(TYPE(INDIRECT(ADDRESS(ROW() + $A$9-7 + (ROW()-11)*4,2,1,1,"Internet")))&gt;1,INDIRECT(ADDRESS(ROW() + $A$9-7 + (ROW()-11)*4,2,1,1,"Internet"))," "))</f>
        <v xml:space="preserve"> </v>
      </c>
      <c r="W120" s="471" t="str">
        <f ca="1">IF(N(U120)&gt;0,VLOOKUP(U120,Hraci!$A$1:$I$1500,3,0)," ")</f>
        <v xml:space="preserve"> </v>
      </c>
      <c r="X120" s="471" t="str">
        <f ca="1">IF(N(U120)&gt;0,VLOOKUP(U120,Hraci!$A$1:$I$1500,5,0),IF(TYPE(INDIRECT(ADDRESS(ROW() + $A$9-7 + (ROW()-11)*4,3,1,1,"Internet")))&gt;1,INDIRECT(ADDRESS(ROW() + $A$9-7 + (ROW()-11)*4,3,1,1,"Internet"))," "))</f>
        <v xml:space="preserve"> </v>
      </c>
      <c r="Y120" s="472">
        <f ca="1">IF(N(U120)=0,9999,VLOOKUP(U120,Hraci!$A$1:$I$1500,8,0))</f>
        <v>9999</v>
      </c>
      <c r="Z120" s="473">
        <f ca="1">IF(N(U120)=0,0,VLOOKUP(U120,Hraci!$A$1:$I$1500,9,0))</f>
        <v>0</v>
      </c>
      <c r="AA120" s="469" t="str">
        <f t="shared" ca="1" si="57"/>
        <v/>
      </c>
      <c r="AB120" s="470" t="str">
        <f ca="1">IF(N(AA120)&gt;0,VLOOKUP(AA120,Hraci!$A$1:$I$1500,2,0)," ")</f>
        <v xml:space="preserve"> </v>
      </c>
      <c r="AC120" s="471" t="str">
        <f ca="1">IF(N(AA120)&gt;0,VLOOKUP(AA120,Hraci!$A$1:$I$1500,3,0)," ")</f>
        <v xml:space="preserve"> </v>
      </c>
      <c r="AD120" s="471" t="str">
        <f ca="1">IF(N(AA120)&gt;0,VLOOKUP(AA120,Hraci!$A$1:$I$1500,5,0)," ")</f>
        <v xml:space="preserve"> </v>
      </c>
      <c r="AE120" s="472">
        <f ca="1">IF(N(AA120)=0,9999,VLOOKUP(AA120,Hraci!$A$1:$I$1500,8,0))</f>
        <v>9999</v>
      </c>
      <c r="AF120" s="473">
        <f ca="1">IF(N(AA120)=0,0,VLOOKUP(AA120,Hraci!$A$1:$I$1500,9,0))</f>
        <v>0</v>
      </c>
      <c r="AG120" s="474"/>
      <c r="AH120" s="480">
        <v>32</v>
      </c>
      <c r="AI120" s="475">
        <f ca="1">IF(N($AH120)&gt;0,VLOOKUP($AH120,Body!$A$4:$F$259,5,0),"")</f>
        <v>332.52743750000002</v>
      </c>
      <c r="AJ120" s="476">
        <f ca="1">IF(N($AH120)&gt;0,VLOOKUP($AH120,Body!$A$4:$F$259,6,0),"")</f>
        <v>200</v>
      </c>
      <c r="AK120" s="475">
        <f ca="1">IF(N($AH120)&gt;0,VLOOKUP($AH120,Body!$A$4:$F$259,2,0),"")</f>
        <v>3</v>
      </c>
      <c r="AL120" s="477" t="str">
        <f t="shared" ca="1" si="58"/>
        <v>110 PK Polouvsí - Valošková Sára</v>
      </c>
      <c r="AM120" s="478">
        <f t="shared" ca="1" si="59"/>
        <v>10.656000000000001</v>
      </c>
      <c r="AN120" s="408">
        <f ca="1">IF(OR(TYPE(I120)&gt;1,TYPE(MATCH(I120,I121:I$267,0))&gt;1),0,MATCH(I120,I121:I$267,0))+IF(OR(TYPE(I120)&gt;1,TYPE(MATCH(I120,O$11:O$267,0))&gt;1),0,MATCH(I120,O$11:O$267,0))+IF(OR(TYPE(I120)&gt;1,TYPE(MATCH(I120,U$11:U$267,0))&gt;1),0,MATCH(I120,U$11:U$267,0))+IF(OR(TYPE(I120)&gt;1,TYPE(MATCH(I120,AA$11:AA$267,0))&gt;1),0,MATCH(I120,AA$11:AA$267,0))</f>
        <v>0</v>
      </c>
      <c r="AO120" s="408">
        <f ca="1">IF(OR(TYPE(O120)&gt;1,TYPE(MATCH(O120,I$11:I$267,0))&gt;1),0,MATCH(O120,I$11:I$267,0))+IF(OR(TYPE(O120)&gt;1,TYPE(MATCH(O120,O121:O$267,0))&gt;1),0,MATCH(O120,O121:O$267,0))+IF(OR(TYPE(O120)&gt;1,TYPE(MATCH(O120,U$11:U$267,0))&gt;1),0,MATCH(O120,U$11:U$267,0))+IF(OR(TYPE(O120)&gt;1,TYPE(MATCH(O120,AA$11:AA$267,0))&gt;1),0,MATCH(O120,AA$11:AA$267,0))</f>
        <v>0</v>
      </c>
      <c r="AP120" s="408">
        <f ca="1">IF(OR(TYPE(U120)&gt;1,TYPE(MATCH(U120,I$11:I$267,0))&gt;1),0,MATCH(U120,I$11:I$267,0))+IF(OR(TYPE(U120)&gt;1,TYPE(MATCH(U120,O$11:O$267,0))&gt;1),0,MATCH(U120,O$11:O$267,0))+IF(OR(TYPE(U120)&gt;1,TYPE(MATCH(U120,U121:U$267,0))&gt;1),0,MATCH(U120,U121:U$267,0))+IF(OR(TYPE(U120)&gt;1,TYPE(MATCH(U120,AA$11:AA$267,0))&gt;1),0,MATCH(U120,AA$11:AA$267,0))</f>
        <v>0</v>
      </c>
      <c r="AQ120" s="408">
        <f ca="1">IF(OR(TYPE(AA120)&gt;1,TYPE(MATCH(AA120,I$11:I$267,0))&gt;1),0,MATCH(AA120,I$11:I$267,0))+IF(OR(TYPE(AA120)&gt;1,TYPE(MATCH(AA120,O$11:O$267,0))&gt;1),0,MATCH(AA120,O$11:O$267,0))+IF(OR(TYPE(AA120)&gt;1,TYPE(MATCH(AA120,U$11:U$267,0))&gt;1),0,MATCH(U120,U$11:U$267,0))+IF(OR(TYPE(AA120)&gt;1,TYPE(MATCH(AA120,AA121:AA$267,0))&gt;1),0,MATCH(AA120,AA121:AA$267,0))</f>
        <v>0</v>
      </c>
      <c r="AR120" s="408">
        <f t="shared" ca="1" si="44"/>
        <v>0</v>
      </c>
      <c r="BF120" s="408">
        <f t="shared" si="45"/>
        <v>110</v>
      </c>
    </row>
    <row r="121" spans="1:58" ht="14.25">
      <c r="A121" s="430">
        <f t="shared" ca="1" si="46"/>
        <v>1</v>
      </c>
      <c r="B121" s="430">
        <f t="shared" ca="1" si="47"/>
        <v>1</v>
      </c>
      <c r="C121" s="430">
        <f t="shared" ca="1" si="48"/>
        <v>10.565</v>
      </c>
      <c r="D121" s="430">
        <f t="shared" ca="1" si="49"/>
        <v>20220</v>
      </c>
      <c r="E121" s="430">
        <f t="shared" ca="1" si="50"/>
        <v>222</v>
      </c>
      <c r="F121" s="431" t="str">
        <f t="shared" ca="1" si="51"/>
        <v>01000000000000000000094198</v>
      </c>
      <c r="G121" s="467" t="b">
        <f t="shared" ca="1" si="52"/>
        <v>0</v>
      </c>
      <c r="H121" s="468">
        <f t="shared" si="53"/>
        <v>111</v>
      </c>
      <c r="I121" s="469">
        <f t="shared" ca="1" si="54"/>
        <v>18134</v>
      </c>
      <c r="J121" s="470" t="str">
        <f ca="1">IF(N(I121)&gt;0,VLOOKUP(I121,Hraci!$A$1:$I$1500,2,0),IF(TYPE(INDIRECT(ADDRESS(ROW() + $A$9-9 + (ROW()-11)*4,2,1,1,"Internet")))&gt;1,INDIRECT(ADDRESS(ROW() + $A$9-9 + (ROW()-11)*4,2,1,1,"Internet"))," "))</f>
        <v>Hůrková</v>
      </c>
      <c r="K121" s="471" t="str">
        <f ca="1">IF(N(I121)&gt;0,VLOOKUP(I121,Hraci!$A$1:$I$1500,3,0)," ")</f>
        <v>Lucie</v>
      </c>
      <c r="L121" s="471" t="str">
        <f ca="1">IF(N(I121)&gt;0,VLOOKUP(I121,Hraci!$A$1:$I$1500,5,0),IF(TYPE(INDIRECT(ADDRESS(ROW() + $A$9-9 + (ROW()-11)*4,3,1,1,"Internet")))&gt;1,INDIRECT(ADDRESS(ROW() + $A$9-9 + (ROW()-11)*4,3,1,1,"Internet"))," "))</f>
        <v>Bowle 09 Klatovy</v>
      </c>
      <c r="M121" s="472">
        <f ca="1">IF(N(I121)=0,9999,VLOOKUP(I121,Hraci!$A$1:$I$1500,8,0))</f>
        <v>222</v>
      </c>
      <c r="N121" s="473">
        <f ca="1">IF(N(I121)=0,0,VLOOKUP(I121,Hraci!$A$1:$I$1500,9,0))</f>
        <v>10.565</v>
      </c>
      <c r="O121" s="469" t="str">
        <f t="shared" ca="1" si="55"/>
        <v/>
      </c>
      <c r="P121" s="470" t="str">
        <f ca="1">IF(N(O121)&gt;0,VLOOKUP(O121,Hraci!$A$1:$I$1500,2,0),IF(TYPE(INDIRECT(ADDRESS(ROW() + $A$9-8 + (ROW()-11)*4,2,1,1,"Internet")))&gt;1,INDIRECT(ADDRESS(ROW() + $A$9-8 + (ROW()-11)*4,2,1,1,"Internet"))," "))</f>
        <v xml:space="preserve"> </v>
      </c>
      <c r="Q121" s="471" t="str">
        <f ca="1">IF(N(O121)&gt;0,VLOOKUP(O121,Hraci!$A$1:$I$1500,3,0)," ")</f>
        <v xml:space="preserve"> </v>
      </c>
      <c r="R121" s="471" t="str">
        <f ca="1">IF(N(O121)&gt;0,VLOOKUP(O121,Hraci!$A$1:$I$1500,5,0),IF(TYPE(INDIRECT(ADDRESS(ROW() + $A$9-8 + (ROW()-11)*4,3,1,1,"Internet")))&gt;1,INDIRECT(ADDRESS(ROW() + $A$9-8 + (ROW()-11)*4,3,1,1,"Internet"))," "))</f>
        <v xml:space="preserve"> </v>
      </c>
      <c r="S121" s="472">
        <f ca="1">IF(N(O121)=0,9999,VLOOKUP(O121,Hraci!$A$1:$I$1500,8,0))</f>
        <v>9999</v>
      </c>
      <c r="T121" s="473">
        <f ca="1">IF(N(O121)=0,0,VLOOKUP(O121,Hraci!$A$1:$I$1500,9,0))</f>
        <v>0</v>
      </c>
      <c r="U121" s="469" t="str">
        <f t="shared" ca="1" si="56"/>
        <v/>
      </c>
      <c r="V121" s="470" t="str">
        <f ca="1">IF(N(U121)&gt;0,VLOOKUP(U121,Hraci!$A$1:$I$1500,2,0),IF(TYPE(INDIRECT(ADDRESS(ROW() + $A$9-7 + (ROW()-11)*4,2,1,1,"Internet")))&gt;1,INDIRECT(ADDRESS(ROW() + $A$9-7 + (ROW()-11)*4,2,1,1,"Internet"))," "))</f>
        <v xml:space="preserve"> </v>
      </c>
      <c r="W121" s="471" t="str">
        <f ca="1">IF(N(U121)&gt;0,VLOOKUP(U121,Hraci!$A$1:$I$1500,3,0)," ")</f>
        <v xml:space="preserve"> </v>
      </c>
      <c r="X121" s="471" t="str">
        <f ca="1">IF(N(U121)&gt;0,VLOOKUP(U121,Hraci!$A$1:$I$1500,5,0),IF(TYPE(INDIRECT(ADDRESS(ROW() + $A$9-7 + (ROW()-11)*4,3,1,1,"Internet")))&gt;1,INDIRECT(ADDRESS(ROW() + $A$9-7 + (ROW()-11)*4,3,1,1,"Internet"))," "))</f>
        <v xml:space="preserve"> </v>
      </c>
      <c r="Y121" s="472">
        <f ca="1">IF(N(U121)=0,9999,VLOOKUP(U121,Hraci!$A$1:$I$1500,8,0))</f>
        <v>9999</v>
      </c>
      <c r="Z121" s="473">
        <f ca="1">IF(N(U121)=0,0,VLOOKUP(U121,Hraci!$A$1:$I$1500,9,0))</f>
        <v>0</v>
      </c>
      <c r="AA121" s="469" t="str">
        <f t="shared" ca="1" si="57"/>
        <v/>
      </c>
      <c r="AB121" s="470" t="str">
        <f ca="1">IF(N(AA121)&gt;0,VLOOKUP(AA121,Hraci!$A$1:$I$1500,2,0)," ")</f>
        <v xml:space="preserve"> </v>
      </c>
      <c r="AC121" s="471" t="str">
        <f ca="1">IF(N(AA121)&gt;0,VLOOKUP(AA121,Hraci!$A$1:$I$1500,3,0)," ")</f>
        <v xml:space="preserve"> </v>
      </c>
      <c r="AD121" s="471" t="str">
        <f ca="1">IF(N(AA121)&gt;0,VLOOKUP(AA121,Hraci!$A$1:$I$1500,5,0)," ")</f>
        <v xml:space="preserve"> </v>
      </c>
      <c r="AE121" s="472">
        <f ca="1">IF(N(AA121)=0,9999,VLOOKUP(AA121,Hraci!$A$1:$I$1500,8,0))</f>
        <v>9999</v>
      </c>
      <c r="AF121" s="473">
        <f ca="1">IF(N(AA121)=0,0,VLOOKUP(AA121,Hraci!$A$1:$I$1500,9,0))</f>
        <v>0</v>
      </c>
      <c r="AG121" s="474"/>
      <c r="AH121" s="480">
        <v>129</v>
      </c>
      <c r="AI121" s="475">
        <f ca="1">IF(N($AH121)&gt;0,VLOOKUP($AH121,Body!$A$4:$F$259,5,0),"")</f>
        <v>553.40650000000005</v>
      </c>
      <c r="AJ121" s="476">
        <f ca="1">IF(N($AH121)&gt;0,VLOOKUP($AH121,Body!$A$4:$F$259,6,0),"")</f>
        <v>200</v>
      </c>
      <c r="AK121" s="475">
        <f ca="1">IF(N($AH121)&gt;0,VLOOKUP($AH121,Body!$A$4:$F$259,2,0),"")</f>
        <v>8</v>
      </c>
      <c r="AL121" s="477" t="str">
        <f t="shared" ca="1" si="58"/>
        <v>111 Bowle 09 Klatovy - Hůrková Lucie</v>
      </c>
      <c r="AM121" s="478">
        <f t="shared" ca="1" si="59"/>
        <v>10.565</v>
      </c>
      <c r="AN121" s="408">
        <f ca="1">IF(OR(TYPE(I121)&gt;1,TYPE(MATCH(I121,I122:I$267,0))&gt;1),0,MATCH(I121,I122:I$267,0))+IF(OR(TYPE(I121)&gt;1,TYPE(MATCH(I121,O$11:O$267,0))&gt;1),0,MATCH(I121,O$11:O$267,0))+IF(OR(TYPE(I121)&gt;1,TYPE(MATCH(I121,U$11:U$267,0))&gt;1),0,MATCH(I121,U$11:U$267,0))+IF(OR(TYPE(I121)&gt;1,TYPE(MATCH(I121,AA$11:AA$267,0))&gt;1),0,MATCH(I121,AA$11:AA$267,0))</f>
        <v>0</v>
      </c>
      <c r="AO121" s="408">
        <f ca="1">IF(OR(TYPE(O121)&gt;1,TYPE(MATCH(O121,I$11:I$267,0))&gt;1),0,MATCH(O121,I$11:I$267,0))+IF(OR(TYPE(O121)&gt;1,TYPE(MATCH(O121,O122:O$267,0))&gt;1),0,MATCH(O121,O122:O$267,0))+IF(OR(TYPE(O121)&gt;1,TYPE(MATCH(O121,U$11:U$267,0))&gt;1),0,MATCH(O121,U$11:U$267,0))+IF(OR(TYPE(O121)&gt;1,TYPE(MATCH(O121,AA$11:AA$267,0))&gt;1),0,MATCH(O121,AA$11:AA$267,0))</f>
        <v>0</v>
      </c>
      <c r="AP121" s="408">
        <f ca="1">IF(OR(TYPE(U121)&gt;1,TYPE(MATCH(U121,I$11:I$267,0))&gt;1),0,MATCH(U121,I$11:I$267,0))+IF(OR(TYPE(U121)&gt;1,TYPE(MATCH(U121,O$11:O$267,0))&gt;1),0,MATCH(U121,O$11:O$267,0))+IF(OR(TYPE(U121)&gt;1,TYPE(MATCH(U121,U122:U$267,0))&gt;1),0,MATCH(U121,U122:U$267,0))+IF(OR(TYPE(U121)&gt;1,TYPE(MATCH(U121,AA$11:AA$267,0))&gt;1),0,MATCH(U121,AA$11:AA$267,0))</f>
        <v>0</v>
      </c>
      <c r="AQ121" s="408">
        <f ca="1">IF(OR(TYPE(AA121)&gt;1,TYPE(MATCH(AA121,I$11:I$267,0))&gt;1),0,MATCH(AA121,I$11:I$267,0))+IF(OR(TYPE(AA121)&gt;1,TYPE(MATCH(AA121,O$11:O$267,0))&gt;1),0,MATCH(AA121,O$11:O$267,0))+IF(OR(TYPE(AA121)&gt;1,TYPE(MATCH(AA121,U$11:U$267,0))&gt;1),0,MATCH(U121,U$11:U$267,0))+IF(OR(TYPE(AA121)&gt;1,TYPE(MATCH(AA121,AA122:AA$267,0))&gt;1),0,MATCH(AA121,AA122:AA$267,0))</f>
        <v>0</v>
      </c>
      <c r="AR121" s="408">
        <f t="shared" ca="1" si="44"/>
        <v>0</v>
      </c>
      <c r="BF121" s="408">
        <f t="shared" si="45"/>
        <v>111</v>
      </c>
    </row>
    <row r="122" spans="1:58" ht="14.25">
      <c r="A122" s="430">
        <f t="shared" ca="1" si="46"/>
        <v>1</v>
      </c>
      <c r="B122" s="430">
        <f t="shared" ca="1" si="47"/>
        <v>1</v>
      </c>
      <c r="C122" s="430">
        <f t="shared" ca="1" si="48"/>
        <v>9.875</v>
      </c>
      <c r="D122" s="430">
        <f t="shared" ca="1" si="49"/>
        <v>20185</v>
      </c>
      <c r="E122" s="430">
        <f t="shared" ca="1" si="50"/>
        <v>187</v>
      </c>
      <c r="F122" s="431" t="str">
        <f t="shared" ca="1" si="51"/>
        <v>01000000000000000000341514</v>
      </c>
      <c r="G122" s="467" t="b">
        <f t="shared" ca="1" si="52"/>
        <v>0</v>
      </c>
      <c r="H122" s="468">
        <f t="shared" si="53"/>
        <v>112</v>
      </c>
      <c r="I122" s="469">
        <f t="shared" ca="1" si="54"/>
        <v>15059</v>
      </c>
      <c r="J122" s="470" t="str">
        <f ca="1">IF(N(I122)&gt;0,VLOOKUP(I122,Hraci!$A$1:$I$1500,2,0),IF(TYPE(INDIRECT(ADDRESS(ROW() + $A$9-9 + (ROW()-11)*4,2,1,1,"Internet")))&gt;1,INDIRECT(ADDRESS(ROW() + $A$9-9 + (ROW()-11)*4,2,1,1,"Internet"))," "))</f>
        <v>Gröschl</v>
      </c>
      <c r="K122" s="471" t="str">
        <f ca="1">IF(N(I122)&gt;0,VLOOKUP(I122,Hraci!$A$1:$I$1500,3,0)," ")</f>
        <v>Zdeněk</v>
      </c>
      <c r="L122" s="471" t="str">
        <f ca="1">IF(N(I122)&gt;0,VLOOKUP(I122,Hraci!$A$1:$I$1500,5,0),IF(TYPE(INDIRECT(ADDRESS(ROW() + $A$9-9 + (ROW()-11)*4,3,1,1,"Internet")))&gt;1,INDIRECT(ADDRESS(ROW() + $A$9-9 + (ROW()-11)*4,3,1,1,"Internet"))," "))</f>
        <v>SK Sahara Vědomice</v>
      </c>
      <c r="M122" s="472">
        <f ca="1">IF(N(I122)=0,9999,VLOOKUP(I122,Hraci!$A$1:$I$1500,8,0))</f>
        <v>187</v>
      </c>
      <c r="N122" s="473">
        <f ca="1">IF(N(I122)=0,0,VLOOKUP(I122,Hraci!$A$1:$I$1500,9,0))</f>
        <v>9.875</v>
      </c>
      <c r="O122" s="469" t="str">
        <f t="shared" ca="1" si="55"/>
        <v/>
      </c>
      <c r="P122" s="470" t="str">
        <f ca="1">IF(N(O122)&gt;0,VLOOKUP(O122,Hraci!$A$1:$I$1500,2,0),IF(TYPE(INDIRECT(ADDRESS(ROW() + $A$9-8 + (ROW()-11)*4,2,1,1,"Internet")))&gt;1,INDIRECT(ADDRESS(ROW() + $A$9-8 + (ROW()-11)*4,2,1,1,"Internet"))," "))</f>
        <v xml:space="preserve"> </v>
      </c>
      <c r="Q122" s="471" t="str">
        <f ca="1">IF(N(O122)&gt;0,VLOOKUP(O122,Hraci!$A$1:$I$1500,3,0)," ")</f>
        <v xml:space="preserve"> </v>
      </c>
      <c r="R122" s="471" t="str">
        <f ca="1">IF(N(O122)&gt;0,VLOOKUP(O122,Hraci!$A$1:$I$1500,5,0),IF(TYPE(INDIRECT(ADDRESS(ROW() + $A$9-8 + (ROW()-11)*4,3,1,1,"Internet")))&gt;1,INDIRECT(ADDRESS(ROW() + $A$9-8 + (ROW()-11)*4,3,1,1,"Internet"))," "))</f>
        <v xml:space="preserve"> </v>
      </c>
      <c r="S122" s="472">
        <f ca="1">IF(N(O122)=0,9999,VLOOKUP(O122,Hraci!$A$1:$I$1500,8,0))</f>
        <v>9999</v>
      </c>
      <c r="T122" s="473">
        <f ca="1">IF(N(O122)=0,0,VLOOKUP(O122,Hraci!$A$1:$I$1500,9,0))</f>
        <v>0</v>
      </c>
      <c r="U122" s="469" t="str">
        <f t="shared" ca="1" si="56"/>
        <v/>
      </c>
      <c r="V122" s="470" t="str">
        <f ca="1">IF(N(U122)&gt;0,VLOOKUP(U122,Hraci!$A$1:$I$1500,2,0),IF(TYPE(INDIRECT(ADDRESS(ROW() + $A$9-7 + (ROW()-11)*4,2,1,1,"Internet")))&gt;1,INDIRECT(ADDRESS(ROW() + $A$9-7 + (ROW()-11)*4,2,1,1,"Internet"))," "))</f>
        <v xml:space="preserve"> </v>
      </c>
      <c r="W122" s="471" t="str">
        <f ca="1">IF(N(U122)&gt;0,VLOOKUP(U122,Hraci!$A$1:$I$1500,3,0)," ")</f>
        <v xml:space="preserve"> </v>
      </c>
      <c r="X122" s="471" t="str">
        <f ca="1">IF(N(U122)&gt;0,VLOOKUP(U122,Hraci!$A$1:$I$1500,5,0),IF(TYPE(INDIRECT(ADDRESS(ROW() + $A$9-7 + (ROW()-11)*4,3,1,1,"Internet")))&gt;1,INDIRECT(ADDRESS(ROW() + $A$9-7 + (ROW()-11)*4,3,1,1,"Internet"))," "))</f>
        <v xml:space="preserve"> </v>
      </c>
      <c r="Y122" s="472">
        <f ca="1">IF(N(U122)=0,9999,VLOOKUP(U122,Hraci!$A$1:$I$1500,8,0))</f>
        <v>9999</v>
      </c>
      <c r="Z122" s="473">
        <f ca="1">IF(N(U122)=0,0,VLOOKUP(U122,Hraci!$A$1:$I$1500,9,0))</f>
        <v>0</v>
      </c>
      <c r="AA122" s="469" t="str">
        <f t="shared" ca="1" si="57"/>
        <v/>
      </c>
      <c r="AB122" s="470" t="str">
        <f ca="1">IF(N(AA122)&gt;0,VLOOKUP(AA122,Hraci!$A$1:$I$1500,2,0)," ")</f>
        <v xml:space="preserve"> </v>
      </c>
      <c r="AC122" s="471" t="str">
        <f ca="1">IF(N(AA122)&gt;0,VLOOKUP(AA122,Hraci!$A$1:$I$1500,3,0)," ")</f>
        <v xml:space="preserve"> </v>
      </c>
      <c r="AD122" s="471" t="str">
        <f ca="1">IF(N(AA122)&gt;0,VLOOKUP(AA122,Hraci!$A$1:$I$1500,5,0)," ")</f>
        <v xml:space="preserve"> </v>
      </c>
      <c r="AE122" s="472">
        <f ca="1">IF(N(AA122)=0,9999,VLOOKUP(AA122,Hraci!$A$1:$I$1500,8,0))</f>
        <v>9999</v>
      </c>
      <c r="AF122" s="473">
        <f ca="1">IF(N(AA122)=0,0,VLOOKUP(AA122,Hraci!$A$1:$I$1500,9,0))</f>
        <v>0</v>
      </c>
      <c r="AG122" s="474"/>
      <c r="AH122" s="480">
        <f ca="1">IF(TYPE(VLOOKUP(H122,Nasazení!$A$3:$E$258,5,0))&lt;4,VLOOKUP(H122,Nasazení!$A$3:$E$258,5,0),0)</f>
        <v>64</v>
      </c>
      <c r="AI122" s="475">
        <f ca="1">IF(N($AH122)&gt;0,VLOOKUP($AH122,Body!$A$4:$F$259,5,0),"")</f>
        <v>288.35162500000001</v>
      </c>
      <c r="AJ122" s="476">
        <f ca="1">IF(N($AH122)&gt;0,VLOOKUP($AH122,Body!$A$4:$F$259,6,0),"")</f>
        <v>200</v>
      </c>
      <c r="AK122" s="475">
        <f ca="1">IF(N($AH122)&gt;0,VLOOKUP($AH122,Body!$A$4:$F$259,2,0),"")</f>
        <v>2</v>
      </c>
      <c r="AL122" s="477" t="str">
        <f t="shared" ca="1" si="58"/>
        <v>112 SK Sahara Vědomice - Gröschl Zdeněk</v>
      </c>
      <c r="AM122" s="478">
        <f t="shared" ca="1" si="59"/>
        <v>9.875</v>
      </c>
      <c r="AN122" s="408">
        <f ca="1">IF(OR(TYPE(I122)&gt;1,TYPE(MATCH(I122,I123:I$267,0))&gt;1),0,MATCH(I122,I123:I$267,0))+IF(OR(TYPE(I122)&gt;1,TYPE(MATCH(I122,O$11:O$267,0))&gt;1),0,MATCH(I122,O$11:O$267,0))+IF(OR(TYPE(I122)&gt;1,TYPE(MATCH(I122,U$11:U$267,0))&gt;1),0,MATCH(I122,U$11:U$267,0))+IF(OR(TYPE(I122)&gt;1,TYPE(MATCH(I122,AA$11:AA$267,0))&gt;1),0,MATCH(I122,AA$11:AA$267,0))</f>
        <v>0</v>
      </c>
      <c r="AO122" s="408">
        <f ca="1">IF(OR(TYPE(O122)&gt;1,TYPE(MATCH(O122,I$11:I$267,0))&gt;1),0,MATCH(O122,I$11:I$267,0))+IF(OR(TYPE(O122)&gt;1,TYPE(MATCH(O122,O123:O$267,0))&gt;1),0,MATCH(O122,O123:O$267,0))+IF(OR(TYPE(O122)&gt;1,TYPE(MATCH(O122,U$11:U$267,0))&gt;1),0,MATCH(O122,U$11:U$267,0))+IF(OR(TYPE(O122)&gt;1,TYPE(MATCH(O122,AA$11:AA$267,0))&gt;1),0,MATCH(O122,AA$11:AA$267,0))</f>
        <v>0</v>
      </c>
      <c r="AP122" s="408">
        <f ca="1">IF(OR(TYPE(U122)&gt;1,TYPE(MATCH(U122,I$11:I$267,0))&gt;1),0,MATCH(U122,I$11:I$267,0))+IF(OR(TYPE(U122)&gt;1,TYPE(MATCH(U122,O$11:O$267,0))&gt;1),0,MATCH(U122,O$11:O$267,0))+IF(OR(TYPE(U122)&gt;1,TYPE(MATCH(U122,U123:U$267,0))&gt;1),0,MATCH(U122,U123:U$267,0))+IF(OR(TYPE(U122)&gt;1,TYPE(MATCH(U122,AA$11:AA$267,0))&gt;1),0,MATCH(U122,AA$11:AA$267,0))</f>
        <v>0</v>
      </c>
      <c r="AQ122" s="408">
        <f ca="1">IF(OR(TYPE(AA122)&gt;1,TYPE(MATCH(AA122,I$11:I$267,0))&gt;1),0,MATCH(AA122,I$11:I$267,0))+IF(OR(TYPE(AA122)&gt;1,TYPE(MATCH(AA122,O$11:O$267,0))&gt;1),0,MATCH(AA122,O$11:O$267,0))+IF(OR(TYPE(AA122)&gt;1,TYPE(MATCH(AA122,U$11:U$267,0))&gt;1),0,MATCH(U122,U$11:U$267,0))+IF(OR(TYPE(AA122)&gt;1,TYPE(MATCH(AA122,AA123:AA$267,0))&gt;1),0,MATCH(AA122,AA123:AA$267,0))</f>
        <v>0</v>
      </c>
      <c r="AR122" s="408">
        <f t="shared" ca="1" si="44"/>
        <v>0</v>
      </c>
      <c r="BF122" s="408">
        <f t="shared" si="45"/>
        <v>112</v>
      </c>
    </row>
    <row r="123" spans="1:58" ht="14.25">
      <c r="A123" s="430">
        <f t="shared" ca="1" si="46"/>
        <v>1</v>
      </c>
      <c r="B123" s="430">
        <f t="shared" ca="1" si="47"/>
        <v>1</v>
      </c>
      <c r="C123" s="430">
        <f t="shared" ca="1" si="48"/>
        <v>9.532</v>
      </c>
      <c r="D123" s="430">
        <f t="shared" ca="1" si="49"/>
        <v>20305</v>
      </c>
      <c r="E123" s="430">
        <f t="shared" ca="1" si="50"/>
        <v>307</v>
      </c>
      <c r="F123" s="431" t="str">
        <f t="shared" ca="1" si="51"/>
        <v>01000000000000000000310219</v>
      </c>
      <c r="G123" s="467" t="b">
        <f t="shared" ca="1" si="52"/>
        <v>0</v>
      </c>
      <c r="H123" s="468">
        <f t="shared" si="53"/>
        <v>113</v>
      </c>
      <c r="I123" s="469">
        <f t="shared" ca="1" si="54"/>
        <v>18072</v>
      </c>
      <c r="J123" s="470" t="str">
        <f ca="1">IF(N(I123)&gt;0,VLOOKUP(I123,Hraci!$A$1:$I$1500,2,0),IF(TYPE(INDIRECT(ADDRESS(ROW() + $A$9-9 + (ROW()-11)*4,2,1,1,"Internet")))&gt;1,INDIRECT(ADDRESS(ROW() + $A$9-9 + (ROW()-11)*4,2,1,1,"Internet"))," "))</f>
        <v>Ondryhal</v>
      </c>
      <c r="K123" s="471" t="str">
        <f ca="1">IF(N(I123)&gt;0,VLOOKUP(I123,Hraci!$A$1:$I$1500,3,0)," ")</f>
        <v>Lukáš</v>
      </c>
      <c r="L123" s="471" t="str">
        <f ca="1">IF(N(I123)&gt;0,VLOOKUP(I123,Hraci!$A$1:$I$1500,5,0),IF(TYPE(INDIRECT(ADDRESS(ROW() + $A$9-9 + (ROW()-11)*4,3,1,1,"Internet")))&gt;1,INDIRECT(ADDRESS(ROW() + $A$9-9 + (ROW()-11)*4,3,1,1,"Internet"))," "))</f>
        <v>PK Polouvsí</v>
      </c>
      <c r="M123" s="472">
        <f ca="1">IF(N(I123)=0,9999,VLOOKUP(I123,Hraci!$A$1:$I$1500,8,0))</f>
        <v>307</v>
      </c>
      <c r="N123" s="473">
        <f ca="1">IF(N(I123)=0,0,VLOOKUP(I123,Hraci!$A$1:$I$1500,9,0))</f>
        <v>9.532</v>
      </c>
      <c r="O123" s="469" t="str">
        <f t="shared" ca="1" si="55"/>
        <v/>
      </c>
      <c r="P123" s="470" t="str">
        <f ca="1">IF(N(O123)&gt;0,VLOOKUP(O123,Hraci!$A$1:$I$1500,2,0),IF(TYPE(INDIRECT(ADDRESS(ROW() + $A$9-8 + (ROW()-11)*4,2,1,1,"Internet")))&gt;1,INDIRECT(ADDRESS(ROW() + $A$9-8 + (ROW()-11)*4,2,1,1,"Internet"))," "))</f>
        <v xml:space="preserve"> </v>
      </c>
      <c r="Q123" s="471" t="str">
        <f ca="1">IF(N(O123)&gt;0,VLOOKUP(O123,Hraci!$A$1:$I$1500,3,0)," ")</f>
        <v xml:space="preserve"> </v>
      </c>
      <c r="R123" s="471" t="str">
        <f ca="1">IF(N(O123)&gt;0,VLOOKUP(O123,Hraci!$A$1:$I$1500,5,0),IF(TYPE(INDIRECT(ADDRESS(ROW() + $A$9-8 + (ROW()-11)*4,3,1,1,"Internet")))&gt;1,INDIRECT(ADDRESS(ROW() + $A$9-8 + (ROW()-11)*4,3,1,1,"Internet"))," "))</f>
        <v xml:space="preserve"> </v>
      </c>
      <c r="S123" s="472">
        <f ca="1">IF(N(O123)=0,9999,VLOOKUP(O123,Hraci!$A$1:$I$1500,8,0))</f>
        <v>9999</v>
      </c>
      <c r="T123" s="473">
        <f ca="1">IF(N(O123)=0,0,VLOOKUP(O123,Hraci!$A$1:$I$1500,9,0))</f>
        <v>0</v>
      </c>
      <c r="U123" s="469" t="str">
        <f t="shared" ca="1" si="56"/>
        <v/>
      </c>
      <c r="V123" s="470" t="str">
        <f ca="1">IF(N(U123)&gt;0,VLOOKUP(U123,Hraci!$A$1:$I$1500,2,0),IF(TYPE(INDIRECT(ADDRESS(ROW() + $A$9-7 + (ROW()-11)*4,2,1,1,"Internet")))&gt;1,INDIRECT(ADDRESS(ROW() + $A$9-7 + (ROW()-11)*4,2,1,1,"Internet"))," "))</f>
        <v xml:space="preserve"> </v>
      </c>
      <c r="W123" s="471" t="str">
        <f ca="1">IF(N(U123)&gt;0,VLOOKUP(U123,Hraci!$A$1:$I$1500,3,0)," ")</f>
        <v xml:space="preserve"> </v>
      </c>
      <c r="X123" s="471" t="str">
        <f ca="1">IF(N(U123)&gt;0,VLOOKUP(U123,Hraci!$A$1:$I$1500,5,0),IF(TYPE(INDIRECT(ADDRESS(ROW() + $A$9-7 + (ROW()-11)*4,3,1,1,"Internet")))&gt;1,INDIRECT(ADDRESS(ROW() + $A$9-7 + (ROW()-11)*4,3,1,1,"Internet"))," "))</f>
        <v xml:space="preserve"> </v>
      </c>
      <c r="Y123" s="472">
        <f ca="1">IF(N(U123)=0,9999,VLOOKUP(U123,Hraci!$A$1:$I$1500,8,0))</f>
        <v>9999</v>
      </c>
      <c r="Z123" s="473">
        <f ca="1">IF(N(U123)=0,0,VLOOKUP(U123,Hraci!$A$1:$I$1500,9,0))</f>
        <v>0</v>
      </c>
      <c r="AA123" s="469" t="str">
        <f t="shared" ca="1" si="57"/>
        <v/>
      </c>
      <c r="AB123" s="470" t="str">
        <f ca="1">IF(N(AA123)&gt;0,VLOOKUP(AA123,Hraci!$A$1:$I$1500,2,0)," ")</f>
        <v xml:space="preserve"> </v>
      </c>
      <c r="AC123" s="471" t="str">
        <f ca="1">IF(N(AA123)&gt;0,VLOOKUP(AA123,Hraci!$A$1:$I$1500,3,0)," ")</f>
        <v xml:space="preserve"> </v>
      </c>
      <c r="AD123" s="471" t="str">
        <f ca="1">IF(N(AA123)&gt;0,VLOOKUP(AA123,Hraci!$A$1:$I$1500,5,0)," ")</f>
        <v xml:space="preserve"> </v>
      </c>
      <c r="AE123" s="472">
        <f ca="1">IF(N(AA123)=0,9999,VLOOKUP(AA123,Hraci!$A$1:$I$1500,8,0))</f>
        <v>9999</v>
      </c>
      <c r="AF123" s="473">
        <f ca="1">IF(N(AA123)=0,0,VLOOKUP(AA123,Hraci!$A$1:$I$1500,9,0))</f>
        <v>0</v>
      </c>
      <c r="AG123" s="474"/>
      <c r="AH123" s="480">
        <v>129</v>
      </c>
      <c r="AI123" s="475">
        <f ca="1">IF(N($AH123)&gt;0,VLOOKUP($AH123,Body!$A$4:$F$259,5,0),"")</f>
        <v>553.40650000000005</v>
      </c>
      <c r="AJ123" s="476">
        <f ca="1">IF(N($AH123)&gt;0,VLOOKUP($AH123,Body!$A$4:$F$259,6,0),"")</f>
        <v>200</v>
      </c>
      <c r="AK123" s="475">
        <f ca="1">IF(N($AH123)&gt;0,VLOOKUP($AH123,Body!$A$4:$F$259,2,0),"")</f>
        <v>8</v>
      </c>
      <c r="AL123" s="477" t="str">
        <f t="shared" ca="1" si="58"/>
        <v>113 PK Polouvsí - Ondryhal Lukáš</v>
      </c>
      <c r="AM123" s="478">
        <f t="shared" ca="1" si="59"/>
        <v>9.532</v>
      </c>
      <c r="AN123" s="408">
        <f ca="1">IF(OR(TYPE(I123)&gt;1,TYPE(MATCH(I123,I124:I$267,0))&gt;1),0,MATCH(I123,I124:I$267,0))+IF(OR(TYPE(I123)&gt;1,TYPE(MATCH(I123,O$11:O$267,0))&gt;1),0,MATCH(I123,O$11:O$267,0))+IF(OR(TYPE(I123)&gt;1,TYPE(MATCH(I123,U$11:U$267,0))&gt;1),0,MATCH(I123,U$11:U$267,0))+IF(OR(TYPE(I123)&gt;1,TYPE(MATCH(I123,AA$11:AA$267,0))&gt;1),0,MATCH(I123,AA$11:AA$267,0))</f>
        <v>0</v>
      </c>
      <c r="AO123" s="408">
        <f ca="1">IF(OR(TYPE(O123)&gt;1,TYPE(MATCH(O123,I$11:I$267,0))&gt;1),0,MATCH(O123,I$11:I$267,0))+IF(OR(TYPE(O123)&gt;1,TYPE(MATCH(O123,O124:O$267,0))&gt;1),0,MATCH(O123,O124:O$267,0))+IF(OR(TYPE(O123)&gt;1,TYPE(MATCH(O123,U$11:U$267,0))&gt;1),0,MATCH(O123,U$11:U$267,0))+IF(OR(TYPE(O123)&gt;1,TYPE(MATCH(O123,AA$11:AA$267,0))&gt;1),0,MATCH(O123,AA$11:AA$267,0))</f>
        <v>0</v>
      </c>
      <c r="AP123" s="408">
        <f ca="1">IF(OR(TYPE(U123)&gt;1,TYPE(MATCH(U123,I$11:I$267,0))&gt;1),0,MATCH(U123,I$11:I$267,0))+IF(OR(TYPE(U123)&gt;1,TYPE(MATCH(U123,O$11:O$267,0))&gt;1),0,MATCH(U123,O$11:O$267,0))+IF(OR(TYPE(U123)&gt;1,TYPE(MATCH(U123,U124:U$267,0))&gt;1),0,MATCH(U123,U124:U$267,0))+IF(OR(TYPE(U123)&gt;1,TYPE(MATCH(U123,AA$11:AA$267,0))&gt;1),0,MATCH(U123,AA$11:AA$267,0))</f>
        <v>0</v>
      </c>
      <c r="AQ123" s="408">
        <f ca="1">IF(OR(TYPE(AA123)&gt;1,TYPE(MATCH(AA123,I$11:I$267,0))&gt;1),0,MATCH(AA123,I$11:I$267,0))+IF(OR(TYPE(AA123)&gt;1,TYPE(MATCH(AA123,O$11:O$267,0))&gt;1),0,MATCH(AA123,O$11:O$267,0))+IF(OR(TYPE(AA123)&gt;1,TYPE(MATCH(AA123,U$11:U$267,0))&gt;1),0,MATCH(U123,U$11:U$267,0))+IF(OR(TYPE(AA123)&gt;1,TYPE(MATCH(AA123,AA124:AA$267,0))&gt;1),0,MATCH(AA123,AA124:AA$267,0))</f>
        <v>0</v>
      </c>
      <c r="AR123" s="408">
        <f t="shared" ca="1" si="44"/>
        <v>0</v>
      </c>
      <c r="BF123" s="408">
        <f t="shared" si="45"/>
        <v>113</v>
      </c>
    </row>
    <row r="124" spans="1:58" ht="14.25">
      <c r="A124" s="430">
        <f t="shared" ca="1" si="46"/>
        <v>1</v>
      </c>
      <c r="B124" s="430">
        <f t="shared" ca="1" si="47"/>
        <v>1</v>
      </c>
      <c r="C124" s="430">
        <f t="shared" ca="1" si="48"/>
        <v>9.0790000000000006</v>
      </c>
      <c r="D124" s="430">
        <f t="shared" ca="1" si="49"/>
        <v>20200</v>
      </c>
      <c r="E124" s="430">
        <f t="shared" ca="1" si="50"/>
        <v>202</v>
      </c>
      <c r="F124" s="431" t="str">
        <f t="shared" ca="1" si="51"/>
        <v>01000000000000000000402728</v>
      </c>
      <c r="G124" s="467" t="b">
        <f t="shared" ca="1" si="52"/>
        <v>0</v>
      </c>
      <c r="H124" s="468">
        <f t="shared" si="53"/>
        <v>114</v>
      </c>
      <c r="I124" s="469">
        <f t="shared" ca="1" si="54"/>
        <v>21805</v>
      </c>
      <c r="J124" s="470" t="str">
        <f ca="1">IF(N(I124)&gt;0,VLOOKUP(I124,Hraci!$A$1:$I$1500,2,0),IF(TYPE(INDIRECT(ADDRESS(ROW() + $A$9-9 + (ROW()-11)*4,2,1,1,"Internet")))&gt;1,INDIRECT(ADDRESS(ROW() + $A$9-9 + (ROW()-11)*4,2,1,1,"Internet"))," "))</f>
        <v>Reinbergrová</v>
      </c>
      <c r="K124" s="471" t="str">
        <f ca="1">IF(N(I124)&gt;0,VLOOKUP(I124,Hraci!$A$1:$I$1500,3,0)," ")</f>
        <v>Václava</v>
      </c>
      <c r="L124" s="471" t="str">
        <f ca="1">IF(N(I124)&gt;0,VLOOKUP(I124,Hraci!$A$1:$I$1500,5,0),IF(TYPE(INDIRECT(ADDRESS(ROW() + $A$9-9 + (ROW()-11)*4,3,1,1,"Internet")))&gt;1,INDIRECT(ADDRESS(ROW() + $A$9-9 + (ROW()-11)*4,3,1,1,"Internet"))," "))</f>
        <v>PCP Lipník</v>
      </c>
      <c r="M124" s="472">
        <f ca="1">IF(N(I124)=0,9999,VLOOKUP(I124,Hraci!$A$1:$I$1500,8,0))</f>
        <v>202</v>
      </c>
      <c r="N124" s="473">
        <f ca="1">IF(N(I124)=0,0,VLOOKUP(I124,Hraci!$A$1:$I$1500,9,0))</f>
        <v>9.0790000000000006</v>
      </c>
      <c r="O124" s="469" t="str">
        <f t="shared" ca="1" si="55"/>
        <v/>
      </c>
      <c r="P124" s="470" t="str">
        <f ca="1">IF(N(O124)&gt;0,VLOOKUP(O124,Hraci!$A$1:$I$1500,2,0),IF(TYPE(INDIRECT(ADDRESS(ROW() + $A$9-8 + (ROW()-11)*4,2,1,1,"Internet")))&gt;1,INDIRECT(ADDRESS(ROW() + $A$9-8 + (ROW()-11)*4,2,1,1,"Internet"))," "))</f>
        <v xml:space="preserve"> </v>
      </c>
      <c r="Q124" s="471" t="str">
        <f ca="1">IF(N(O124)&gt;0,VLOOKUP(O124,Hraci!$A$1:$I$1500,3,0)," ")</f>
        <v xml:space="preserve"> </v>
      </c>
      <c r="R124" s="471" t="str">
        <f ca="1">IF(N(O124)&gt;0,VLOOKUP(O124,Hraci!$A$1:$I$1500,5,0),IF(TYPE(INDIRECT(ADDRESS(ROW() + $A$9-8 + (ROW()-11)*4,3,1,1,"Internet")))&gt;1,INDIRECT(ADDRESS(ROW() + $A$9-8 + (ROW()-11)*4,3,1,1,"Internet"))," "))</f>
        <v xml:space="preserve"> </v>
      </c>
      <c r="S124" s="472">
        <f ca="1">IF(N(O124)=0,9999,VLOOKUP(O124,Hraci!$A$1:$I$1500,8,0))</f>
        <v>9999</v>
      </c>
      <c r="T124" s="473">
        <f ca="1">IF(N(O124)=0,0,VLOOKUP(O124,Hraci!$A$1:$I$1500,9,0))</f>
        <v>0</v>
      </c>
      <c r="U124" s="469" t="str">
        <f t="shared" ca="1" si="56"/>
        <v/>
      </c>
      <c r="V124" s="470" t="str">
        <f ca="1">IF(N(U124)&gt;0,VLOOKUP(U124,Hraci!$A$1:$I$1500,2,0),IF(TYPE(INDIRECT(ADDRESS(ROW() + $A$9-7 + (ROW()-11)*4,2,1,1,"Internet")))&gt;1,INDIRECT(ADDRESS(ROW() + $A$9-7 + (ROW()-11)*4,2,1,1,"Internet"))," "))</f>
        <v xml:space="preserve"> </v>
      </c>
      <c r="W124" s="471" t="str">
        <f ca="1">IF(N(U124)&gt;0,VLOOKUP(U124,Hraci!$A$1:$I$1500,3,0)," ")</f>
        <v xml:space="preserve"> </v>
      </c>
      <c r="X124" s="471" t="str">
        <f ca="1">IF(N(U124)&gt;0,VLOOKUP(U124,Hraci!$A$1:$I$1500,5,0),IF(TYPE(INDIRECT(ADDRESS(ROW() + $A$9-7 + (ROW()-11)*4,3,1,1,"Internet")))&gt;1,INDIRECT(ADDRESS(ROW() + $A$9-7 + (ROW()-11)*4,3,1,1,"Internet"))," "))</f>
        <v xml:space="preserve"> </v>
      </c>
      <c r="Y124" s="472">
        <f ca="1">IF(N(U124)=0,9999,VLOOKUP(U124,Hraci!$A$1:$I$1500,8,0))</f>
        <v>9999</v>
      </c>
      <c r="Z124" s="473">
        <f ca="1">IF(N(U124)=0,0,VLOOKUP(U124,Hraci!$A$1:$I$1500,9,0))</f>
        <v>0</v>
      </c>
      <c r="AA124" s="469" t="str">
        <f t="shared" ca="1" si="57"/>
        <v/>
      </c>
      <c r="AB124" s="470" t="str">
        <f ca="1">IF(N(AA124)&gt;0,VLOOKUP(AA124,Hraci!$A$1:$I$1500,2,0)," ")</f>
        <v xml:space="preserve"> </v>
      </c>
      <c r="AC124" s="471" t="str">
        <f ca="1">IF(N(AA124)&gt;0,VLOOKUP(AA124,Hraci!$A$1:$I$1500,3,0)," ")</f>
        <v xml:space="preserve"> </v>
      </c>
      <c r="AD124" s="471" t="str">
        <f ca="1">IF(N(AA124)&gt;0,VLOOKUP(AA124,Hraci!$A$1:$I$1500,5,0)," ")</f>
        <v xml:space="preserve"> </v>
      </c>
      <c r="AE124" s="472">
        <f ca="1">IF(N(AA124)=0,9999,VLOOKUP(AA124,Hraci!$A$1:$I$1500,8,0))</f>
        <v>9999</v>
      </c>
      <c r="AF124" s="473">
        <f ca="1">IF(N(AA124)=0,0,VLOOKUP(AA124,Hraci!$A$1:$I$1500,9,0))</f>
        <v>0</v>
      </c>
      <c r="AG124" s="474"/>
      <c r="AH124" s="480">
        <v>86</v>
      </c>
      <c r="AI124" s="475">
        <f ca="1">IF(N($AH124)&gt;0,VLOOKUP($AH124,Body!$A$4:$F$259,5,0),"")</f>
        <v>553.40650000000005</v>
      </c>
      <c r="AJ124" s="476">
        <f ca="1">IF(N($AH124)&gt;0,VLOOKUP($AH124,Body!$A$4:$F$259,6,0),"")</f>
        <v>200</v>
      </c>
      <c r="AK124" s="475">
        <f ca="1">IF(N($AH124)&gt;0,VLOOKUP($AH124,Body!$A$4:$F$259,2,0),"")</f>
        <v>8</v>
      </c>
      <c r="AL124" s="477" t="str">
        <f t="shared" ca="1" si="58"/>
        <v>114 PCP Lipník - Reinbergrová Václava</v>
      </c>
      <c r="AM124" s="478">
        <f t="shared" ca="1" si="59"/>
        <v>9.0790000000000006</v>
      </c>
      <c r="AN124" s="408">
        <f ca="1">IF(OR(TYPE(I124)&gt;1,TYPE(MATCH(I124,I125:I$267,0))&gt;1),0,MATCH(I124,I125:I$267,0))+IF(OR(TYPE(I124)&gt;1,TYPE(MATCH(I124,O$11:O$267,0))&gt;1),0,MATCH(I124,O$11:O$267,0))+IF(OR(TYPE(I124)&gt;1,TYPE(MATCH(I124,U$11:U$267,0))&gt;1),0,MATCH(I124,U$11:U$267,0))+IF(OR(TYPE(I124)&gt;1,TYPE(MATCH(I124,AA$11:AA$267,0))&gt;1),0,MATCH(I124,AA$11:AA$267,0))</f>
        <v>0</v>
      </c>
      <c r="AO124" s="408">
        <f ca="1">IF(OR(TYPE(O124)&gt;1,TYPE(MATCH(O124,I$11:I$267,0))&gt;1),0,MATCH(O124,I$11:I$267,0))+IF(OR(TYPE(O124)&gt;1,TYPE(MATCH(O124,O125:O$267,0))&gt;1),0,MATCH(O124,O125:O$267,0))+IF(OR(TYPE(O124)&gt;1,TYPE(MATCH(O124,U$11:U$267,0))&gt;1),0,MATCH(O124,U$11:U$267,0))+IF(OR(TYPE(O124)&gt;1,TYPE(MATCH(O124,AA$11:AA$267,0))&gt;1),0,MATCH(O124,AA$11:AA$267,0))</f>
        <v>0</v>
      </c>
      <c r="AP124" s="408">
        <f ca="1">IF(OR(TYPE(U124)&gt;1,TYPE(MATCH(U124,I$11:I$267,0))&gt;1),0,MATCH(U124,I$11:I$267,0))+IF(OR(TYPE(U124)&gt;1,TYPE(MATCH(U124,O$11:O$267,0))&gt;1),0,MATCH(U124,O$11:O$267,0))+IF(OR(TYPE(U124)&gt;1,TYPE(MATCH(U124,U125:U$267,0))&gt;1),0,MATCH(U124,U125:U$267,0))+IF(OR(TYPE(U124)&gt;1,TYPE(MATCH(U124,AA$11:AA$267,0))&gt;1),0,MATCH(U124,AA$11:AA$267,0))</f>
        <v>0</v>
      </c>
      <c r="AQ124" s="408">
        <f ca="1">IF(OR(TYPE(AA124)&gt;1,TYPE(MATCH(AA124,I$11:I$267,0))&gt;1),0,MATCH(AA124,I$11:I$267,0))+IF(OR(TYPE(AA124)&gt;1,TYPE(MATCH(AA124,O$11:O$267,0))&gt;1),0,MATCH(AA124,O$11:O$267,0))+IF(OR(TYPE(AA124)&gt;1,TYPE(MATCH(AA124,U$11:U$267,0))&gt;1),0,MATCH(U124,U$11:U$267,0))+IF(OR(TYPE(AA124)&gt;1,TYPE(MATCH(AA124,AA125:AA$267,0))&gt;1),0,MATCH(AA124,AA125:AA$267,0))</f>
        <v>0</v>
      </c>
      <c r="AR124" s="408">
        <f t="shared" ca="1" si="44"/>
        <v>0</v>
      </c>
      <c r="BF124" s="408">
        <f t="shared" si="45"/>
        <v>114</v>
      </c>
    </row>
    <row r="125" spans="1:58" ht="14.25">
      <c r="A125" s="430">
        <f t="shared" ca="1" si="46"/>
        <v>1</v>
      </c>
      <c r="B125" s="430">
        <f t="shared" ca="1" si="47"/>
        <v>1</v>
      </c>
      <c r="C125" s="430">
        <f t="shared" ca="1" si="48"/>
        <v>8.9700000000000006</v>
      </c>
      <c r="D125" s="430">
        <f t="shared" ca="1" si="49"/>
        <v>20294</v>
      </c>
      <c r="E125" s="430">
        <f t="shared" ca="1" si="50"/>
        <v>296</v>
      </c>
      <c r="F125" s="431" t="str">
        <f t="shared" ca="1" si="51"/>
        <v>01000000000000000000280886</v>
      </c>
      <c r="G125" s="467" t="b">
        <f t="shared" ca="1" si="52"/>
        <v>0</v>
      </c>
      <c r="H125" s="468">
        <f t="shared" si="53"/>
        <v>115</v>
      </c>
      <c r="I125" s="469">
        <f t="shared" ca="1" si="54"/>
        <v>20532</v>
      </c>
      <c r="J125" s="470" t="str">
        <f ca="1">IF(N(I125)&gt;0,VLOOKUP(I125,Hraci!$A$1:$I$1500,2,0),IF(TYPE(INDIRECT(ADDRESS(ROW() + $A$9-9 + (ROW()-11)*4,2,1,1,"Internet")))&gt;1,INDIRECT(ADDRESS(ROW() + $A$9-9 + (ROW()-11)*4,2,1,1,"Internet"))," "))</f>
        <v>Křížek</v>
      </c>
      <c r="K125" s="471" t="str">
        <f ca="1">IF(N(I125)&gt;0,VLOOKUP(I125,Hraci!$A$1:$I$1500,3,0)," ")</f>
        <v>Evžen</v>
      </c>
      <c r="L125" s="471" t="str">
        <f ca="1">IF(N(I125)&gt;0,VLOOKUP(I125,Hraci!$A$1:$I$1500,5,0),IF(TYPE(INDIRECT(ADDRESS(ROW() + $A$9-9 + (ROW()-11)*4,3,1,1,"Internet")))&gt;1,INDIRECT(ADDRESS(ROW() + $A$9-9 + (ROW()-11)*4,3,1,1,"Internet"))," "))</f>
        <v>SK Pétanque Řepy</v>
      </c>
      <c r="M125" s="472">
        <f ca="1">IF(N(I125)=0,9999,VLOOKUP(I125,Hraci!$A$1:$I$1500,8,0))</f>
        <v>296</v>
      </c>
      <c r="N125" s="473">
        <f ca="1">IF(N(I125)=0,0,VLOOKUP(I125,Hraci!$A$1:$I$1500,9,0))</f>
        <v>8.9700000000000006</v>
      </c>
      <c r="O125" s="469" t="str">
        <f t="shared" ca="1" si="55"/>
        <v/>
      </c>
      <c r="P125" s="470" t="str">
        <f ca="1">IF(N(O125)&gt;0,VLOOKUP(O125,Hraci!$A$1:$I$1500,2,0),IF(TYPE(INDIRECT(ADDRESS(ROW() + $A$9-8 + (ROW()-11)*4,2,1,1,"Internet")))&gt;1,INDIRECT(ADDRESS(ROW() + $A$9-8 + (ROW()-11)*4,2,1,1,"Internet"))," "))</f>
        <v xml:space="preserve"> </v>
      </c>
      <c r="Q125" s="471" t="str">
        <f ca="1">IF(N(O125)&gt;0,VLOOKUP(O125,Hraci!$A$1:$I$1500,3,0)," ")</f>
        <v xml:space="preserve"> </v>
      </c>
      <c r="R125" s="471" t="str">
        <f ca="1">IF(N(O125)&gt;0,VLOOKUP(O125,Hraci!$A$1:$I$1500,5,0),IF(TYPE(INDIRECT(ADDRESS(ROW() + $A$9-8 + (ROW()-11)*4,3,1,1,"Internet")))&gt;1,INDIRECT(ADDRESS(ROW() + $A$9-8 + (ROW()-11)*4,3,1,1,"Internet"))," "))</f>
        <v xml:space="preserve"> </v>
      </c>
      <c r="S125" s="472">
        <f ca="1">IF(N(O125)=0,9999,VLOOKUP(O125,Hraci!$A$1:$I$1500,8,0))</f>
        <v>9999</v>
      </c>
      <c r="T125" s="473">
        <f ca="1">IF(N(O125)=0,0,VLOOKUP(O125,Hraci!$A$1:$I$1500,9,0))</f>
        <v>0</v>
      </c>
      <c r="U125" s="469" t="str">
        <f t="shared" ca="1" si="56"/>
        <v/>
      </c>
      <c r="V125" s="470" t="str">
        <f ca="1">IF(N(U125)&gt;0,VLOOKUP(U125,Hraci!$A$1:$I$1500,2,0),IF(TYPE(INDIRECT(ADDRESS(ROW() + $A$9-7 + (ROW()-11)*4,2,1,1,"Internet")))&gt;1,INDIRECT(ADDRESS(ROW() + $A$9-7 + (ROW()-11)*4,2,1,1,"Internet"))," "))</f>
        <v xml:space="preserve"> </v>
      </c>
      <c r="W125" s="471" t="str">
        <f ca="1">IF(N(U125)&gt;0,VLOOKUP(U125,Hraci!$A$1:$I$1500,3,0)," ")</f>
        <v xml:space="preserve"> </v>
      </c>
      <c r="X125" s="471" t="str">
        <f ca="1">IF(N(U125)&gt;0,VLOOKUP(U125,Hraci!$A$1:$I$1500,5,0),IF(TYPE(INDIRECT(ADDRESS(ROW() + $A$9-7 + (ROW()-11)*4,3,1,1,"Internet")))&gt;1,INDIRECT(ADDRESS(ROW() + $A$9-7 + (ROW()-11)*4,3,1,1,"Internet"))," "))</f>
        <v xml:space="preserve"> </v>
      </c>
      <c r="Y125" s="472">
        <f ca="1">IF(N(U125)=0,9999,VLOOKUP(U125,Hraci!$A$1:$I$1500,8,0))</f>
        <v>9999</v>
      </c>
      <c r="Z125" s="473">
        <f ca="1">IF(N(U125)=0,0,VLOOKUP(U125,Hraci!$A$1:$I$1500,9,0))</f>
        <v>0</v>
      </c>
      <c r="AA125" s="469" t="str">
        <f t="shared" ca="1" si="57"/>
        <v/>
      </c>
      <c r="AB125" s="470" t="str">
        <f ca="1">IF(N(AA125)&gt;0,VLOOKUP(AA125,Hraci!$A$1:$I$1500,2,0)," ")</f>
        <v xml:space="preserve"> </v>
      </c>
      <c r="AC125" s="471" t="str">
        <f ca="1">IF(N(AA125)&gt;0,VLOOKUP(AA125,Hraci!$A$1:$I$1500,3,0)," ")</f>
        <v xml:space="preserve"> </v>
      </c>
      <c r="AD125" s="471" t="str">
        <f ca="1">IF(N(AA125)&gt;0,VLOOKUP(AA125,Hraci!$A$1:$I$1500,5,0)," ")</f>
        <v xml:space="preserve"> </v>
      </c>
      <c r="AE125" s="472">
        <f ca="1">IF(N(AA125)=0,9999,VLOOKUP(AA125,Hraci!$A$1:$I$1500,8,0))</f>
        <v>9999</v>
      </c>
      <c r="AF125" s="473">
        <f ca="1">IF(N(AA125)=0,0,VLOOKUP(AA125,Hraci!$A$1:$I$1500,9,0))</f>
        <v>0</v>
      </c>
      <c r="AG125" s="474"/>
      <c r="AH125" s="480">
        <v>129</v>
      </c>
      <c r="AI125" s="475">
        <f ca="1">IF(N($AH125)&gt;0,VLOOKUP($AH125,Body!$A$4:$F$259,5,0),"")</f>
        <v>553.40650000000005</v>
      </c>
      <c r="AJ125" s="476">
        <f ca="1">IF(N($AH125)&gt;0,VLOOKUP($AH125,Body!$A$4:$F$259,6,0),"")</f>
        <v>200</v>
      </c>
      <c r="AK125" s="475">
        <f ca="1">IF(N($AH125)&gt;0,VLOOKUP($AH125,Body!$A$4:$F$259,2,0),"")</f>
        <v>8</v>
      </c>
      <c r="AL125" s="477" t="str">
        <f t="shared" ca="1" si="58"/>
        <v>115 SK Pétanque Řepy - Křížek Evžen</v>
      </c>
      <c r="AM125" s="478">
        <f t="shared" ca="1" si="59"/>
        <v>8.9700000000000006</v>
      </c>
      <c r="AN125" s="408">
        <f ca="1">IF(OR(TYPE(I125)&gt;1,TYPE(MATCH(I125,I126:I$267,0))&gt;1),0,MATCH(I125,I126:I$267,0))+IF(OR(TYPE(I125)&gt;1,TYPE(MATCH(I125,O$11:O$267,0))&gt;1),0,MATCH(I125,O$11:O$267,0))+IF(OR(TYPE(I125)&gt;1,TYPE(MATCH(I125,U$11:U$267,0))&gt;1),0,MATCH(I125,U$11:U$267,0))+IF(OR(TYPE(I125)&gt;1,TYPE(MATCH(I125,AA$11:AA$267,0))&gt;1),0,MATCH(I125,AA$11:AA$267,0))</f>
        <v>0</v>
      </c>
      <c r="AO125" s="408">
        <f ca="1">IF(OR(TYPE(O125)&gt;1,TYPE(MATCH(O125,I$11:I$267,0))&gt;1),0,MATCH(O125,I$11:I$267,0))+IF(OR(TYPE(O125)&gt;1,TYPE(MATCH(O125,O126:O$267,0))&gt;1),0,MATCH(O125,O126:O$267,0))+IF(OR(TYPE(O125)&gt;1,TYPE(MATCH(O125,U$11:U$267,0))&gt;1),0,MATCH(O125,U$11:U$267,0))+IF(OR(TYPE(O125)&gt;1,TYPE(MATCH(O125,AA$11:AA$267,0))&gt;1),0,MATCH(O125,AA$11:AA$267,0))</f>
        <v>0</v>
      </c>
      <c r="AP125" s="408">
        <f ca="1">IF(OR(TYPE(U125)&gt;1,TYPE(MATCH(U125,I$11:I$267,0))&gt;1),0,MATCH(U125,I$11:I$267,0))+IF(OR(TYPE(U125)&gt;1,TYPE(MATCH(U125,O$11:O$267,0))&gt;1),0,MATCH(U125,O$11:O$267,0))+IF(OR(TYPE(U125)&gt;1,TYPE(MATCH(U125,U126:U$267,0))&gt;1),0,MATCH(U125,U126:U$267,0))+IF(OR(TYPE(U125)&gt;1,TYPE(MATCH(U125,AA$11:AA$267,0))&gt;1),0,MATCH(U125,AA$11:AA$267,0))</f>
        <v>0</v>
      </c>
      <c r="AQ125" s="408">
        <f ca="1">IF(OR(TYPE(AA125)&gt;1,TYPE(MATCH(AA125,I$11:I$267,0))&gt;1),0,MATCH(AA125,I$11:I$267,0))+IF(OR(TYPE(AA125)&gt;1,TYPE(MATCH(AA125,O$11:O$267,0))&gt;1),0,MATCH(AA125,O$11:O$267,0))+IF(OR(TYPE(AA125)&gt;1,TYPE(MATCH(AA125,U$11:U$267,0))&gt;1),0,MATCH(U125,U$11:U$267,0))+IF(OR(TYPE(AA125)&gt;1,TYPE(MATCH(AA125,AA126:AA$267,0))&gt;1),0,MATCH(AA125,AA126:AA$267,0))</f>
        <v>0</v>
      </c>
      <c r="AR125" s="408">
        <f t="shared" ca="1" si="44"/>
        <v>0</v>
      </c>
      <c r="BF125" s="408">
        <f t="shared" si="45"/>
        <v>115</v>
      </c>
    </row>
    <row r="126" spans="1:58" ht="14.25">
      <c r="A126" s="430">
        <f t="shared" ca="1" si="46"/>
        <v>1</v>
      </c>
      <c r="B126" s="430">
        <f t="shared" ca="1" si="47"/>
        <v>1</v>
      </c>
      <c r="C126" s="430">
        <f t="shared" ca="1" si="48"/>
        <v>8.8290000000000006</v>
      </c>
      <c r="D126" s="430">
        <f t="shared" ca="1" si="49"/>
        <v>20262</v>
      </c>
      <c r="E126" s="430">
        <f t="shared" ca="1" si="50"/>
        <v>264</v>
      </c>
      <c r="F126" s="431" t="str">
        <f t="shared" ca="1" si="51"/>
        <v>01000000000000000000357142</v>
      </c>
      <c r="G126" s="467" t="b">
        <f t="shared" ca="1" si="52"/>
        <v>0</v>
      </c>
      <c r="H126" s="468">
        <f t="shared" si="53"/>
        <v>116</v>
      </c>
      <c r="I126" s="469">
        <f t="shared" ca="1" si="54"/>
        <v>18005</v>
      </c>
      <c r="J126" s="470" t="str">
        <f ca="1">IF(N(I126)&gt;0,VLOOKUP(I126,Hraci!$A$1:$I$1500,2,0),IF(TYPE(INDIRECT(ADDRESS(ROW() + $A$9-9 + (ROW()-11)*4,2,1,1,"Internet")))&gt;1,INDIRECT(ADDRESS(ROW() + $A$9-9 + (ROW()-11)*4,2,1,1,"Internet"))," "))</f>
        <v>Procházka</v>
      </c>
      <c r="K126" s="471" t="str">
        <f ca="1">IF(N(I126)&gt;0,VLOOKUP(I126,Hraci!$A$1:$I$1500,3,0)," ")</f>
        <v>Josef</v>
      </c>
      <c r="L126" s="471" t="str">
        <f ca="1">IF(N(I126)&gt;0,VLOOKUP(I126,Hraci!$A$1:$I$1500,5,0),IF(TYPE(INDIRECT(ADDRESS(ROW() + $A$9-9 + (ROW()-11)*4,3,1,1,"Internet")))&gt;1,INDIRECT(ADDRESS(ROW() + $A$9-9 + (ROW()-11)*4,3,1,1,"Internet"))," "))</f>
        <v>SK Pétanque Řepy</v>
      </c>
      <c r="M126" s="472">
        <f ca="1">IF(N(I126)=0,9999,VLOOKUP(I126,Hraci!$A$1:$I$1500,8,0))</f>
        <v>264</v>
      </c>
      <c r="N126" s="473">
        <f ca="1">IF(N(I126)=0,0,VLOOKUP(I126,Hraci!$A$1:$I$1500,9,0))</f>
        <v>8.8290000000000006</v>
      </c>
      <c r="O126" s="469" t="str">
        <f t="shared" ca="1" si="55"/>
        <v/>
      </c>
      <c r="P126" s="470" t="str">
        <f ca="1">IF(N(O126)&gt;0,VLOOKUP(O126,Hraci!$A$1:$I$1500,2,0),IF(TYPE(INDIRECT(ADDRESS(ROW() + $A$9-8 + (ROW()-11)*4,2,1,1,"Internet")))&gt;1,INDIRECT(ADDRESS(ROW() + $A$9-8 + (ROW()-11)*4,2,1,1,"Internet"))," "))</f>
        <v xml:space="preserve"> </v>
      </c>
      <c r="Q126" s="471" t="str">
        <f ca="1">IF(N(O126)&gt;0,VLOOKUP(O126,Hraci!$A$1:$I$1500,3,0)," ")</f>
        <v xml:space="preserve"> </v>
      </c>
      <c r="R126" s="471" t="str">
        <f ca="1">IF(N(O126)&gt;0,VLOOKUP(O126,Hraci!$A$1:$I$1500,5,0),IF(TYPE(INDIRECT(ADDRESS(ROW() + $A$9-8 + (ROW()-11)*4,3,1,1,"Internet")))&gt;1,INDIRECT(ADDRESS(ROW() + $A$9-8 + (ROW()-11)*4,3,1,1,"Internet"))," "))</f>
        <v xml:space="preserve"> </v>
      </c>
      <c r="S126" s="472">
        <f ca="1">IF(N(O126)=0,9999,VLOOKUP(O126,Hraci!$A$1:$I$1500,8,0))</f>
        <v>9999</v>
      </c>
      <c r="T126" s="473">
        <f ca="1">IF(N(O126)=0,0,VLOOKUP(O126,Hraci!$A$1:$I$1500,9,0))</f>
        <v>0</v>
      </c>
      <c r="U126" s="469" t="str">
        <f t="shared" ca="1" si="56"/>
        <v/>
      </c>
      <c r="V126" s="470" t="str">
        <f ca="1">IF(N(U126)&gt;0,VLOOKUP(U126,Hraci!$A$1:$I$1500,2,0),IF(TYPE(INDIRECT(ADDRESS(ROW() + $A$9-7 + (ROW()-11)*4,2,1,1,"Internet")))&gt;1,INDIRECT(ADDRESS(ROW() + $A$9-7 + (ROW()-11)*4,2,1,1,"Internet"))," "))</f>
        <v xml:space="preserve"> </v>
      </c>
      <c r="W126" s="471" t="str">
        <f ca="1">IF(N(U126)&gt;0,VLOOKUP(U126,Hraci!$A$1:$I$1500,3,0)," ")</f>
        <v xml:space="preserve"> </v>
      </c>
      <c r="X126" s="471" t="str">
        <f ca="1">IF(N(U126)&gt;0,VLOOKUP(U126,Hraci!$A$1:$I$1500,5,0),IF(TYPE(INDIRECT(ADDRESS(ROW() + $A$9-7 + (ROW()-11)*4,3,1,1,"Internet")))&gt;1,INDIRECT(ADDRESS(ROW() + $A$9-7 + (ROW()-11)*4,3,1,1,"Internet"))," "))</f>
        <v xml:space="preserve"> </v>
      </c>
      <c r="Y126" s="472">
        <f ca="1">IF(N(U126)=0,9999,VLOOKUP(U126,Hraci!$A$1:$I$1500,8,0))</f>
        <v>9999</v>
      </c>
      <c r="Z126" s="473">
        <f ca="1">IF(N(U126)=0,0,VLOOKUP(U126,Hraci!$A$1:$I$1500,9,0))</f>
        <v>0</v>
      </c>
      <c r="AA126" s="469" t="str">
        <f t="shared" ca="1" si="57"/>
        <v/>
      </c>
      <c r="AB126" s="470" t="str">
        <f ca="1">IF(N(AA126)&gt;0,VLOOKUP(AA126,Hraci!$A$1:$I$1500,2,0)," ")</f>
        <v xml:space="preserve"> </v>
      </c>
      <c r="AC126" s="471" t="str">
        <f ca="1">IF(N(AA126)&gt;0,VLOOKUP(AA126,Hraci!$A$1:$I$1500,3,0)," ")</f>
        <v xml:space="preserve"> </v>
      </c>
      <c r="AD126" s="471" t="str">
        <f ca="1">IF(N(AA126)&gt;0,VLOOKUP(AA126,Hraci!$A$1:$I$1500,5,0)," ")</f>
        <v xml:space="preserve"> </v>
      </c>
      <c r="AE126" s="472">
        <f ca="1">IF(N(AA126)=0,9999,VLOOKUP(AA126,Hraci!$A$1:$I$1500,8,0))</f>
        <v>9999</v>
      </c>
      <c r="AF126" s="473">
        <f ca="1">IF(N(AA126)=0,0,VLOOKUP(AA126,Hraci!$A$1:$I$1500,9,0))</f>
        <v>0</v>
      </c>
      <c r="AG126" s="474"/>
      <c r="AH126" s="480">
        <f ca="1">IF(TYPE(VLOOKUP(H126,Nasazení!$A$3:$E$258,5,0))&lt;4,VLOOKUP(H126,Nasazení!$A$3:$E$258,5,0),0)</f>
        <v>143</v>
      </c>
      <c r="AI126" s="475">
        <f ca="1">IF(N($AH126)&gt;0,VLOOKUP($AH126,Body!$A$4:$F$259,5,0),"")</f>
        <v>20</v>
      </c>
      <c r="AJ126" s="476">
        <f ca="1">IF(N($AH126)&gt;0,VLOOKUP($AH126,Body!$A$4:$F$259,6,0),"")</f>
        <v>0</v>
      </c>
      <c r="AK126" s="475">
        <f ca="1">IF(N($AH126)&gt;0,VLOOKUP($AH126,Body!$A$4:$F$259,2,0),"")</f>
        <v>0</v>
      </c>
      <c r="AL126" s="477" t="str">
        <f t="shared" ca="1" si="58"/>
        <v>116 SK Pétanque Řepy - Procházka Josef</v>
      </c>
      <c r="AM126" s="478">
        <f t="shared" ca="1" si="59"/>
        <v>8.8290000000000006</v>
      </c>
      <c r="AN126" s="408">
        <f ca="1">IF(OR(TYPE(I126)&gt;1,TYPE(MATCH(I126,I127:I$267,0))&gt;1),0,MATCH(I126,I127:I$267,0))+IF(OR(TYPE(I126)&gt;1,TYPE(MATCH(I126,O$11:O$267,0))&gt;1),0,MATCH(I126,O$11:O$267,0))+IF(OR(TYPE(I126)&gt;1,TYPE(MATCH(I126,U$11:U$267,0))&gt;1),0,MATCH(I126,U$11:U$267,0))+IF(OR(TYPE(I126)&gt;1,TYPE(MATCH(I126,AA$11:AA$267,0))&gt;1),0,MATCH(I126,AA$11:AA$267,0))</f>
        <v>0</v>
      </c>
      <c r="AO126" s="408">
        <f ca="1">IF(OR(TYPE(O126)&gt;1,TYPE(MATCH(O126,I$11:I$267,0))&gt;1),0,MATCH(O126,I$11:I$267,0))+IF(OR(TYPE(O126)&gt;1,TYPE(MATCH(O126,O127:O$267,0))&gt;1),0,MATCH(O126,O127:O$267,0))+IF(OR(TYPE(O126)&gt;1,TYPE(MATCH(O126,U$11:U$267,0))&gt;1),0,MATCH(O126,U$11:U$267,0))+IF(OR(TYPE(O126)&gt;1,TYPE(MATCH(O126,AA$11:AA$267,0))&gt;1),0,MATCH(O126,AA$11:AA$267,0))</f>
        <v>0</v>
      </c>
      <c r="AP126" s="408">
        <f ca="1">IF(OR(TYPE(U126)&gt;1,TYPE(MATCH(U126,I$11:I$267,0))&gt;1),0,MATCH(U126,I$11:I$267,0))+IF(OR(TYPE(U126)&gt;1,TYPE(MATCH(U126,O$11:O$267,0))&gt;1),0,MATCH(U126,O$11:O$267,0))+IF(OR(TYPE(U126)&gt;1,TYPE(MATCH(U126,U127:U$267,0))&gt;1),0,MATCH(U126,U127:U$267,0))+IF(OR(TYPE(U126)&gt;1,TYPE(MATCH(U126,AA$11:AA$267,0))&gt;1),0,MATCH(U126,AA$11:AA$267,0))</f>
        <v>0</v>
      </c>
      <c r="AQ126" s="408">
        <f ca="1">IF(OR(TYPE(AA126)&gt;1,TYPE(MATCH(AA126,I$11:I$267,0))&gt;1),0,MATCH(AA126,I$11:I$267,0))+IF(OR(TYPE(AA126)&gt;1,TYPE(MATCH(AA126,O$11:O$267,0))&gt;1),0,MATCH(AA126,O$11:O$267,0))+IF(OR(TYPE(AA126)&gt;1,TYPE(MATCH(AA126,U$11:U$267,0))&gt;1),0,MATCH(U126,U$11:U$267,0))+IF(OR(TYPE(AA126)&gt;1,TYPE(MATCH(AA126,AA127:AA$267,0))&gt;1),0,MATCH(AA126,AA127:AA$267,0))</f>
        <v>0</v>
      </c>
      <c r="AR126" s="408">
        <f t="shared" ca="1" si="44"/>
        <v>0</v>
      </c>
      <c r="BF126" s="408">
        <f t="shared" si="45"/>
        <v>116</v>
      </c>
    </row>
    <row r="127" spans="1:58" ht="14.25">
      <c r="A127" s="430">
        <f t="shared" ca="1" si="46"/>
        <v>1</v>
      </c>
      <c r="B127" s="430">
        <f t="shared" ca="1" si="47"/>
        <v>1</v>
      </c>
      <c r="C127" s="430">
        <f t="shared" ca="1" si="48"/>
        <v>8.5630000000000006</v>
      </c>
      <c r="D127" s="430">
        <f t="shared" ca="1" si="49"/>
        <v>20233</v>
      </c>
      <c r="E127" s="430">
        <f t="shared" ca="1" si="50"/>
        <v>235</v>
      </c>
      <c r="F127" s="431" t="str">
        <f t="shared" ca="1" si="51"/>
        <v>01000000000000000000685417</v>
      </c>
      <c r="G127" s="467" t="b">
        <f t="shared" ca="1" si="52"/>
        <v>0</v>
      </c>
      <c r="H127" s="468">
        <f t="shared" si="53"/>
        <v>117</v>
      </c>
      <c r="I127" s="469">
        <f t="shared" ca="1" si="54"/>
        <v>14057</v>
      </c>
      <c r="J127" s="470" t="str">
        <f ca="1">IF(N(I127)&gt;0,VLOOKUP(I127,Hraci!$A$1:$I$1500,2,0),IF(TYPE(INDIRECT(ADDRESS(ROW() + $A$9-9 + (ROW()-11)*4,2,1,1,"Internet")))&gt;1,INDIRECT(ADDRESS(ROW() + $A$9-9 + (ROW()-11)*4,2,1,1,"Internet"))," "))</f>
        <v>Jablonský</v>
      </c>
      <c r="K127" s="471" t="str">
        <f ca="1">IF(N(I127)&gt;0,VLOOKUP(I127,Hraci!$A$1:$I$1500,3,0)," ")</f>
        <v>Lukáš</v>
      </c>
      <c r="L127" s="471" t="str">
        <f ca="1">IF(N(I127)&gt;0,VLOOKUP(I127,Hraci!$A$1:$I$1500,5,0),IF(TYPE(INDIRECT(ADDRESS(ROW() + $A$9-9 + (ROW()-11)*4,3,1,1,"Internet")))&gt;1,INDIRECT(ADDRESS(ROW() + $A$9-9 + (ROW()-11)*4,3,1,1,"Internet"))," "))</f>
        <v>PEK Stolín</v>
      </c>
      <c r="M127" s="472">
        <f ca="1">IF(N(I127)=0,9999,VLOOKUP(I127,Hraci!$A$1:$I$1500,8,0))</f>
        <v>235</v>
      </c>
      <c r="N127" s="473">
        <f ca="1">IF(N(I127)=0,0,VLOOKUP(I127,Hraci!$A$1:$I$1500,9,0))</f>
        <v>8.5630000000000006</v>
      </c>
      <c r="O127" s="469" t="str">
        <f t="shared" ca="1" si="55"/>
        <v/>
      </c>
      <c r="P127" s="470" t="str">
        <f ca="1">IF(N(O127)&gt;0,VLOOKUP(O127,Hraci!$A$1:$I$1500,2,0),IF(TYPE(INDIRECT(ADDRESS(ROW() + $A$9-8 + (ROW()-11)*4,2,1,1,"Internet")))&gt;1,INDIRECT(ADDRESS(ROW() + $A$9-8 + (ROW()-11)*4,2,1,1,"Internet"))," "))</f>
        <v xml:space="preserve"> </v>
      </c>
      <c r="Q127" s="471" t="str">
        <f ca="1">IF(N(O127)&gt;0,VLOOKUP(O127,Hraci!$A$1:$I$1500,3,0)," ")</f>
        <v xml:space="preserve"> </v>
      </c>
      <c r="R127" s="471" t="str">
        <f ca="1">IF(N(O127)&gt;0,VLOOKUP(O127,Hraci!$A$1:$I$1500,5,0),IF(TYPE(INDIRECT(ADDRESS(ROW() + $A$9-8 + (ROW()-11)*4,3,1,1,"Internet")))&gt;1,INDIRECT(ADDRESS(ROW() + $A$9-8 + (ROW()-11)*4,3,1,1,"Internet"))," "))</f>
        <v xml:space="preserve"> </v>
      </c>
      <c r="S127" s="472">
        <f ca="1">IF(N(O127)=0,9999,VLOOKUP(O127,Hraci!$A$1:$I$1500,8,0))</f>
        <v>9999</v>
      </c>
      <c r="T127" s="473">
        <f ca="1">IF(N(O127)=0,0,VLOOKUP(O127,Hraci!$A$1:$I$1500,9,0))</f>
        <v>0</v>
      </c>
      <c r="U127" s="469" t="str">
        <f t="shared" ca="1" si="56"/>
        <v/>
      </c>
      <c r="V127" s="470" t="str">
        <f ca="1">IF(N(U127)&gt;0,VLOOKUP(U127,Hraci!$A$1:$I$1500,2,0),IF(TYPE(INDIRECT(ADDRESS(ROW() + $A$9-7 + (ROW()-11)*4,2,1,1,"Internet")))&gt;1,INDIRECT(ADDRESS(ROW() + $A$9-7 + (ROW()-11)*4,2,1,1,"Internet"))," "))</f>
        <v xml:space="preserve"> </v>
      </c>
      <c r="W127" s="471" t="str">
        <f ca="1">IF(N(U127)&gt;0,VLOOKUP(U127,Hraci!$A$1:$I$1500,3,0)," ")</f>
        <v xml:space="preserve"> </v>
      </c>
      <c r="X127" s="471" t="str">
        <f ca="1">IF(N(U127)&gt;0,VLOOKUP(U127,Hraci!$A$1:$I$1500,5,0),IF(TYPE(INDIRECT(ADDRESS(ROW() + $A$9-7 + (ROW()-11)*4,3,1,1,"Internet")))&gt;1,INDIRECT(ADDRESS(ROW() + $A$9-7 + (ROW()-11)*4,3,1,1,"Internet"))," "))</f>
        <v xml:space="preserve"> </v>
      </c>
      <c r="Y127" s="472">
        <f ca="1">IF(N(U127)=0,9999,VLOOKUP(U127,Hraci!$A$1:$I$1500,8,0))</f>
        <v>9999</v>
      </c>
      <c r="Z127" s="473">
        <f ca="1">IF(N(U127)=0,0,VLOOKUP(U127,Hraci!$A$1:$I$1500,9,0))</f>
        <v>0</v>
      </c>
      <c r="AA127" s="469" t="str">
        <f t="shared" ca="1" si="57"/>
        <v/>
      </c>
      <c r="AB127" s="470" t="str">
        <f ca="1">IF(N(AA127)&gt;0,VLOOKUP(AA127,Hraci!$A$1:$I$1500,2,0)," ")</f>
        <v xml:space="preserve"> </v>
      </c>
      <c r="AC127" s="471" t="str">
        <f ca="1">IF(N(AA127)&gt;0,VLOOKUP(AA127,Hraci!$A$1:$I$1500,3,0)," ")</f>
        <v xml:space="preserve"> </v>
      </c>
      <c r="AD127" s="471" t="str">
        <f ca="1">IF(N(AA127)&gt;0,VLOOKUP(AA127,Hraci!$A$1:$I$1500,5,0)," ")</f>
        <v xml:space="preserve"> </v>
      </c>
      <c r="AE127" s="472">
        <f ca="1">IF(N(AA127)=0,9999,VLOOKUP(AA127,Hraci!$A$1:$I$1500,8,0))</f>
        <v>9999</v>
      </c>
      <c r="AF127" s="473">
        <f ca="1">IF(N(AA127)=0,0,VLOOKUP(AA127,Hraci!$A$1:$I$1500,9,0))</f>
        <v>0</v>
      </c>
      <c r="AG127" s="474"/>
      <c r="AH127" s="480">
        <v>129</v>
      </c>
      <c r="AI127" s="475">
        <f ca="1">IF(N($AH127)&gt;0,VLOOKUP($AH127,Body!$A$4:$F$259,5,0),"")</f>
        <v>553.40650000000005</v>
      </c>
      <c r="AJ127" s="476">
        <f ca="1">IF(N($AH127)&gt;0,VLOOKUP($AH127,Body!$A$4:$F$259,6,0),"")</f>
        <v>200</v>
      </c>
      <c r="AK127" s="475">
        <f ca="1">IF(N($AH127)&gt;0,VLOOKUP($AH127,Body!$A$4:$F$259,2,0),"")</f>
        <v>8</v>
      </c>
      <c r="AL127" s="477" t="str">
        <f t="shared" ca="1" si="58"/>
        <v>117 PEK Stolín - Jablonský Lukáš</v>
      </c>
      <c r="AM127" s="478">
        <f t="shared" ca="1" si="59"/>
        <v>8.5630000000000006</v>
      </c>
      <c r="AN127" s="408">
        <f ca="1">IF(OR(TYPE(I127)&gt;1,TYPE(MATCH(I127,I128:I$267,0))&gt;1),0,MATCH(I127,I128:I$267,0))+IF(OR(TYPE(I127)&gt;1,TYPE(MATCH(I127,O$11:O$267,0))&gt;1),0,MATCH(I127,O$11:O$267,0))+IF(OR(TYPE(I127)&gt;1,TYPE(MATCH(I127,U$11:U$267,0))&gt;1),0,MATCH(I127,U$11:U$267,0))+IF(OR(TYPE(I127)&gt;1,TYPE(MATCH(I127,AA$11:AA$267,0))&gt;1),0,MATCH(I127,AA$11:AA$267,0))</f>
        <v>0</v>
      </c>
      <c r="AO127" s="408">
        <f ca="1">IF(OR(TYPE(O127)&gt;1,TYPE(MATCH(O127,I$11:I$267,0))&gt;1),0,MATCH(O127,I$11:I$267,0))+IF(OR(TYPE(O127)&gt;1,TYPE(MATCH(O127,O128:O$267,0))&gt;1),0,MATCH(O127,O128:O$267,0))+IF(OR(TYPE(O127)&gt;1,TYPE(MATCH(O127,U$11:U$267,0))&gt;1),0,MATCH(O127,U$11:U$267,0))+IF(OR(TYPE(O127)&gt;1,TYPE(MATCH(O127,AA$11:AA$267,0))&gt;1),0,MATCH(O127,AA$11:AA$267,0))</f>
        <v>0</v>
      </c>
      <c r="AP127" s="408">
        <f ca="1">IF(OR(TYPE(U127)&gt;1,TYPE(MATCH(U127,I$11:I$267,0))&gt;1),0,MATCH(U127,I$11:I$267,0))+IF(OR(TYPE(U127)&gt;1,TYPE(MATCH(U127,O$11:O$267,0))&gt;1),0,MATCH(U127,O$11:O$267,0))+IF(OR(TYPE(U127)&gt;1,TYPE(MATCH(U127,U128:U$267,0))&gt;1),0,MATCH(U127,U128:U$267,0))+IF(OR(TYPE(U127)&gt;1,TYPE(MATCH(U127,AA$11:AA$267,0))&gt;1),0,MATCH(U127,AA$11:AA$267,0))</f>
        <v>0</v>
      </c>
      <c r="AQ127" s="408">
        <f ca="1">IF(OR(TYPE(AA127)&gt;1,TYPE(MATCH(AA127,I$11:I$267,0))&gt;1),0,MATCH(AA127,I$11:I$267,0))+IF(OR(TYPE(AA127)&gt;1,TYPE(MATCH(AA127,O$11:O$267,0))&gt;1),0,MATCH(AA127,O$11:O$267,0))+IF(OR(TYPE(AA127)&gt;1,TYPE(MATCH(AA127,U$11:U$267,0))&gt;1),0,MATCH(U127,U$11:U$267,0))+IF(OR(TYPE(AA127)&gt;1,TYPE(MATCH(AA127,AA128:AA$267,0))&gt;1),0,MATCH(AA127,AA128:AA$267,0))</f>
        <v>0</v>
      </c>
      <c r="AR127" s="408">
        <f t="shared" ca="1" si="44"/>
        <v>0</v>
      </c>
      <c r="BF127" s="408">
        <f t="shared" si="45"/>
        <v>117</v>
      </c>
    </row>
    <row r="128" spans="1:58" ht="14.25">
      <c r="A128" s="430">
        <f t="shared" ca="1" si="46"/>
        <v>1</v>
      </c>
      <c r="B128" s="430">
        <f t="shared" ca="1" si="47"/>
        <v>1</v>
      </c>
      <c r="C128" s="430">
        <f t="shared" ca="1" si="48"/>
        <v>8.5</v>
      </c>
      <c r="D128" s="430">
        <f t="shared" ca="1" si="49"/>
        <v>20221</v>
      </c>
      <c r="E128" s="430">
        <f t="shared" ca="1" si="50"/>
        <v>223</v>
      </c>
      <c r="F128" s="431" t="str">
        <f t="shared" ca="1" si="51"/>
        <v>01000000000000000000055008</v>
      </c>
      <c r="G128" s="467" t="b">
        <f t="shared" ca="1" si="52"/>
        <v>0</v>
      </c>
      <c r="H128" s="468">
        <f t="shared" si="53"/>
        <v>118</v>
      </c>
      <c r="I128" s="469">
        <f t="shared" ca="1" si="54"/>
        <v>20676</v>
      </c>
      <c r="J128" s="470" t="str">
        <f ca="1">IF(N(I128)&gt;0,VLOOKUP(I128,Hraci!$A$1:$I$1500,2,0),IF(TYPE(INDIRECT(ADDRESS(ROW() + $A$9-9 + (ROW()-11)*4,2,1,1,"Internet")))&gt;1,INDIRECT(ADDRESS(ROW() + $A$9-9 + (ROW()-11)*4,2,1,1,"Internet"))," "))</f>
        <v>Hájková</v>
      </c>
      <c r="K128" s="471" t="str">
        <f ca="1">IF(N(I128)&gt;0,VLOOKUP(I128,Hraci!$A$1:$I$1500,3,0)," ")</f>
        <v>Iveta</v>
      </c>
      <c r="L128" s="471" t="str">
        <f ca="1">IF(N(I128)&gt;0,VLOOKUP(I128,Hraci!$A$1:$I$1500,5,0),IF(TYPE(INDIRECT(ADDRESS(ROW() + $A$9-9 + (ROW()-11)*4,3,1,1,"Internet")))&gt;1,INDIRECT(ADDRESS(ROW() + $A$9-9 + (ROW()-11)*4,3,1,1,"Internet"))," "))</f>
        <v>PEK Stolín</v>
      </c>
      <c r="M128" s="472">
        <f ca="1">IF(N(I128)=0,9999,VLOOKUP(I128,Hraci!$A$1:$I$1500,8,0))</f>
        <v>223</v>
      </c>
      <c r="N128" s="473">
        <f ca="1">IF(N(I128)=0,0,VLOOKUP(I128,Hraci!$A$1:$I$1500,9,0))</f>
        <v>8.5</v>
      </c>
      <c r="O128" s="469" t="str">
        <f t="shared" ca="1" si="55"/>
        <v/>
      </c>
      <c r="P128" s="470" t="str">
        <f ca="1">IF(N(O128)&gt;0,VLOOKUP(O128,Hraci!$A$1:$I$1500,2,0),IF(TYPE(INDIRECT(ADDRESS(ROW() + $A$9-8 + (ROW()-11)*4,2,1,1,"Internet")))&gt;1,INDIRECT(ADDRESS(ROW() + $A$9-8 + (ROW()-11)*4,2,1,1,"Internet"))," "))</f>
        <v xml:space="preserve"> </v>
      </c>
      <c r="Q128" s="471" t="str">
        <f ca="1">IF(N(O128)&gt;0,VLOOKUP(O128,Hraci!$A$1:$I$1500,3,0)," ")</f>
        <v xml:space="preserve"> </v>
      </c>
      <c r="R128" s="471" t="str">
        <f ca="1">IF(N(O128)&gt;0,VLOOKUP(O128,Hraci!$A$1:$I$1500,5,0),IF(TYPE(INDIRECT(ADDRESS(ROW() + $A$9-8 + (ROW()-11)*4,3,1,1,"Internet")))&gt;1,INDIRECT(ADDRESS(ROW() + $A$9-8 + (ROW()-11)*4,3,1,1,"Internet"))," "))</f>
        <v xml:space="preserve"> </v>
      </c>
      <c r="S128" s="472">
        <f ca="1">IF(N(O128)=0,9999,VLOOKUP(O128,Hraci!$A$1:$I$1500,8,0))</f>
        <v>9999</v>
      </c>
      <c r="T128" s="473">
        <f ca="1">IF(N(O128)=0,0,VLOOKUP(O128,Hraci!$A$1:$I$1500,9,0))</f>
        <v>0</v>
      </c>
      <c r="U128" s="469" t="str">
        <f t="shared" ca="1" si="56"/>
        <v/>
      </c>
      <c r="V128" s="470" t="str">
        <f ca="1">IF(N(U128)&gt;0,VLOOKUP(U128,Hraci!$A$1:$I$1500,2,0),IF(TYPE(INDIRECT(ADDRESS(ROW() + $A$9-7 + (ROW()-11)*4,2,1,1,"Internet")))&gt;1,INDIRECT(ADDRESS(ROW() + $A$9-7 + (ROW()-11)*4,2,1,1,"Internet"))," "))</f>
        <v xml:space="preserve"> </v>
      </c>
      <c r="W128" s="471" t="str">
        <f ca="1">IF(N(U128)&gt;0,VLOOKUP(U128,Hraci!$A$1:$I$1500,3,0)," ")</f>
        <v xml:space="preserve"> </v>
      </c>
      <c r="X128" s="471" t="str">
        <f ca="1">IF(N(U128)&gt;0,VLOOKUP(U128,Hraci!$A$1:$I$1500,5,0),IF(TYPE(INDIRECT(ADDRESS(ROW() + $A$9-7 + (ROW()-11)*4,3,1,1,"Internet")))&gt;1,INDIRECT(ADDRESS(ROW() + $A$9-7 + (ROW()-11)*4,3,1,1,"Internet"))," "))</f>
        <v xml:space="preserve"> </v>
      </c>
      <c r="Y128" s="472">
        <f ca="1">IF(N(U128)=0,9999,VLOOKUP(U128,Hraci!$A$1:$I$1500,8,0))</f>
        <v>9999</v>
      </c>
      <c r="Z128" s="473">
        <f ca="1">IF(N(U128)=0,0,VLOOKUP(U128,Hraci!$A$1:$I$1500,9,0))</f>
        <v>0</v>
      </c>
      <c r="AA128" s="469" t="str">
        <f t="shared" ca="1" si="57"/>
        <v/>
      </c>
      <c r="AB128" s="470" t="str">
        <f ca="1">IF(N(AA128)&gt;0,VLOOKUP(AA128,Hraci!$A$1:$I$1500,2,0)," ")</f>
        <v xml:space="preserve"> </v>
      </c>
      <c r="AC128" s="471" t="str">
        <f ca="1">IF(N(AA128)&gt;0,VLOOKUP(AA128,Hraci!$A$1:$I$1500,3,0)," ")</f>
        <v xml:space="preserve"> </v>
      </c>
      <c r="AD128" s="471" t="str">
        <f ca="1">IF(N(AA128)&gt;0,VLOOKUP(AA128,Hraci!$A$1:$I$1500,5,0)," ")</f>
        <v xml:space="preserve"> </v>
      </c>
      <c r="AE128" s="472">
        <f ca="1">IF(N(AA128)=0,9999,VLOOKUP(AA128,Hraci!$A$1:$I$1500,8,0))</f>
        <v>9999</v>
      </c>
      <c r="AF128" s="473">
        <f ca="1">IF(N(AA128)=0,0,VLOOKUP(AA128,Hraci!$A$1:$I$1500,9,0))</f>
        <v>0</v>
      </c>
      <c r="AG128" s="474"/>
      <c r="AH128" s="480">
        <v>86</v>
      </c>
      <c r="AI128" s="475">
        <f ca="1">IF(N($AH128)&gt;0,VLOOKUP($AH128,Body!$A$4:$F$259,5,0),"")</f>
        <v>553.40650000000005</v>
      </c>
      <c r="AJ128" s="476">
        <f ca="1">IF(N($AH128)&gt;0,VLOOKUP($AH128,Body!$A$4:$F$259,6,0),"")</f>
        <v>200</v>
      </c>
      <c r="AK128" s="475">
        <f ca="1">IF(N($AH128)&gt;0,VLOOKUP($AH128,Body!$A$4:$F$259,2,0),"")</f>
        <v>8</v>
      </c>
      <c r="AL128" s="477" t="str">
        <f t="shared" ca="1" si="58"/>
        <v>118 PEK Stolín - Hájková Iveta</v>
      </c>
      <c r="AM128" s="478">
        <f t="shared" ca="1" si="59"/>
        <v>8.5</v>
      </c>
      <c r="AN128" s="408">
        <f ca="1">IF(OR(TYPE(I128)&gt;1,TYPE(MATCH(I128,I129:I$267,0))&gt;1),0,MATCH(I128,I129:I$267,0))+IF(OR(TYPE(I128)&gt;1,TYPE(MATCH(I128,O$11:O$267,0))&gt;1),0,MATCH(I128,O$11:O$267,0))+IF(OR(TYPE(I128)&gt;1,TYPE(MATCH(I128,U$11:U$267,0))&gt;1),0,MATCH(I128,U$11:U$267,0))+IF(OR(TYPE(I128)&gt;1,TYPE(MATCH(I128,AA$11:AA$267,0))&gt;1),0,MATCH(I128,AA$11:AA$267,0))</f>
        <v>0</v>
      </c>
      <c r="AO128" s="408">
        <f ca="1">IF(OR(TYPE(O128)&gt;1,TYPE(MATCH(O128,I$11:I$267,0))&gt;1),0,MATCH(O128,I$11:I$267,0))+IF(OR(TYPE(O128)&gt;1,TYPE(MATCH(O128,O129:O$267,0))&gt;1),0,MATCH(O128,O129:O$267,0))+IF(OR(TYPE(O128)&gt;1,TYPE(MATCH(O128,U$11:U$267,0))&gt;1),0,MATCH(O128,U$11:U$267,0))+IF(OR(TYPE(O128)&gt;1,TYPE(MATCH(O128,AA$11:AA$267,0))&gt;1),0,MATCH(O128,AA$11:AA$267,0))</f>
        <v>0</v>
      </c>
      <c r="AP128" s="408">
        <f ca="1">IF(OR(TYPE(U128)&gt;1,TYPE(MATCH(U128,I$11:I$267,0))&gt;1),0,MATCH(U128,I$11:I$267,0))+IF(OR(TYPE(U128)&gt;1,TYPE(MATCH(U128,O$11:O$267,0))&gt;1),0,MATCH(U128,O$11:O$267,0))+IF(OR(TYPE(U128)&gt;1,TYPE(MATCH(U128,U129:U$267,0))&gt;1),0,MATCH(U128,U129:U$267,0))+IF(OR(TYPE(U128)&gt;1,TYPE(MATCH(U128,AA$11:AA$267,0))&gt;1),0,MATCH(U128,AA$11:AA$267,0))</f>
        <v>0</v>
      </c>
      <c r="AQ128" s="408">
        <f ca="1">IF(OR(TYPE(AA128)&gt;1,TYPE(MATCH(AA128,I$11:I$267,0))&gt;1),0,MATCH(AA128,I$11:I$267,0))+IF(OR(TYPE(AA128)&gt;1,TYPE(MATCH(AA128,O$11:O$267,0))&gt;1),0,MATCH(AA128,O$11:O$267,0))+IF(OR(TYPE(AA128)&gt;1,TYPE(MATCH(AA128,U$11:U$267,0))&gt;1),0,MATCH(U128,U$11:U$267,0))+IF(OR(TYPE(AA128)&gt;1,TYPE(MATCH(AA128,AA129:AA$267,0))&gt;1),0,MATCH(AA128,AA129:AA$267,0))</f>
        <v>0</v>
      </c>
      <c r="AR128" s="408">
        <f t="shared" ca="1" si="44"/>
        <v>0</v>
      </c>
      <c r="BF128" s="408">
        <f t="shared" si="45"/>
        <v>118</v>
      </c>
    </row>
    <row r="129" spans="1:58" ht="14.25">
      <c r="A129" s="430">
        <f t="shared" ca="1" si="46"/>
        <v>1</v>
      </c>
      <c r="B129" s="430">
        <f t="shared" ca="1" si="47"/>
        <v>1</v>
      </c>
      <c r="C129" s="430">
        <f t="shared" ca="1" si="48"/>
        <v>8.1880000000000006</v>
      </c>
      <c r="D129" s="430">
        <f t="shared" ca="1" si="49"/>
        <v>20327</v>
      </c>
      <c r="E129" s="430">
        <f t="shared" ca="1" si="50"/>
        <v>329</v>
      </c>
      <c r="F129" s="431" t="str">
        <f t="shared" ca="1" si="51"/>
        <v>01000000000000000000996493</v>
      </c>
      <c r="G129" s="467" t="b">
        <f t="shared" ca="1" si="52"/>
        <v>0</v>
      </c>
      <c r="H129" s="468">
        <f t="shared" si="53"/>
        <v>119</v>
      </c>
      <c r="I129" s="469">
        <f t="shared" ca="1" si="54"/>
        <v>19026</v>
      </c>
      <c r="J129" s="470" t="str">
        <f ca="1">IF(N(I129)&gt;0,VLOOKUP(I129,Hraci!$A$1:$I$1500,2,0),IF(TYPE(INDIRECT(ADDRESS(ROW() + $A$9-9 + (ROW()-11)*4,2,1,1,"Internet")))&gt;1,INDIRECT(ADDRESS(ROW() + $A$9-9 + (ROW()-11)*4,2,1,1,"Internet"))," "))</f>
        <v>Rendjambe</v>
      </c>
      <c r="K129" s="471" t="str">
        <f ca="1">IF(N(I129)&gt;0,VLOOKUP(I129,Hraci!$A$1:$I$1500,3,0)," ")</f>
        <v>Amos</v>
      </c>
      <c r="L129" s="471" t="str">
        <f ca="1">IF(N(I129)&gt;0,VLOOKUP(I129,Hraci!$A$1:$I$1500,5,0),IF(TYPE(INDIRECT(ADDRESS(ROW() + $A$9-9 + (ROW()-11)*4,3,1,1,"Internet")))&gt;1,INDIRECT(ADDRESS(ROW() + $A$9-9 + (ROW()-11)*4,3,1,1,"Internet"))," "))</f>
        <v>Petank Club Praha</v>
      </c>
      <c r="M129" s="472">
        <f ca="1">IF(N(I129)=0,9999,VLOOKUP(I129,Hraci!$A$1:$I$1500,8,0))</f>
        <v>329</v>
      </c>
      <c r="N129" s="473">
        <f ca="1">IF(N(I129)=0,0,VLOOKUP(I129,Hraci!$A$1:$I$1500,9,0))</f>
        <v>8.1880000000000006</v>
      </c>
      <c r="O129" s="469" t="str">
        <f t="shared" ca="1" si="55"/>
        <v/>
      </c>
      <c r="P129" s="470" t="str">
        <f ca="1">IF(N(O129)&gt;0,VLOOKUP(O129,Hraci!$A$1:$I$1500,2,0),IF(TYPE(INDIRECT(ADDRESS(ROW() + $A$9-8 + (ROW()-11)*4,2,1,1,"Internet")))&gt;1,INDIRECT(ADDRESS(ROW() + $A$9-8 + (ROW()-11)*4,2,1,1,"Internet"))," "))</f>
        <v xml:space="preserve"> </v>
      </c>
      <c r="Q129" s="471" t="str">
        <f ca="1">IF(N(O129)&gt;0,VLOOKUP(O129,Hraci!$A$1:$I$1500,3,0)," ")</f>
        <v xml:space="preserve"> </v>
      </c>
      <c r="R129" s="471" t="str">
        <f ca="1">IF(N(O129)&gt;0,VLOOKUP(O129,Hraci!$A$1:$I$1500,5,0),IF(TYPE(INDIRECT(ADDRESS(ROW() + $A$9-8 + (ROW()-11)*4,3,1,1,"Internet")))&gt;1,INDIRECT(ADDRESS(ROW() + $A$9-8 + (ROW()-11)*4,3,1,1,"Internet"))," "))</f>
        <v xml:space="preserve"> </v>
      </c>
      <c r="S129" s="472">
        <f ca="1">IF(N(O129)=0,9999,VLOOKUP(O129,Hraci!$A$1:$I$1500,8,0))</f>
        <v>9999</v>
      </c>
      <c r="T129" s="473">
        <f ca="1">IF(N(O129)=0,0,VLOOKUP(O129,Hraci!$A$1:$I$1500,9,0))</f>
        <v>0</v>
      </c>
      <c r="U129" s="469" t="str">
        <f t="shared" ca="1" si="56"/>
        <v/>
      </c>
      <c r="V129" s="470" t="str">
        <f ca="1">IF(N(U129)&gt;0,VLOOKUP(U129,Hraci!$A$1:$I$1500,2,0),IF(TYPE(INDIRECT(ADDRESS(ROW() + $A$9-7 + (ROW()-11)*4,2,1,1,"Internet")))&gt;1,INDIRECT(ADDRESS(ROW() + $A$9-7 + (ROW()-11)*4,2,1,1,"Internet"))," "))</f>
        <v xml:space="preserve"> </v>
      </c>
      <c r="W129" s="471" t="str">
        <f ca="1">IF(N(U129)&gt;0,VLOOKUP(U129,Hraci!$A$1:$I$1500,3,0)," ")</f>
        <v xml:space="preserve"> </v>
      </c>
      <c r="X129" s="471" t="str">
        <f ca="1">IF(N(U129)&gt;0,VLOOKUP(U129,Hraci!$A$1:$I$1500,5,0),IF(TYPE(INDIRECT(ADDRESS(ROW() + $A$9-7 + (ROW()-11)*4,3,1,1,"Internet")))&gt;1,INDIRECT(ADDRESS(ROW() + $A$9-7 + (ROW()-11)*4,3,1,1,"Internet"))," "))</f>
        <v xml:space="preserve"> </v>
      </c>
      <c r="Y129" s="472">
        <f ca="1">IF(N(U129)=0,9999,VLOOKUP(U129,Hraci!$A$1:$I$1500,8,0))</f>
        <v>9999</v>
      </c>
      <c r="Z129" s="473">
        <f ca="1">IF(N(U129)=0,0,VLOOKUP(U129,Hraci!$A$1:$I$1500,9,0))</f>
        <v>0</v>
      </c>
      <c r="AA129" s="469" t="str">
        <f t="shared" ca="1" si="57"/>
        <v/>
      </c>
      <c r="AB129" s="470" t="str">
        <f ca="1">IF(N(AA129)&gt;0,VLOOKUP(AA129,Hraci!$A$1:$I$1500,2,0)," ")</f>
        <v xml:space="preserve"> </v>
      </c>
      <c r="AC129" s="471" t="str">
        <f ca="1">IF(N(AA129)&gt;0,VLOOKUP(AA129,Hraci!$A$1:$I$1500,3,0)," ")</f>
        <v xml:space="preserve"> </v>
      </c>
      <c r="AD129" s="471" t="str">
        <f ca="1">IF(N(AA129)&gt;0,VLOOKUP(AA129,Hraci!$A$1:$I$1500,5,0)," ")</f>
        <v xml:space="preserve"> </v>
      </c>
      <c r="AE129" s="472">
        <f ca="1">IF(N(AA129)=0,9999,VLOOKUP(AA129,Hraci!$A$1:$I$1500,8,0))</f>
        <v>9999</v>
      </c>
      <c r="AF129" s="473">
        <f ca="1">IF(N(AA129)=0,0,VLOOKUP(AA129,Hraci!$A$1:$I$1500,9,0))</f>
        <v>0</v>
      </c>
      <c r="AG129" s="474"/>
      <c r="AH129" s="480">
        <f ca="1">IF(TYPE(VLOOKUP(H129,Nasazení!$A$3:$E$258,5,0))&lt;4,VLOOKUP(H129,Nasazení!$A$3:$E$258,5,0),0)</f>
        <v>143</v>
      </c>
      <c r="AI129" s="475">
        <f ca="1">IF(N($AH129)&gt;0,VLOOKUP($AH129,Body!$A$4:$F$259,5,0),"")</f>
        <v>20</v>
      </c>
      <c r="AJ129" s="476">
        <f ca="1">IF(N($AH129)&gt;0,VLOOKUP($AH129,Body!$A$4:$F$259,6,0),"")</f>
        <v>0</v>
      </c>
      <c r="AK129" s="475">
        <f ca="1">IF(N($AH129)&gt;0,VLOOKUP($AH129,Body!$A$4:$F$259,2,0),"")</f>
        <v>0</v>
      </c>
      <c r="AL129" s="477" t="str">
        <f t="shared" ca="1" si="58"/>
        <v>119 Petank Club Praha - Rendjambe Amos</v>
      </c>
      <c r="AM129" s="478">
        <f t="shared" ca="1" si="59"/>
        <v>8.1880000000000006</v>
      </c>
      <c r="AN129" s="408">
        <f ca="1">IF(OR(TYPE(I129)&gt;1,TYPE(MATCH(I129,I130:I$267,0))&gt;1),0,MATCH(I129,I130:I$267,0))+IF(OR(TYPE(I129)&gt;1,TYPE(MATCH(I129,O$11:O$267,0))&gt;1),0,MATCH(I129,O$11:O$267,0))+IF(OR(TYPE(I129)&gt;1,TYPE(MATCH(I129,U$11:U$267,0))&gt;1),0,MATCH(I129,U$11:U$267,0))+IF(OR(TYPE(I129)&gt;1,TYPE(MATCH(I129,AA$11:AA$267,0))&gt;1),0,MATCH(I129,AA$11:AA$267,0))</f>
        <v>0</v>
      </c>
      <c r="AO129" s="408">
        <f ca="1">IF(OR(TYPE(O129)&gt;1,TYPE(MATCH(O129,I$11:I$267,0))&gt;1),0,MATCH(O129,I$11:I$267,0))+IF(OR(TYPE(O129)&gt;1,TYPE(MATCH(O129,O130:O$267,0))&gt;1),0,MATCH(O129,O130:O$267,0))+IF(OR(TYPE(O129)&gt;1,TYPE(MATCH(O129,U$11:U$267,0))&gt;1),0,MATCH(O129,U$11:U$267,0))+IF(OR(TYPE(O129)&gt;1,TYPE(MATCH(O129,AA$11:AA$267,0))&gt;1),0,MATCH(O129,AA$11:AA$267,0))</f>
        <v>0</v>
      </c>
      <c r="AP129" s="408">
        <f ca="1">IF(OR(TYPE(U129)&gt;1,TYPE(MATCH(U129,I$11:I$267,0))&gt;1),0,MATCH(U129,I$11:I$267,0))+IF(OR(TYPE(U129)&gt;1,TYPE(MATCH(U129,O$11:O$267,0))&gt;1),0,MATCH(U129,O$11:O$267,0))+IF(OR(TYPE(U129)&gt;1,TYPE(MATCH(U129,U130:U$267,0))&gt;1),0,MATCH(U129,U130:U$267,0))+IF(OR(TYPE(U129)&gt;1,TYPE(MATCH(U129,AA$11:AA$267,0))&gt;1),0,MATCH(U129,AA$11:AA$267,0))</f>
        <v>0</v>
      </c>
      <c r="AQ129" s="408">
        <f ca="1">IF(OR(TYPE(AA129)&gt;1,TYPE(MATCH(AA129,I$11:I$267,0))&gt;1),0,MATCH(AA129,I$11:I$267,0))+IF(OR(TYPE(AA129)&gt;1,TYPE(MATCH(AA129,O$11:O$267,0))&gt;1),0,MATCH(AA129,O$11:O$267,0))+IF(OR(TYPE(AA129)&gt;1,TYPE(MATCH(AA129,U$11:U$267,0))&gt;1),0,MATCH(U129,U$11:U$267,0))+IF(OR(TYPE(AA129)&gt;1,TYPE(MATCH(AA129,AA130:AA$267,0))&gt;1),0,MATCH(AA129,AA130:AA$267,0))</f>
        <v>0</v>
      </c>
      <c r="AR129" s="408">
        <f t="shared" ca="1" si="44"/>
        <v>0</v>
      </c>
      <c r="BF129" s="408">
        <f t="shared" si="45"/>
        <v>119</v>
      </c>
    </row>
    <row r="130" spans="1:58" ht="14.25">
      <c r="A130" s="430">
        <f t="shared" ca="1" si="46"/>
        <v>1</v>
      </c>
      <c r="B130" s="430">
        <f t="shared" ca="1" si="47"/>
        <v>1</v>
      </c>
      <c r="C130" s="430">
        <f t="shared" ca="1" si="48"/>
        <v>8.0950000000000006</v>
      </c>
      <c r="D130" s="430">
        <f t="shared" ca="1" si="49"/>
        <v>20219</v>
      </c>
      <c r="E130" s="430">
        <f t="shared" ca="1" si="50"/>
        <v>221</v>
      </c>
      <c r="F130" s="431" t="str">
        <f t="shared" ca="1" si="51"/>
        <v>01000000000000000000556953</v>
      </c>
      <c r="G130" s="467" t="b">
        <f t="shared" ca="1" si="52"/>
        <v>0</v>
      </c>
      <c r="H130" s="468">
        <f t="shared" si="53"/>
        <v>120</v>
      </c>
      <c r="I130" s="469">
        <f t="shared" ca="1" si="54"/>
        <v>20557</v>
      </c>
      <c r="J130" s="470" t="str">
        <f ca="1">IF(N(I130)&gt;0,VLOOKUP(I130,Hraci!$A$1:$I$1500,2,0),IF(TYPE(INDIRECT(ADDRESS(ROW() + $A$9-9 + (ROW()-11)*4,2,1,1,"Internet")))&gt;1,INDIRECT(ADDRESS(ROW() + $A$9-9 + (ROW()-11)*4,2,1,1,"Internet"))," "))</f>
        <v>Křešťáková</v>
      </c>
      <c r="K130" s="471" t="str">
        <f ca="1">IF(N(I130)&gt;0,VLOOKUP(I130,Hraci!$A$1:$I$1500,3,0)," ")</f>
        <v>Jana</v>
      </c>
      <c r="L130" s="471" t="str">
        <f ca="1">IF(N(I130)&gt;0,VLOOKUP(I130,Hraci!$A$1:$I$1500,5,0),IF(TYPE(INDIRECT(ADDRESS(ROW() + $A$9-9 + (ROW()-11)*4,3,1,1,"Internet")))&gt;1,INDIRECT(ADDRESS(ROW() + $A$9-9 + (ROW()-11)*4,3,1,1,"Internet"))," "))</f>
        <v>Petank Club Praha</v>
      </c>
      <c r="M130" s="472">
        <f ca="1">IF(N(I130)=0,9999,VLOOKUP(I130,Hraci!$A$1:$I$1500,8,0))</f>
        <v>221</v>
      </c>
      <c r="N130" s="473">
        <f ca="1">IF(N(I130)=0,0,VLOOKUP(I130,Hraci!$A$1:$I$1500,9,0))</f>
        <v>8.0950000000000006</v>
      </c>
      <c r="O130" s="469" t="str">
        <f t="shared" ca="1" si="55"/>
        <v/>
      </c>
      <c r="P130" s="470" t="str">
        <f ca="1">IF(N(O130)&gt;0,VLOOKUP(O130,Hraci!$A$1:$I$1500,2,0),IF(TYPE(INDIRECT(ADDRESS(ROW() + $A$9-8 + (ROW()-11)*4,2,1,1,"Internet")))&gt;1,INDIRECT(ADDRESS(ROW() + $A$9-8 + (ROW()-11)*4,2,1,1,"Internet"))," "))</f>
        <v xml:space="preserve"> </v>
      </c>
      <c r="Q130" s="471" t="str">
        <f ca="1">IF(N(O130)&gt;0,VLOOKUP(O130,Hraci!$A$1:$I$1500,3,0)," ")</f>
        <v xml:space="preserve"> </v>
      </c>
      <c r="R130" s="471" t="str">
        <f ca="1">IF(N(O130)&gt;0,VLOOKUP(O130,Hraci!$A$1:$I$1500,5,0),IF(TYPE(INDIRECT(ADDRESS(ROW() + $A$9-8 + (ROW()-11)*4,3,1,1,"Internet")))&gt;1,INDIRECT(ADDRESS(ROW() + $A$9-8 + (ROW()-11)*4,3,1,1,"Internet"))," "))</f>
        <v xml:space="preserve"> </v>
      </c>
      <c r="S130" s="472">
        <f ca="1">IF(N(O130)=0,9999,VLOOKUP(O130,Hraci!$A$1:$I$1500,8,0))</f>
        <v>9999</v>
      </c>
      <c r="T130" s="473">
        <f ca="1">IF(N(O130)=0,0,VLOOKUP(O130,Hraci!$A$1:$I$1500,9,0))</f>
        <v>0</v>
      </c>
      <c r="U130" s="469" t="str">
        <f t="shared" ca="1" si="56"/>
        <v/>
      </c>
      <c r="V130" s="470" t="str">
        <f ca="1">IF(N(U130)&gt;0,VLOOKUP(U130,Hraci!$A$1:$I$1500,2,0),IF(TYPE(INDIRECT(ADDRESS(ROW() + $A$9-7 + (ROW()-11)*4,2,1,1,"Internet")))&gt;1,INDIRECT(ADDRESS(ROW() + $A$9-7 + (ROW()-11)*4,2,1,1,"Internet"))," "))</f>
        <v xml:space="preserve"> </v>
      </c>
      <c r="W130" s="471" t="str">
        <f ca="1">IF(N(U130)&gt;0,VLOOKUP(U130,Hraci!$A$1:$I$1500,3,0)," ")</f>
        <v xml:space="preserve"> </v>
      </c>
      <c r="X130" s="471" t="str">
        <f ca="1">IF(N(U130)&gt;0,VLOOKUP(U130,Hraci!$A$1:$I$1500,5,0),IF(TYPE(INDIRECT(ADDRESS(ROW() + $A$9-7 + (ROW()-11)*4,3,1,1,"Internet")))&gt;1,INDIRECT(ADDRESS(ROW() + $A$9-7 + (ROW()-11)*4,3,1,1,"Internet"))," "))</f>
        <v xml:space="preserve"> </v>
      </c>
      <c r="Y130" s="472">
        <f ca="1">IF(N(U130)=0,9999,VLOOKUP(U130,Hraci!$A$1:$I$1500,8,0))</f>
        <v>9999</v>
      </c>
      <c r="Z130" s="473">
        <f ca="1">IF(N(U130)=0,0,VLOOKUP(U130,Hraci!$A$1:$I$1500,9,0))</f>
        <v>0</v>
      </c>
      <c r="AA130" s="469" t="str">
        <f t="shared" ca="1" si="57"/>
        <v/>
      </c>
      <c r="AB130" s="470" t="str">
        <f ca="1">IF(N(AA130)&gt;0,VLOOKUP(AA130,Hraci!$A$1:$I$1500,2,0)," ")</f>
        <v xml:space="preserve"> </v>
      </c>
      <c r="AC130" s="471" t="str">
        <f ca="1">IF(N(AA130)&gt;0,VLOOKUP(AA130,Hraci!$A$1:$I$1500,3,0)," ")</f>
        <v xml:space="preserve"> </v>
      </c>
      <c r="AD130" s="471" t="str">
        <f ca="1">IF(N(AA130)&gt;0,VLOOKUP(AA130,Hraci!$A$1:$I$1500,5,0)," ")</f>
        <v xml:space="preserve"> </v>
      </c>
      <c r="AE130" s="472">
        <f ca="1">IF(N(AA130)=0,9999,VLOOKUP(AA130,Hraci!$A$1:$I$1500,8,0))</f>
        <v>9999</v>
      </c>
      <c r="AF130" s="473">
        <f ca="1">IF(N(AA130)=0,0,VLOOKUP(AA130,Hraci!$A$1:$I$1500,9,0))</f>
        <v>0</v>
      </c>
      <c r="AG130" s="474"/>
      <c r="AH130" s="480">
        <f ca="1">IF(TYPE(VLOOKUP(H130,Nasazení!$A$3:$E$258,5,0))&lt;4,VLOOKUP(H130,Nasazení!$A$3:$E$258,5,0),0)</f>
        <v>64</v>
      </c>
      <c r="AI130" s="475">
        <f ca="1">IF(N($AH130)&gt;0,VLOOKUP($AH130,Body!$A$4:$F$259,5,0),"")</f>
        <v>288.35162500000001</v>
      </c>
      <c r="AJ130" s="476">
        <f ca="1">IF(N($AH130)&gt;0,VLOOKUP($AH130,Body!$A$4:$F$259,6,0),"")</f>
        <v>200</v>
      </c>
      <c r="AK130" s="475">
        <f ca="1">IF(N($AH130)&gt;0,VLOOKUP($AH130,Body!$A$4:$F$259,2,0),"")</f>
        <v>2</v>
      </c>
      <c r="AL130" s="477" t="str">
        <f t="shared" ca="1" si="58"/>
        <v>120 Petank Club Praha - Křešťáková Jana</v>
      </c>
      <c r="AM130" s="478">
        <f t="shared" ca="1" si="59"/>
        <v>8.0950000000000006</v>
      </c>
      <c r="AN130" s="408">
        <f ca="1">IF(OR(TYPE(I130)&gt;1,TYPE(MATCH(I130,I131:I$267,0))&gt;1),0,MATCH(I130,I131:I$267,0))+IF(OR(TYPE(I130)&gt;1,TYPE(MATCH(I130,O$11:O$267,0))&gt;1),0,MATCH(I130,O$11:O$267,0))+IF(OR(TYPE(I130)&gt;1,TYPE(MATCH(I130,U$11:U$267,0))&gt;1),0,MATCH(I130,U$11:U$267,0))+IF(OR(TYPE(I130)&gt;1,TYPE(MATCH(I130,AA$11:AA$267,0))&gt;1),0,MATCH(I130,AA$11:AA$267,0))</f>
        <v>0</v>
      </c>
      <c r="AO130" s="408">
        <f ca="1">IF(OR(TYPE(O130)&gt;1,TYPE(MATCH(O130,I$11:I$267,0))&gt;1),0,MATCH(O130,I$11:I$267,0))+IF(OR(TYPE(O130)&gt;1,TYPE(MATCH(O130,O131:O$267,0))&gt;1),0,MATCH(O130,O131:O$267,0))+IF(OR(TYPE(O130)&gt;1,TYPE(MATCH(O130,U$11:U$267,0))&gt;1),0,MATCH(O130,U$11:U$267,0))+IF(OR(TYPE(O130)&gt;1,TYPE(MATCH(O130,AA$11:AA$267,0))&gt;1),0,MATCH(O130,AA$11:AA$267,0))</f>
        <v>0</v>
      </c>
      <c r="AP130" s="408">
        <f ca="1">IF(OR(TYPE(U130)&gt;1,TYPE(MATCH(U130,I$11:I$267,0))&gt;1),0,MATCH(U130,I$11:I$267,0))+IF(OR(TYPE(U130)&gt;1,TYPE(MATCH(U130,O$11:O$267,0))&gt;1),0,MATCH(U130,O$11:O$267,0))+IF(OR(TYPE(U130)&gt;1,TYPE(MATCH(U130,U131:U$267,0))&gt;1),0,MATCH(U130,U131:U$267,0))+IF(OR(TYPE(U130)&gt;1,TYPE(MATCH(U130,AA$11:AA$267,0))&gt;1),0,MATCH(U130,AA$11:AA$267,0))</f>
        <v>0</v>
      </c>
      <c r="AQ130" s="408">
        <f ca="1">IF(OR(TYPE(AA130)&gt;1,TYPE(MATCH(AA130,I$11:I$267,0))&gt;1),0,MATCH(AA130,I$11:I$267,0))+IF(OR(TYPE(AA130)&gt;1,TYPE(MATCH(AA130,O$11:O$267,0))&gt;1),0,MATCH(AA130,O$11:O$267,0))+IF(OR(TYPE(AA130)&gt;1,TYPE(MATCH(AA130,U$11:U$267,0))&gt;1),0,MATCH(U130,U$11:U$267,0))+IF(OR(TYPE(AA130)&gt;1,TYPE(MATCH(AA130,AA131:AA$267,0))&gt;1),0,MATCH(AA130,AA131:AA$267,0))</f>
        <v>0</v>
      </c>
      <c r="AR130" s="408">
        <f t="shared" ca="1" si="44"/>
        <v>0</v>
      </c>
      <c r="BF130" s="408">
        <f t="shared" si="45"/>
        <v>120</v>
      </c>
    </row>
    <row r="131" spans="1:58" ht="14.25">
      <c r="A131" s="430">
        <f t="shared" ca="1" si="46"/>
        <v>1</v>
      </c>
      <c r="B131" s="430">
        <f t="shared" ca="1" si="47"/>
        <v>1</v>
      </c>
      <c r="C131" s="430">
        <f t="shared" ca="1" si="48"/>
        <v>8.032</v>
      </c>
      <c r="D131" s="430">
        <f t="shared" ca="1" si="49"/>
        <v>20212</v>
      </c>
      <c r="E131" s="430">
        <f t="shared" ca="1" si="50"/>
        <v>214</v>
      </c>
      <c r="F131" s="431" t="str">
        <f t="shared" ca="1" si="51"/>
        <v>01000000000000000000880963</v>
      </c>
      <c r="G131" s="467" t="b">
        <f t="shared" ca="1" si="52"/>
        <v>0</v>
      </c>
      <c r="H131" s="468">
        <f t="shared" si="53"/>
        <v>121</v>
      </c>
      <c r="I131" s="469">
        <f t="shared" ca="1" si="54"/>
        <v>19013</v>
      </c>
      <c r="J131" s="470" t="str">
        <f ca="1">IF(N(I131)&gt;0,VLOOKUP(I131,Hraci!$A$1:$I$1500,2,0),IF(TYPE(INDIRECT(ADDRESS(ROW() + $A$9-9 + (ROW()-11)*4,2,1,1,"Internet")))&gt;1,INDIRECT(ADDRESS(ROW() + $A$9-9 + (ROW()-11)*4,2,1,1,"Internet"))," "))</f>
        <v>Kmoch</v>
      </c>
      <c r="K131" s="471" t="str">
        <f ca="1">IF(N(I131)&gt;0,VLOOKUP(I131,Hraci!$A$1:$I$1500,3,0)," ")</f>
        <v>Miroslav</v>
      </c>
      <c r="L131" s="471" t="str">
        <f ca="1">IF(N(I131)&gt;0,VLOOKUP(I131,Hraci!$A$1:$I$1500,5,0),IF(TYPE(INDIRECT(ADDRESS(ROW() + $A$9-9 + (ROW()-11)*4,3,1,1,"Internet")))&gt;1,INDIRECT(ADDRESS(ROW() + $A$9-9 + (ROW()-11)*4,3,1,1,"Internet"))," "))</f>
        <v>PCP Lipník</v>
      </c>
      <c r="M131" s="472">
        <f ca="1">IF(N(I131)=0,9999,VLOOKUP(I131,Hraci!$A$1:$I$1500,8,0))</f>
        <v>214</v>
      </c>
      <c r="N131" s="473">
        <f ca="1">IF(N(I131)=0,0,VLOOKUP(I131,Hraci!$A$1:$I$1500,9,0))</f>
        <v>8.032</v>
      </c>
      <c r="O131" s="469" t="str">
        <f t="shared" ca="1" si="55"/>
        <v/>
      </c>
      <c r="P131" s="470" t="str">
        <f ca="1">IF(N(O131)&gt;0,VLOOKUP(O131,Hraci!$A$1:$I$1500,2,0),IF(TYPE(INDIRECT(ADDRESS(ROW() + $A$9-8 + (ROW()-11)*4,2,1,1,"Internet")))&gt;1,INDIRECT(ADDRESS(ROW() + $A$9-8 + (ROW()-11)*4,2,1,1,"Internet"))," "))</f>
        <v xml:space="preserve"> </v>
      </c>
      <c r="Q131" s="471" t="str">
        <f ca="1">IF(N(O131)&gt;0,VLOOKUP(O131,Hraci!$A$1:$I$1500,3,0)," ")</f>
        <v xml:space="preserve"> </v>
      </c>
      <c r="R131" s="471" t="str">
        <f ca="1">IF(N(O131)&gt;0,VLOOKUP(O131,Hraci!$A$1:$I$1500,5,0),IF(TYPE(INDIRECT(ADDRESS(ROW() + $A$9-8 + (ROW()-11)*4,3,1,1,"Internet")))&gt;1,INDIRECT(ADDRESS(ROW() + $A$9-8 + (ROW()-11)*4,3,1,1,"Internet"))," "))</f>
        <v xml:space="preserve"> </v>
      </c>
      <c r="S131" s="472">
        <f ca="1">IF(N(O131)=0,9999,VLOOKUP(O131,Hraci!$A$1:$I$1500,8,0))</f>
        <v>9999</v>
      </c>
      <c r="T131" s="473">
        <f ca="1">IF(N(O131)=0,0,VLOOKUP(O131,Hraci!$A$1:$I$1500,9,0))</f>
        <v>0</v>
      </c>
      <c r="U131" s="469" t="str">
        <f t="shared" ca="1" si="56"/>
        <v/>
      </c>
      <c r="V131" s="470" t="str">
        <f ca="1">IF(N(U131)&gt;0,VLOOKUP(U131,Hraci!$A$1:$I$1500,2,0),IF(TYPE(INDIRECT(ADDRESS(ROW() + $A$9-7 + (ROW()-11)*4,2,1,1,"Internet")))&gt;1,INDIRECT(ADDRESS(ROW() + $A$9-7 + (ROW()-11)*4,2,1,1,"Internet"))," "))</f>
        <v xml:space="preserve"> </v>
      </c>
      <c r="W131" s="471" t="str">
        <f ca="1">IF(N(U131)&gt;0,VLOOKUP(U131,Hraci!$A$1:$I$1500,3,0)," ")</f>
        <v xml:space="preserve"> </v>
      </c>
      <c r="X131" s="471" t="str">
        <f ca="1">IF(N(U131)&gt;0,VLOOKUP(U131,Hraci!$A$1:$I$1500,5,0),IF(TYPE(INDIRECT(ADDRESS(ROW() + $A$9-7 + (ROW()-11)*4,3,1,1,"Internet")))&gt;1,INDIRECT(ADDRESS(ROW() + $A$9-7 + (ROW()-11)*4,3,1,1,"Internet"))," "))</f>
        <v xml:space="preserve"> </v>
      </c>
      <c r="Y131" s="472">
        <f ca="1">IF(N(U131)=0,9999,VLOOKUP(U131,Hraci!$A$1:$I$1500,8,0))</f>
        <v>9999</v>
      </c>
      <c r="Z131" s="473">
        <f ca="1">IF(N(U131)=0,0,VLOOKUP(U131,Hraci!$A$1:$I$1500,9,0))</f>
        <v>0</v>
      </c>
      <c r="AA131" s="469" t="str">
        <f t="shared" ca="1" si="57"/>
        <v/>
      </c>
      <c r="AB131" s="470" t="str">
        <f ca="1">IF(N(AA131)&gt;0,VLOOKUP(AA131,Hraci!$A$1:$I$1500,2,0)," ")</f>
        <v xml:space="preserve"> </v>
      </c>
      <c r="AC131" s="471" t="str">
        <f ca="1">IF(N(AA131)&gt;0,VLOOKUP(AA131,Hraci!$A$1:$I$1500,3,0)," ")</f>
        <v xml:space="preserve"> </v>
      </c>
      <c r="AD131" s="471" t="str">
        <f ca="1">IF(N(AA131)&gt;0,VLOOKUP(AA131,Hraci!$A$1:$I$1500,5,0)," ")</f>
        <v xml:space="preserve"> </v>
      </c>
      <c r="AE131" s="472">
        <f ca="1">IF(N(AA131)=0,9999,VLOOKUP(AA131,Hraci!$A$1:$I$1500,8,0))</f>
        <v>9999</v>
      </c>
      <c r="AF131" s="473">
        <f ca="1">IF(N(AA131)=0,0,VLOOKUP(AA131,Hraci!$A$1:$I$1500,9,0))</f>
        <v>0</v>
      </c>
      <c r="AG131" s="474"/>
      <c r="AH131" s="480">
        <f ca="1">IF(TYPE(VLOOKUP(H131,Nasazení!$A$3:$E$258,5,0))&lt;4,VLOOKUP(H131,Nasazení!$A$3:$E$258,5,0),0)</f>
        <v>64</v>
      </c>
      <c r="AI131" s="475">
        <f ca="1">IF(N($AH131)&gt;0,VLOOKUP($AH131,Body!$A$4:$F$259,5,0),"")</f>
        <v>288.35162500000001</v>
      </c>
      <c r="AJ131" s="476">
        <f ca="1">IF(N($AH131)&gt;0,VLOOKUP($AH131,Body!$A$4:$F$259,6,0),"")</f>
        <v>200</v>
      </c>
      <c r="AK131" s="475">
        <f ca="1">IF(N($AH131)&gt;0,VLOOKUP($AH131,Body!$A$4:$F$259,2,0),"")</f>
        <v>2</v>
      </c>
      <c r="AL131" s="477" t="str">
        <f t="shared" ca="1" si="58"/>
        <v>121 PCP Lipník - Kmoch Miroslav</v>
      </c>
      <c r="AM131" s="478">
        <f t="shared" ca="1" si="59"/>
        <v>8.032</v>
      </c>
      <c r="AN131" s="408">
        <f ca="1">IF(OR(TYPE(I131)&gt;1,TYPE(MATCH(I131,I132:I$267,0))&gt;1),0,MATCH(I131,I132:I$267,0))+IF(OR(TYPE(I131)&gt;1,TYPE(MATCH(I131,O$11:O$267,0))&gt;1),0,MATCH(I131,O$11:O$267,0))+IF(OR(TYPE(I131)&gt;1,TYPE(MATCH(I131,U$11:U$267,0))&gt;1),0,MATCH(I131,U$11:U$267,0))+IF(OR(TYPE(I131)&gt;1,TYPE(MATCH(I131,AA$11:AA$267,0))&gt;1),0,MATCH(I131,AA$11:AA$267,0))</f>
        <v>0</v>
      </c>
      <c r="AO131" s="408">
        <f ca="1">IF(OR(TYPE(O131)&gt;1,TYPE(MATCH(O131,I$11:I$267,0))&gt;1),0,MATCH(O131,I$11:I$267,0))+IF(OR(TYPE(O131)&gt;1,TYPE(MATCH(O131,O132:O$267,0))&gt;1),0,MATCH(O131,O132:O$267,0))+IF(OR(TYPE(O131)&gt;1,TYPE(MATCH(O131,U$11:U$267,0))&gt;1),0,MATCH(O131,U$11:U$267,0))+IF(OR(TYPE(O131)&gt;1,TYPE(MATCH(O131,AA$11:AA$267,0))&gt;1),0,MATCH(O131,AA$11:AA$267,0))</f>
        <v>0</v>
      </c>
      <c r="AP131" s="408">
        <f ca="1">IF(OR(TYPE(U131)&gt;1,TYPE(MATCH(U131,I$11:I$267,0))&gt;1),0,MATCH(U131,I$11:I$267,0))+IF(OR(TYPE(U131)&gt;1,TYPE(MATCH(U131,O$11:O$267,0))&gt;1),0,MATCH(U131,O$11:O$267,0))+IF(OR(TYPE(U131)&gt;1,TYPE(MATCH(U131,U132:U$267,0))&gt;1),0,MATCH(U131,U132:U$267,0))+IF(OR(TYPE(U131)&gt;1,TYPE(MATCH(U131,AA$11:AA$267,0))&gt;1),0,MATCH(U131,AA$11:AA$267,0))</f>
        <v>0</v>
      </c>
      <c r="AQ131" s="408">
        <f ca="1">IF(OR(TYPE(AA131)&gt;1,TYPE(MATCH(AA131,I$11:I$267,0))&gt;1),0,MATCH(AA131,I$11:I$267,0))+IF(OR(TYPE(AA131)&gt;1,TYPE(MATCH(AA131,O$11:O$267,0))&gt;1),0,MATCH(AA131,O$11:O$267,0))+IF(OR(TYPE(AA131)&gt;1,TYPE(MATCH(AA131,U$11:U$267,0))&gt;1),0,MATCH(U131,U$11:U$267,0))+IF(OR(TYPE(AA131)&gt;1,TYPE(MATCH(AA131,AA132:AA$267,0))&gt;1),0,MATCH(AA131,AA132:AA$267,0))</f>
        <v>0</v>
      </c>
      <c r="AR131" s="408">
        <f t="shared" ca="1" si="44"/>
        <v>0</v>
      </c>
      <c r="BF131" s="408">
        <f t="shared" si="45"/>
        <v>121</v>
      </c>
    </row>
    <row r="132" spans="1:58" ht="14.25">
      <c r="A132" s="430">
        <f t="shared" ca="1" si="46"/>
        <v>1</v>
      </c>
      <c r="B132" s="430">
        <f t="shared" ca="1" si="47"/>
        <v>1</v>
      </c>
      <c r="C132" s="430">
        <f t="shared" ca="1" si="48"/>
        <v>8.0169999999999995</v>
      </c>
      <c r="D132" s="430">
        <f t="shared" ca="1" si="49"/>
        <v>20281</v>
      </c>
      <c r="E132" s="430">
        <f t="shared" ca="1" si="50"/>
        <v>283</v>
      </c>
      <c r="F132" s="431" t="str">
        <f t="shared" ca="1" si="51"/>
        <v>01000000000000000000374941</v>
      </c>
      <c r="G132" s="467" t="b">
        <f t="shared" ca="1" si="52"/>
        <v>0</v>
      </c>
      <c r="H132" s="468">
        <f t="shared" si="53"/>
        <v>122</v>
      </c>
      <c r="I132" s="469">
        <f t="shared" ca="1" si="54"/>
        <v>19006</v>
      </c>
      <c r="J132" s="470" t="str">
        <f ca="1">IF(N(I132)&gt;0,VLOOKUP(I132,Hraci!$A$1:$I$1500,2,0),IF(TYPE(INDIRECT(ADDRESS(ROW() + $A$9-9 + (ROW()-11)*4,2,1,1,"Internet")))&gt;1,INDIRECT(ADDRESS(ROW() + $A$9-9 + (ROW()-11)*4,2,1,1,"Internet"))," "))</f>
        <v>Koňasová</v>
      </c>
      <c r="K132" s="471" t="str">
        <f ca="1">IF(N(I132)&gt;0,VLOOKUP(I132,Hraci!$A$1:$I$1500,3,0)," ")</f>
        <v>Hana</v>
      </c>
      <c r="L132" s="471" t="str">
        <f ca="1">IF(N(I132)&gt;0,VLOOKUP(I132,Hraci!$A$1:$I$1500,5,0),IF(TYPE(INDIRECT(ADDRESS(ROW() + $A$9-9 + (ROW()-11)*4,3,1,1,"Internet")))&gt;1,INDIRECT(ADDRESS(ROW() + $A$9-9 + (ROW()-11)*4,3,1,1,"Internet"))," "))</f>
        <v>SK Pétanque Řepy</v>
      </c>
      <c r="M132" s="472">
        <f ca="1">IF(N(I132)=0,9999,VLOOKUP(I132,Hraci!$A$1:$I$1500,8,0))</f>
        <v>283</v>
      </c>
      <c r="N132" s="473">
        <f ca="1">IF(N(I132)=0,0,VLOOKUP(I132,Hraci!$A$1:$I$1500,9,0))</f>
        <v>8.0169999999999995</v>
      </c>
      <c r="O132" s="469" t="str">
        <f t="shared" ca="1" si="55"/>
        <v/>
      </c>
      <c r="P132" s="470" t="str">
        <f ca="1">IF(N(O132)&gt;0,VLOOKUP(O132,Hraci!$A$1:$I$1500,2,0),IF(TYPE(INDIRECT(ADDRESS(ROW() + $A$9-8 + (ROW()-11)*4,2,1,1,"Internet")))&gt;1,INDIRECT(ADDRESS(ROW() + $A$9-8 + (ROW()-11)*4,2,1,1,"Internet"))," "))</f>
        <v xml:space="preserve"> </v>
      </c>
      <c r="Q132" s="471" t="str">
        <f ca="1">IF(N(O132)&gt;0,VLOOKUP(O132,Hraci!$A$1:$I$1500,3,0)," ")</f>
        <v xml:space="preserve"> </v>
      </c>
      <c r="R132" s="471" t="str">
        <f ca="1">IF(N(O132)&gt;0,VLOOKUP(O132,Hraci!$A$1:$I$1500,5,0),IF(TYPE(INDIRECT(ADDRESS(ROW() + $A$9-8 + (ROW()-11)*4,3,1,1,"Internet")))&gt;1,INDIRECT(ADDRESS(ROW() + $A$9-8 + (ROW()-11)*4,3,1,1,"Internet"))," "))</f>
        <v xml:space="preserve"> </v>
      </c>
      <c r="S132" s="472">
        <f ca="1">IF(N(O132)=0,9999,VLOOKUP(O132,Hraci!$A$1:$I$1500,8,0))</f>
        <v>9999</v>
      </c>
      <c r="T132" s="473">
        <f ca="1">IF(N(O132)=0,0,VLOOKUP(O132,Hraci!$A$1:$I$1500,9,0))</f>
        <v>0</v>
      </c>
      <c r="U132" s="469" t="str">
        <f t="shared" ca="1" si="56"/>
        <v/>
      </c>
      <c r="V132" s="470" t="str">
        <f ca="1">IF(N(U132)&gt;0,VLOOKUP(U132,Hraci!$A$1:$I$1500,2,0),IF(TYPE(INDIRECT(ADDRESS(ROW() + $A$9-7 + (ROW()-11)*4,2,1,1,"Internet")))&gt;1,INDIRECT(ADDRESS(ROW() + $A$9-7 + (ROW()-11)*4,2,1,1,"Internet"))," "))</f>
        <v xml:space="preserve"> </v>
      </c>
      <c r="W132" s="471" t="str">
        <f ca="1">IF(N(U132)&gt;0,VLOOKUP(U132,Hraci!$A$1:$I$1500,3,0)," ")</f>
        <v xml:space="preserve"> </v>
      </c>
      <c r="X132" s="471" t="str">
        <f ca="1">IF(N(U132)&gt;0,VLOOKUP(U132,Hraci!$A$1:$I$1500,5,0),IF(TYPE(INDIRECT(ADDRESS(ROW() + $A$9-7 + (ROW()-11)*4,3,1,1,"Internet")))&gt;1,INDIRECT(ADDRESS(ROW() + $A$9-7 + (ROW()-11)*4,3,1,1,"Internet"))," "))</f>
        <v xml:space="preserve"> </v>
      </c>
      <c r="Y132" s="472">
        <f ca="1">IF(N(U132)=0,9999,VLOOKUP(U132,Hraci!$A$1:$I$1500,8,0))</f>
        <v>9999</v>
      </c>
      <c r="Z132" s="473">
        <f ca="1">IF(N(U132)=0,0,VLOOKUP(U132,Hraci!$A$1:$I$1500,9,0))</f>
        <v>0</v>
      </c>
      <c r="AA132" s="469" t="str">
        <f t="shared" ca="1" si="57"/>
        <v/>
      </c>
      <c r="AB132" s="470" t="str">
        <f ca="1">IF(N(AA132)&gt;0,VLOOKUP(AA132,Hraci!$A$1:$I$1500,2,0)," ")</f>
        <v xml:space="preserve"> </v>
      </c>
      <c r="AC132" s="471" t="str">
        <f ca="1">IF(N(AA132)&gt;0,VLOOKUP(AA132,Hraci!$A$1:$I$1500,3,0)," ")</f>
        <v xml:space="preserve"> </v>
      </c>
      <c r="AD132" s="471" t="str">
        <f ca="1">IF(N(AA132)&gt;0,VLOOKUP(AA132,Hraci!$A$1:$I$1500,5,0)," ")</f>
        <v xml:space="preserve"> </v>
      </c>
      <c r="AE132" s="472">
        <f ca="1">IF(N(AA132)=0,9999,VLOOKUP(AA132,Hraci!$A$1:$I$1500,8,0))</f>
        <v>9999</v>
      </c>
      <c r="AF132" s="473">
        <f ca="1">IF(N(AA132)=0,0,VLOOKUP(AA132,Hraci!$A$1:$I$1500,9,0))</f>
        <v>0</v>
      </c>
      <c r="AG132" s="474"/>
      <c r="AH132" s="480">
        <f ca="1">IF(TYPE(VLOOKUP(H132,Nasazení!$A$3:$E$258,5,0))&lt;4,VLOOKUP(H132,Nasazení!$A$3:$E$258,5,0),0)</f>
        <v>143</v>
      </c>
      <c r="AI132" s="475">
        <f ca="1">IF(N($AH132)&gt;0,VLOOKUP($AH132,Body!$A$4:$F$259,5,0),"")</f>
        <v>20</v>
      </c>
      <c r="AJ132" s="476">
        <f ca="1">IF(N($AH132)&gt;0,VLOOKUP($AH132,Body!$A$4:$F$259,6,0),"")</f>
        <v>0</v>
      </c>
      <c r="AK132" s="475">
        <f ca="1">IF(N($AH132)&gt;0,VLOOKUP($AH132,Body!$A$4:$F$259,2,0),"")</f>
        <v>0</v>
      </c>
      <c r="AL132" s="477" t="str">
        <f t="shared" ca="1" si="58"/>
        <v>122 SK Pétanque Řepy - Koňasová Hana</v>
      </c>
      <c r="AM132" s="478">
        <f t="shared" ca="1" si="59"/>
        <v>8.0169999999999995</v>
      </c>
      <c r="AN132" s="408">
        <f ca="1">IF(OR(TYPE(I132)&gt;1,TYPE(MATCH(I132,I133:I$267,0))&gt;1),0,MATCH(I132,I133:I$267,0))+IF(OR(TYPE(I132)&gt;1,TYPE(MATCH(I132,O$11:O$267,0))&gt;1),0,MATCH(I132,O$11:O$267,0))+IF(OR(TYPE(I132)&gt;1,TYPE(MATCH(I132,U$11:U$267,0))&gt;1),0,MATCH(I132,U$11:U$267,0))+IF(OR(TYPE(I132)&gt;1,TYPE(MATCH(I132,AA$11:AA$267,0))&gt;1),0,MATCH(I132,AA$11:AA$267,0))</f>
        <v>0</v>
      </c>
      <c r="AO132" s="408">
        <f ca="1">IF(OR(TYPE(O132)&gt;1,TYPE(MATCH(O132,I$11:I$267,0))&gt;1),0,MATCH(O132,I$11:I$267,0))+IF(OR(TYPE(O132)&gt;1,TYPE(MATCH(O132,O133:O$267,0))&gt;1),0,MATCH(O132,O133:O$267,0))+IF(OR(TYPE(O132)&gt;1,TYPE(MATCH(O132,U$11:U$267,0))&gt;1),0,MATCH(O132,U$11:U$267,0))+IF(OR(TYPE(O132)&gt;1,TYPE(MATCH(O132,AA$11:AA$267,0))&gt;1),0,MATCH(O132,AA$11:AA$267,0))</f>
        <v>0</v>
      </c>
      <c r="AP132" s="408">
        <f ca="1">IF(OR(TYPE(U132)&gt;1,TYPE(MATCH(U132,I$11:I$267,0))&gt;1),0,MATCH(U132,I$11:I$267,0))+IF(OR(TYPE(U132)&gt;1,TYPE(MATCH(U132,O$11:O$267,0))&gt;1),0,MATCH(U132,O$11:O$267,0))+IF(OR(TYPE(U132)&gt;1,TYPE(MATCH(U132,U133:U$267,0))&gt;1),0,MATCH(U132,U133:U$267,0))+IF(OR(TYPE(U132)&gt;1,TYPE(MATCH(U132,AA$11:AA$267,0))&gt;1),0,MATCH(U132,AA$11:AA$267,0))</f>
        <v>0</v>
      </c>
      <c r="AQ132" s="408">
        <f ca="1">IF(OR(TYPE(AA132)&gt;1,TYPE(MATCH(AA132,I$11:I$267,0))&gt;1),0,MATCH(AA132,I$11:I$267,0))+IF(OR(TYPE(AA132)&gt;1,TYPE(MATCH(AA132,O$11:O$267,0))&gt;1),0,MATCH(AA132,O$11:O$267,0))+IF(OR(TYPE(AA132)&gt;1,TYPE(MATCH(AA132,U$11:U$267,0))&gt;1),0,MATCH(U132,U$11:U$267,0))+IF(OR(TYPE(AA132)&gt;1,TYPE(MATCH(AA132,AA133:AA$267,0))&gt;1),0,MATCH(AA132,AA133:AA$267,0))</f>
        <v>0</v>
      </c>
      <c r="AR132" s="408">
        <f t="shared" ca="1" si="44"/>
        <v>0</v>
      </c>
      <c r="BF132" s="408">
        <f t="shared" si="45"/>
        <v>122</v>
      </c>
    </row>
    <row r="133" spans="1:58" ht="14.25">
      <c r="A133" s="430">
        <f t="shared" ca="1" si="46"/>
        <v>1</v>
      </c>
      <c r="B133" s="430">
        <f t="shared" ca="1" si="47"/>
        <v>1</v>
      </c>
      <c r="C133" s="430">
        <f t="shared" ca="1" si="48"/>
        <v>7.782</v>
      </c>
      <c r="D133" s="430">
        <f t="shared" ca="1" si="49"/>
        <v>20264</v>
      </c>
      <c r="E133" s="430">
        <f t="shared" ca="1" si="50"/>
        <v>266</v>
      </c>
      <c r="F133" s="431" t="str">
        <f t="shared" ca="1" si="51"/>
        <v>01000000000000000000938467</v>
      </c>
      <c r="G133" s="467" t="b">
        <f t="shared" ca="1" si="52"/>
        <v>0</v>
      </c>
      <c r="H133" s="468">
        <f t="shared" si="53"/>
        <v>123</v>
      </c>
      <c r="I133" s="469">
        <f t="shared" ca="1" si="54"/>
        <v>20533</v>
      </c>
      <c r="J133" s="470" t="str">
        <f ca="1">IF(N(I133)&gt;0,VLOOKUP(I133,Hraci!$A$1:$I$1500,2,0),IF(TYPE(INDIRECT(ADDRESS(ROW() + $A$9-9 + (ROW()-11)*4,2,1,1,"Internet")))&gt;1,INDIRECT(ADDRESS(ROW() + $A$9-9 + (ROW()-11)*4,2,1,1,"Internet"))," "))</f>
        <v>Josífková</v>
      </c>
      <c r="K133" s="471" t="str">
        <f ca="1">IF(N(I133)&gt;0,VLOOKUP(I133,Hraci!$A$1:$I$1500,3,0)," ")</f>
        <v>Eva</v>
      </c>
      <c r="L133" s="471" t="str">
        <f ca="1">IF(N(I133)&gt;0,VLOOKUP(I133,Hraci!$A$1:$I$1500,5,0),IF(TYPE(INDIRECT(ADDRESS(ROW() + $A$9-9 + (ROW()-11)*4,3,1,1,"Internet")))&gt;1,INDIRECT(ADDRESS(ROW() + $A$9-9 + (ROW()-11)*4,3,1,1,"Internet"))," "))</f>
        <v>SK Pétanque Řepy</v>
      </c>
      <c r="M133" s="472">
        <f ca="1">IF(N(I133)=0,9999,VLOOKUP(I133,Hraci!$A$1:$I$1500,8,0))</f>
        <v>266</v>
      </c>
      <c r="N133" s="473">
        <f ca="1">IF(N(I133)=0,0,VLOOKUP(I133,Hraci!$A$1:$I$1500,9,0))</f>
        <v>7.782</v>
      </c>
      <c r="O133" s="469" t="str">
        <f t="shared" ca="1" si="55"/>
        <v/>
      </c>
      <c r="P133" s="470" t="str">
        <f ca="1">IF(N(O133)&gt;0,VLOOKUP(O133,Hraci!$A$1:$I$1500,2,0),IF(TYPE(INDIRECT(ADDRESS(ROW() + $A$9-8 + (ROW()-11)*4,2,1,1,"Internet")))&gt;1,INDIRECT(ADDRESS(ROW() + $A$9-8 + (ROW()-11)*4,2,1,1,"Internet"))," "))</f>
        <v xml:space="preserve"> </v>
      </c>
      <c r="Q133" s="471" t="str">
        <f ca="1">IF(N(O133)&gt;0,VLOOKUP(O133,Hraci!$A$1:$I$1500,3,0)," ")</f>
        <v xml:space="preserve"> </v>
      </c>
      <c r="R133" s="471" t="str">
        <f ca="1">IF(N(O133)&gt;0,VLOOKUP(O133,Hraci!$A$1:$I$1500,5,0),IF(TYPE(INDIRECT(ADDRESS(ROW() + $A$9-8 + (ROW()-11)*4,3,1,1,"Internet")))&gt;1,INDIRECT(ADDRESS(ROW() + $A$9-8 + (ROW()-11)*4,3,1,1,"Internet"))," "))</f>
        <v xml:space="preserve"> </v>
      </c>
      <c r="S133" s="472">
        <f ca="1">IF(N(O133)=0,9999,VLOOKUP(O133,Hraci!$A$1:$I$1500,8,0))</f>
        <v>9999</v>
      </c>
      <c r="T133" s="473">
        <f ca="1">IF(N(O133)=0,0,VLOOKUP(O133,Hraci!$A$1:$I$1500,9,0))</f>
        <v>0</v>
      </c>
      <c r="U133" s="469" t="str">
        <f t="shared" ca="1" si="56"/>
        <v/>
      </c>
      <c r="V133" s="470" t="str">
        <f ca="1">IF(N(U133)&gt;0,VLOOKUP(U133,Hraci!$A$1:$I$1500,2,0),IF(TYPE(INDIRECT(ADDRESS(ROW() + $A$9-7 + (ROW()-11)*4,2,1,1,"Internet")))&gt;1,INDIRECT(ADDRESS(ROW() + $A$9-7 + (ROW()-11)*4,2,1,1,"Internet"))," "))</f>
        <v xml:space="preserve"> </v>
      </c>
      <c r="W133" s="471" t="str">
        <f ca="1">IF(N(U133)&gt;0,VLOOKUP(U133,Hraci!$A$1:$I$1500,3,0)," ")</f>
        <v xml:space="preserve"> </v>
      </c>
      <c r="X133" s="471" t="str">
        <f ca="1">IF(N(U133)&gt;0,VLOOKUP(U133,Hraci!$A$1:$I$1500,5,0),IF(TYPE(INDIRECT(ADDRESS(ROW() + $A$9-7 + (ROW()-11)*4,3,1,1,"Internet")))&gt;1,INDIRECT(ADDRESS(ROW() + $A$9-7 + (ROW()-11)*4,3,1,1,"Internet"))," "))</f>
        <v xml:space="preserve"> </v>
      </c>
      <c r="Y133" s="472">
        <f ca="1">IF(N(U133)=0,9999,VLOOKUP(U133,Hraci!$A$1:$I$1500,8,0))</f>
        <v>9999</v>
      </c>
      <c r="Z133" s="473">
        <f ca="1">IF(N(U133)=0,0,VLOOKUP(U133,Hraci!$A$1:$I$1500,9,0))</f>
        <v>0</v>
      </c>
      <c r="AA133" s="469" t="str">
        <f t="shared" ca="1" si="57"/>
        <v/>
      </c>
      <c r="AB133" s="470" t="str">
        <f ca="1">IF(N(AA133)&gt;0,VLOOKUP(AA133,Hraci!$A$1:$I$1500,2,0)," ")</f>
        <v xml:space="preserve"> </v>
      </c>
      <c r="AC133" s="471" t="str">
        <f ca="1">IF(N(AA133)&gt;0,VLOOKUP(AA133,Hraci!$A$1:$I$1500,3,0)," ")</f>
        <v xml:space="preserve"> </v>
      </c>
      <c r="AD133" s="471" t="str">
        <f ca="1">IF(N(AA133)&gt;0,VLOOKUP(AA133,Hraci!$A$1:$I$1500,5,0)," ")</f>
        <v xml:space="preserve"> </v>
      </c>
      <c r="AE133" s="472">
        <f ca="1">IF(N(AA133)=0,9999,VLOOKUP(AA133,Hraci!$A$1:$I$1500,8,0))</f>
        <v>9999</v>
      </c>
      <c r="AF133" s="473">
        <f ca="1">IF(N(AA133)=0,0,VLOOKUP(AA133,Hraci!$A$1:$I$1500,9,0))</f>
        <v>0</v>
      </c>
      <c r="AG133" s="474"/>
      <c r="AH133" s="480">
        <v>129</v>
      </c>
      <c r="AI133" s="475">
        <f ca="1">IF(N($AH133)&gt;0,VLOOKUP($AH133,Body!$A$4:$F$259,5,0),"")</f>
        <v>553.40650000000005</v>
      </c>
      <c r="AJ133" s="476">
        <f ca="1">IF(N($AH133)&gt;0,VLOOKUP($AH133,Body!$A$4:$F$259,6,0),"")</f>
        <v>200</v>
      </c>
      <c r="AK133" s="475">
        <f ca="1">IF(N($AH133)&gt;0,VLOOKUP($AH133,Body!$A$4:$F$259,2,0),"")</f>
        <v>8</v>
      </c>
      <c r="AL133" s="477" t="str">
        <f t="shared" ca="1" si="58"/>
        <v>123 SK Pétanque Řepy - Josífková Eva</v>
      </c>
      <c r="AM133" s="478">
        <f t="shared" ca="1" si="59"/>
        <v>7.782</v>
      </c>
      <c r="AN133" s="408">
        <f ca="1">IF(OR(TYPE(I133)&gt;1,TYPE(MATCH(I133,I134:I$267,0))&gt;1),0,MATCH(I133,I134:I$267,0))+IF(OR(TYPE(I133)&gt;1,TYPE(MATCH(I133,O$11:O$267,0))&gt;1),0,MATCH(I133,O$11:O$267,0))+IF(OR(TYPE(I133)&gt;1,TYPE(MATCH(I133,U$11:U$267,0))&gt;1),0,MATCH(I133,U$11:U$267,0))+IF(OR(TYPE(I133)&gt;1,TYPE(MATCH(I133,AA$11:AA$267,0))&gt;1),0,MATCH(I133,AA$11:AA$267,0))</f>
        <v>0</v>
      </c>
      <c r="AO133" s="408">
        <f ca="1">IF(OR(TYPE(O133)&gt;1,TYPE(MATCH(O133,I$11:I$267,0))&gt;1),0,MATCH(O133,I$11:I$267,0))+IF(OR(TYPE(O133)&gt;1,TYPE(MATCH(O133,O134:O$267,0))&gt;1),0,MATCH(O133,O134:O$267,0))+IF(OR(TYPE(O133)&gt;1,TYPE(MATCH(O133,U$11:U$267,0))&gt;1),0,MATCH(O133,U$11:U$267,0))+IF(OR(TYPE(O133)&gt;1,TYPE(MATCH(O133,AA$11:AA$267,0))&gt;1),0,MATCH(O133,AA$11:AA$267,0))</f>
        <v>0</v>
      </c>
      <c r="AP133" s="408">
        <f ca="1">IF(OR(TYPE(U133)&gt;1,TYPE(MATCH(U133,I$11:I$267,0))&gt;1),0,MATCH(U133,I$11:I$267,0))+IF(OR(TYPE(U133)&gt;1,TYPE(MATCH(U133,O$11:O$267,0))&gt;1),0,MATCH(U133,O$11:O$267,0))+IF(OR(TYPE(U133)&gt;1,TYPE(MATCH(U133,U134:U$267,0))&gt;1),0,MATCH(U133,U134:U$267,0))+IF(OR(TYPE(U133)&gt;1,TYPE(MATCH(U133,AA$11:AA$267,0))&gt;1),0,MATCH(U133,AA$11:AA$267,0))</f>
        <v>0</v>
      </c>
      <c r="AQ133" s="408">
        <f ca="1">IF(OR(TYPE(AA133)&gt;1,TYPE(MATCH(AA133,I$11:I$267,0))&gt;1),0,MATCH(AA133,I$11:I$267,0))+IF(OR(TYPE(AA133)&gt;1,TYPE(MATCH(AA133,O$11:O$267,0))&gt;1),0,MATCH(AA133,O$11:O$267,0))+IF(OR(TYPE(AA133)&gt;1,TYPE(MATCH(AA133,U$11:U$267,0))&gt;1),0,MATCH(U133,U$11:U$267,0))+IF(OR(TYPE(AA133)&gt;1,TYPE(MATCH(AA133,AA134:AA$267,0))&gt;1),0,MATCH(AA133,AA134:AA$267,0))</f>
        <v>0</v>
      </c>
      <c r="AR133" s="408">
        <f t="shared" ca="1" si="44"/>
        <v>0</v>
      </c>
      <c r="BF133" s="408">
        <f t="shared" si="45"/>
        <v>123</v>
      </c>
    </row>
    <row r="134" spans="1:58" ht="14.25">
      <c r="A134" s="430">
        <f t="shared" ca="1" si="46"/>
        <v>1</v>
      </c>
      <c r="B134" s="430">
        <f t="shared" ca="1" si="47"/>
        <v>1</v>
      </c>
      <c r="C134" s="430">
        <f t="shared" ca="1" si="48"/>
        <v>7.5</v>
      </c>
      <c r="D134" s="430">
        <f t="shared" ca="1" si="49"/>
        <v>20202</v>
      </c>
      <c r="E134" s="430">
        <f t="shared" ca="1" si="50"/>
        <v>204</v>
      </c>
      <c r="F134" s="431" t="str">
        <f t="shared" ca="1" si="51"/>
        <v>01000000000000000000443804</v>
      </c>
      <c r="G134" s="467" t="b">
        <f t="shared" ca="1" si="52"/>
        <v>0</v>
      </c>
      <c r="H134" s="468">
        <f t="shared" si="53"/>
        <v>124</v>
      </c>
      <c r="I134" s="469">
        <f t="shared" ca="1" si="54"/>
        <v>28047</v>
      </c>
      <c r="J134" s="470" t="str">
        <f ca="1">IF(N(I134)&gt;0,VLOOKUP(I134,Hraci!$A$1:$I$1500,2,0),IF(TYPE(INDIRECT(ADDRESS(ROW() + $A$9-9 + (ROW()-11)*4,2,1,1,"Internet")))&gt;1,INDIRECT(ADDRESS(ROW() + $A$9-9 + (ROW()-11)*4,2,1,1,"Internet"))," "))</f>
        <v>Suchomel</v>
      </c>
      <c r="K134" s="471" t="str">
        <f ca="1">IF(N(I134)&gt;0,VLOOKUP(I134,Hraci!$A$1:$I$1500,3,0)," ")</f>
        <v>Luděk</v>
      </c>
      <c r="L134" s="471" t="str">
        <f ca="1">IF(N(I134)&gt;0,VLOOKUP(I134,Hraci!$A$1:$I$1500,5,0),IF(TYPE(INDIRECT(ADDRESS(ROW() + $A$9-9 + (ROW()-11)*4,3,1,1,"Internet")))&gt;1,INDIRECT(ADDRESS(ROW() + $A$9-9 + (ROW()-11)*4,3,1,1,"Internet"))," "))</f>
        <v>SK Sahara Vědomice</v>
      </c>
      <c r="M134" s="472">
        <f ca="1">IF(N(I134)=0,9999,VLOOKUP(I134,Hraci!$A$1:$I$1500,8,0))</f>
        <v>204</v>
      </c>
      <c r="N134" s="473">
        <f ca="1">IF(N(I134)=0,0,VLOOKUP(I134,Hraci!$A$1:$I$1500,9,0))</f>
        <v>7.5</v>
      </c>
      <c r="O134" s="469" t="str">
        <f t="shared" ca="1" si="55"/>
        <v/>
      </c>
      <c r="P134" s="470" t="str">
        <f ca="1">IF(N(O134)&gt;0,VLOOKUP(O134,Hraci!$A$1:$I$1500,2,0),IF(TYPE(INDIRECT(ADDRESS(ROW() + $A$9-8 + (ROW()-11)*4,2,1,1,"Internet")))&gt;1,INDIRECT(ADDRESS(ROW() + $A$9-8 + (ROW()-11)*4,2,1,1,"Internet"))," "))</f>
        <v xml:space="preserve"> </v>
      </c>
      <c r="Q134" s="471" t="str">
        <f ca="1">IF(N(O134)&gt;0,VLOOKUP(O134,Hraci!$A$1:$I$1500,3,0)," ")</f>
        <v xml:space="preserve"> </v>
      </c>
      <c r="R134" s="471" t="str">
        <f ca="1">IF(N(O134)&gt;0,VLOOKUP(O134,Hraci!$A$1:$I$1500,5,0),IF(TYPE(INDIRECT(ADDRESS(ROW() + $A$9-8 + (ROW()-11)*4,3,1,1,"Internet")))&gt;1,INDIRECT(ADDRESS(ROW() + $A$9-8 + (ROW()-11)*4,3,1,1,"Internet"))," "))</f>
        <v xml:space="preserve"> </v>
      </c>
      <c r="S134" s="472">
        <f ca="1">IF(N(O134)=0,9999,VLOOKUP(O134,Hraci!$A$1:$I$1500,8,0))</f>
        <v>9999</v>
      </c>
      <c r="T134" s="473">
        <f ca="1">IF(N(O134)=0,0,VLOOKUP(O134,Hraci!$A$1:$I$1500,9,0))</f>
        <v>0</v>
      </c>
      <c r="U134" s="469" t="str">
        <f t="shared" ca="1" si="56"/>
        <v/>
      </c>
      <c r="V134" s="470" t="str">
        <f ca="1">IF(N(U134)&gt;0,VLOOKUP(U134,Hraci!$A$1:$I$1500,2,0),IF(TYPE(INDIRECT(ADDRESS(ROW() + $A$9-7 + (ROW()-11)*4,2,1,1,"Internet")))&gt;1,INDIRECT(ADDRESS(ROW() + $A$9-7 + (ROW()-11)*4,2,1,1,"Internet"))," "))</f>
        <v xml:space="preserve"> </v>
      </c>
      <c r="W134" s="471" t="str">
        <f ca="1">IF(N(U134)&gt;0,VLOOKUP(U134,Hraci!$A$1:$I$1500,3,0)," ")</f>
        <v xml:space="preserve"> </v>
      </c>
      <c r="X134" s="471" t="str">
        <f ca="1">IF(N(U134)&gt;0,VLOOKUP(U134,Hraci!$A$1:$I$1500,5,0),IF(TYPE(INDIRECT(ADDRESS(ROW() + $A$9-7 + (ROW()-11)*4,3,1,1,"Internet")))&gt;1,INDIRECT(ADDRESS(ROW() + $A$9-7 + (ROW()-11)*4,3,1,1,"Internet"))," "))</f>
        <v xml:space="preserve"> </v>
      </c>
      <c r="Y134" s="472">
        <f ca="1">IF(N(U134)=0,9999,VLOOKUP(U134,Hraci!$A$1:$I$1500,8,0))</f>
        <v>9999</v>
      </c>
      <c r="Z134" s="473">
        <f ca="1">IF(N(U134)=0,0,VLOOKUP(U134,Hraci!$A$1:$I$1500,9,0))</f>
        <v>0</v>
      </c>
      <c r="AA134" s="469" t="str">
        <f t="shared" ca="1" si="57"/>
        <v/>
      </c>
      <c r="AB134" s="470" t="str">
        <f ca="1">IF(N(AA134)&gt;0,VLOOKUP(AA134,Hraci!$A$1:$I$1500,2,0)," ")</f>
        <v xml:space="preserve"> </v>
      </c>
      <c r="AC134" s="471" t="str">
        <f ca="1">IF(N(AA134)&gt;0,VLOOKUP(AA134,Hraci!$A$1:$I$1500,3,0)," ")</f>
        <v xml:space="preserve"> </v>
      </c>
      <c r="AD134" s="471" t="str">
        <f ca="1">IF(N(AA134)&gt;0,VLOOKUP(AA134,Hraci!$A$1:$I$1500,5,0)," ")</f>
        <v xml:space="preserve"> </v>
      </c>
      <c r="AE134" s="472">
        <f ca="1">IF(N(AA134)=0,9999,VLOOKUP(AA134,Hraci!$A$1:$I$1500,8,0))</f>
        <v>9999</v>
      </c>
      <c r="AF134" s="473">
        <f ca="1">IF(N(AA134)=0,0,VLOOKUP(AA134,Hraci!$A$1:$I$1500,9,0))</f>
        <v>0</v>
      </c>
      <c r="AG134" s="474"/>
      <c r="AH134" s="480">
        <v>129</v>
      </c>
      <c r="AI134" s="475">
        <f ca="1">IF(N($AH134)&gt;0,VLOOKUP($AH134,Body!$A$4:$F$259,5,0),"")</f>
        <v>553.40650000000005</v>
      </c>
      <c r="AJ134" s="476">
        <f ca="1">IF(N($AH134)&gt;0,VLOOKUP($AH134,Body!$A$4:$F$259,6,0),"")</f>
        <v>200</v>
      </c>
      <c r="AK134" s="475">
        <f ca="1">IF(N($AH134)&gt;0,VLOOKUP($AH134,Body!$A$4:$F$259,2,0),"")</f>
        <v>8</v>
      </c>
      <c r="AL134" s="477" t="str">
        <f t="shared" ca="1" si="58"/>
        <v>124 SK Sahara Vědomice - Suchomel Luděk</v>
      </c>
      <c r="AM134" s="478">
        <f t="shared" ca="1" si="59"/>
        <v>7.5</v>
      </c>
      <c r="AN134" s="408">
        <f ca="1">IF(OR(TYPE(I134)&gt;1,TYPE(MATCH(I134,I135:I$267,0))&gt;1),0,MATCH(I134,I135:I$267,0))+IF(OR(TYPE(I134)&gt;1,TYPE(MATCH(I134,O$11:O$267,0))&gt;1),0,MATCH(I134,O$11:O$267,0))+IF(OR(TYPE(I134)&gt;1,TYPE(MATCH(I134,U$11:U$267,0))&gt;1),0,MATCH(I134,U$11:U$267,0))+IF(OR(TYPE(I134)&gt;1,TYPE(MATCH(I134,AA$11:AA$267,0))&gt;1),0,MATCH(I134,AA$11:AA$267,0))</f>
        <v>0</v>
      </c>
      <c r="AO134" s="408">
        <f ca="1">IF(OR(TYPE(O134)&gt;1,TYPE(MATCH(O134,I$11:I$267,0))&gt;1),0,MATCH(O134,I$11:I$267,0))+IF(OR(TYPE(O134)&gt;1,TYPE(MATCH(O134,O135:O$267,0))&gt;1),0,MATCH(O134,O135:O$267,0))+IF(OR(TYPE(O134)&gt;1,TYPE(MATCH(O134,U$11:U$267,0))&gt;1),0,MATCH(O134,U$11:U$267,0))+IF(OR(TYPE(O134)&gt;1,TYPE(MATCH(O134,AA$11:AA$267,0))&gt;1),0,MATCH(O134,AA$11:AA$267,0))</f>
        <v>0</v>
      </c>
      <c r="AP134" s="408">
        <f ca="1">IF(OR(TYPE(U134)&gt;1,TYPE(MATCH(U134,I$11:I$267,0))&gt;1),0,MATCH(U134,I$11:I$267,0))+IF(OR(TYPE(U134)&gt;1,TYPE(MATCH(U134,O$11:O$267,0))&gt;1),0,MATCH(U134,O$11:O$267,0))+IF(OR(TYPE(U134)&gt;1,TYPE(MATCH(U134,U135:U$267,0))&gt;1),0,MATCH(U134,U135:U$267,0))+IF(OR(TYPE(U134)&gt;1,TYPE(MATCH(U134,AA$11:AA$267,0))&gt;1),0,MATCH(U134,AA$11:AA$267,0))</f>
        <v>0</v>
      </c>
      <c r="AQ134" s="408">
        <f ca="1">IF(OR(TYPE(AA134)&gt;1,TYPE(MATCH(AA134,I$11:I$267,0))&gt;1),0,MATCH(AA134,I$11:I$267,0))+IF(OR(TYPE(AA134)&gt;1,TYPE(MATCH(AA134,O$11:O$267,0))&gt;1),0,MATCH(AA134,O$11:O$267,0))+IF(OR(TYPE(AA134)&gt;1,TYPE(MATCH(AA134,U$11:U$267,0))&gt;1),0,MATCH(U134,U$11:U$267,0))+IF(OR(TYPE(AA134)&gt;1,TYPE(MATCH(AA134,AA135:AA$267,0))&gt;1),0,MATCH(AA134,AA135:AA$267,0))</f>
        <v>0</v>
      </c>
      <c r="AR134" s="408">
        <f t="shared" ca="1" si="44"/>
        <v>0</v>
      </c>
      <c r="BF134" s="408">
        <f t="shared" si="45"/>
        <v>124</v>
      </c>
    </row>
    <row r="135" spans="1:58" ht="14.25">
      <c r="A135" s="430">
        <f t="shared" ca="1" si="46"/>
        <v>1</v>
      </c>
      <c r="B135" s="430">
        <f t="shared" ca="1" si="47"/>
        <v>1</v>
      </c>
      <c r="C135" s="430">
        <f t="shared" ca="1" si="48"/>
        <v>7.3140000000000001</v>
      </c>
      <c r="D135" s="430">
        <f t="shared" ca="1" si="49"/>
        <v>20324</v>
      </c>
      <c r="E135" s="430">
        <f t="shared" ca="1" si="50"/>
        <v>326</v>
      </c>
      <c r="F135" s="431" t="str">
        <f t="shared" ca="1" si="51"/>
        <v>01000000000000000000804569</v>
      </c>
      <c r="G135" s="467" t="b">
        <f t="shared" ca="1" si="52"/>
        <v>0</v>
      </c>
      <c r="H135" s="468">
        <f t="shared" si="53"/>
        <v>125</v>
      </c>
      <c r="I135" s="469">
        <f t="shared" ca="1" si="54"/>
        <v>20534</v>
      </c>
      <c r="J135" s="470" t="str">
        <f ca="1">IF(N(I135)&gt;0,VLOOKUP(I135,Hraci!$A$1:$I$1500,2,0),IF(TYPE(INDIRECT(ADDRESS(ROW() + $A$9-9 + (ROW()-11)*4,2,1,1,"Internet")))&gt;1,INDIRECT(ADDRESS(ROW() + $A$9-9 + (ROW()-11)*4,2,1,1,"Internet"))," "))</f>
        <v>Váňová</v>
      </c>
      <c r="K135" s="471" t="str">
        <f ca="1">IF(N(I135)&gt;0,VLOOKUP(I135,Hraci!$A$1:$I$1500,3,0)," ")</f>
        <v>Věra</v>
      </c>
      <c r="L135" s="471" t="str">
        <f ca="1">IF(N(I135)&gt;0,VLOOKUP(I135,Hraci!$A$1:$I$1500,5,0),IF(TYPE(INDIRECT(ADDRESS(ROW() + $A$9-9 + (ROW()-11)*4,3,1,1,"Internet")))&gt;1,INDIRECT(ADDRESS(ROW() + $A$9-9 + (ROW()-11)*4,3,1,1,"Internet"))," "))</f>
        <v>SK Pétanque Řepy</v>
      </c>
      <c r="M135" s="472">
        <f ca="1">IF(N(I135)=0,9999,VLOOKUP(I135,Hraci!$A$1:$I$1500,8,0))</f>
        <v>326</v>
      </c>
      <c r="N135" s="473">
        <f ca="1">IF(N(I135)=0,0,VLOOKUP(I135,Hraci!$A$1:$I$1500,9,0))</f>
        <v>7.3140000000000001</v>
      </c>
      <c r="O135" s="469" t="str">
        <f t="shared" ca="1" si="55"/>
        <v/>
      </c>
      <c r="P135" s="470" t="str">
        <f ca="1">IF(N(O135)&gt;0,VLOOKUP(O135,Hraci!$A$1:$I$1500,2,0),IF(TYPE(INDIRECT(ADDRESS(ROW() + $A$9-8 + (ROW()-11)*4,2,1,1,"Internet")))&gt;1,INDIRECT(ADDRESS(ROW() + $A$9-8 + (ROW()-11)*4,2,1,1,"Internet"))," "))</f>
        <v xml:space="preserve"> </v>
      </c>
      <c r="Q135" s="471" t="str">
        <f ca="1">IF(N(O135)&gt;0,VLOOKUP(O135,Hraci!$A$1:$I$1500,3,0)," ")</f>
        <v xml:space="preserve"> </v>
      </c>
      <c r="R135" s="471" t="str">
        <f ca="1">IF(N(O135)&gt;0,VLOOKUP(O135,Hraci!$A$1:$I$1500,5,0),IF(TYPE(INDIRECT(ADDRESS(ROW() + $A$9-8 + (ROW()-11)*4,3,1,1,"Internet")))&gt;1,INDIRECT(ADDRESS(ROW() + $A$9-8 + (ROW()-11)*4,3,1,1,"Internet"))," "))</f>
        <v xml:space="preserve"> </v>
      </c>
      <c r="S135" s="472">
        <f ca="1">IF(N(O135)=0,9999,VLOOKUP(O135,Hraci!$A$1:$I$1500,8,0))</f>
        <v>9999</v>
      </c>
      <c r="T135" s="473">
        <f ca="1">IF(N(O135)=0,0,VLOOKUP(O135,Hraci!$A$1:$I$1500,9,0))</f>
        <v>0</v>
      </c>
      <c r="U135" s="469" t="str">
        <f t="shared" ca="1" si="56"/>
        <v/>
      </c>
      <c r="V135" s="470" t="str">
        <f ca="1">IF(N(U135)&gt;0,VLOOKUP(U135,Hraci!$A$1:$I$1500,2,0),IF(TYPE(INDIRECT(ADDRESS(ROW() + $A$9-7 + (ROW()-11)*4,2,1,1,"Internet")))&gt;1,INDIRECT(ADDRESS(ROW() + $A$9-7 + (ROW()-11)*4,2,1,1,"Internet"))," "))</f>
        <v xml:space="preserve"> </v>
      </c>
      <c r="W135" s="471" t="str">
        <f ca="1">IF(N(U135)&gt;0,VLOOKUP(U135,Hraci!$A$1:$I$1500,3,0)," ")</f>
        <v xml:space="preserve"> </v>
      </c>
      <c r="X135" s="471" t="str">
        <f ca="1">IF(N(U135)&gt;0,VLOOKUP(U135,Hraci!$A$1:$I$1500,5,0),IF(TYPE(INDIRECT(ADDRESS(ROW() + $A$9-7 + (ROW()-11)*4,3,1,1,"Internet")))&gt;1,INDIRECT(ADDRESS(ROW() + $A$9-7 + (ROW()-11)*4,3,1,1,"Internet"))," "))</f>
        <v xml:space="preserve"> </v>
      </c>
      <c r="Y135" s="472">
        <f ca="1">IF(N(U135)=0,9999,VLOOKUP(U135,Hraci!$A$1:$I$1500,8,0))</f>
        <v>9999</v>
      </c>
      <c r="Z135" s="473">
        <f ca="1">IF(N(U135)=0,0,VLOOKUP(U135,Hraci!$A$1:$I$1500,9,0))</f>
        <v>0</v>
      </c>
      <c r="AA135" s="469" t="str">
        <f t="shared" ca="1" si="57"/>
        <v/>
      </c>
      <c r="AB135" s="470" t="str">
        <f ca="1">IF(N(AA135)&gt;0,VLOOKUP(AA135,Hraci!$A$1:$I$1500,2,0)," ")</f>
        <v xml:space="preserve"> </v>
      </c>
      <c r="AC135" s="471" t="str">
        <f ca="1">IF(N(AA135)&gt;0,VLOOKUP(AA135,Hraci!$A$1:$I$1500,3,0)," ")</f>
        <v xml:space="preserve"> </v>
      </c>
      <c r="AD135" s="471" t="str">
        <f ca="1">IF(N(AA135)&gt;0,VLOOKUP(AA135,Hraci!$A$1:$I$1500,5,0)," ")</f>
        <v xml:space="preserve"> </v>
      </c>
      <c r="AE135" s="472">
        <f ca="1">IF(N(AA135)=0,9999,VLOOKUP(AA135,Hraci!$A$1:$I$1500,8,0))</f>
        <v>9999</v>
      </c>
      <c r="AF135" s="473">
        <f ca="1">IF(N(AA135)=0,0,VLOOKUP(AA135,Hraci!$A$1:$I$1500,9,0))</f>
        <v>0</v>
      </c>
      <c r="AG135" s="474"/>
      <c r="AH135" s="480">
        <f ca="1">IF(TYPE(VLOOKUP(H135,Nasazení!$A$3:$E$258,5,0))&lt;4,VLOOKUP(H135,Nasazení!$A$3:$E$258,5,0),0)</f>
        <v>143</v>
      </c>
      <c r="AI135" s="475">
        <f ca="1">IF(N($AH135)&gt;0,VLOOKUP($AH135,Body!$A$4:$F$259,5,0),"")</f>
        <v>20</v>
      </c>
      <c r="AJ135" s="476">
        <f ca="1">IF(N($AH135)&gt;0,VLOOKUP($AH135,Body!$A$4:$F$259,6,0),"")</f>
        <v>0</v>
      </c>
      <c r="AK135" s="475">
        <f ca="1">IF(N($AH135)&gt;0,VLOOKUP($AH135,Body!$A$4:$F$259,2,0),"")</f>
        <v>0</v>
      </c>
      <c r="AL135" s="477" t="str">
        <f t="shared" ca="1" si="58"/>
        <v>125 SK Pétanque Řepy - Váňová Věra</v>
      </c>
      <c r="AM135" s="478">
        <f t="shared" ca="1" si="59"/>
        <v>7.3140000000000001</v>
      </c>
      <c r="AN135" s="408">
        <f ca="1">IF(OR(TYPE(I135)&gt;1,TYPE(MATCH(I135,I136:I$267,0))&gt;1),0,MATCH(I135,I136:I$267,0))+IF(OR(TYPE(I135)&gt;1,TYPE(MATCH(I135,O$11:O$267,0))&gt;1),0,MATCH(I135,O$11:O$267,0))+IF(OR(TYPE(I135)&gt;1,TYPE(MATCH(I135,U$11:U$267,0))&gt;1),0,MATCH(I135,U$11:U$267,0))+IF(OR(TYPE(I135)&gt;1,TYPE(MATCH(I135,AA$11:AA$267,0))&gt;1),0,MATCH(I135,AA$11:AA$267,0))</f>
        <v>0</v>
      </c>
      <c r="AO135" s="408">
        <f ca="1">IF(OR(TYPE(O135)&gt;1,TYPE(MATCH(O135,I$11:I$267,0))&gt;1),0,MATCH(O135,I$11:I$267,0))+IF(OR(TYPE(O135)&gt;1,TYPE(MATCH(O135,O136:O$267,0))&gt;1),0,MATCH(O135,O136:O$267,0))+IF(OR(TYPE(O135)&gt;1,TYPE(MATCH(O135,U$11:U$267,0))&gt;1),0,MATCH(O135,U$11:U$267,0))+IF(OR(TYPE(O135)&gt;1,TYPE(MATCH(O135,AA$11:AA$267,0))&gt;1),0,MATCH(O135,AA$11:AA$267,0))</f>
        <v>0</v>
      </c>
      <c r="AP135" s="408">
        <f ca="1">IF(OR(TYPE(U135)&gt;1,TYPE(MATCH(U135,I$11:I$267,0))&gt;1),0,MATCH(U135,I$11:I$267,0))+IF(OR(TYPE(U135)&gt;1,TYPE(MATCH(U135,O$11:O$267,0))&gt;1),0,MATCH(U135,O$11:O$267,0))+IF(OR(TYPE(U135)&gt;1,TYPE(MATCH(U135,U136:U$267,0))&gt;1),0,MATCH(U135,U136:U$267,0))+IF(OR(TYPE(U135)&gt;1,TYPE(MATCH(U135,AA$11:AA$267,0))&gt;1),0,MATCH(U135,AA$11:AA$267,0))</f>
        <v>0</v>
      </c>
      <c r="AQ135" s="408">
        <f ca="1">IF(OR(TYPE(AA135)&gt;1,TYPE(MATCH(AA135,I$11:I$267,0))&gt;1),0,MATCH(AA135,I$11:I$267,0))+IF(OR(TYPE(AA135)&gt;1,TYPE(MATCH(AA135,O$11:O$267,0))&gt;1),0,MATCH(AA135,O$11:O$267,0))+IF(OR(TYPE(AA135)&gt;1,TYPE(MATCH(AA135,U$11:U$267,0))&gt;1),0,MATCH(U135,U$11:U$267,0))+IF(OR(TYPE(AA135)&gt;1,TYPE(MATCH(AA135,AA136:AA$267,0))&gt;1),0,MATCH(AA135,AA136:AA$267,0))</f>
        <v>0</v>
      </c>
      <c r="AR135" s="408">
        <f t="shared" ca="1" si="44"/>
        <v>0</v>
      </c>
      <c r="BF135" s="408">
        <f t="shared" si="45"/>
        <v>125</v>
      </c>
    </row>
    <row r="136" spans="1:58" ht="14.25">
      <c r="A136" s="430">
        <f t="shared" ca="1" si="46"/>
        <v>1</v>
      </c>
      <c r="B136" s="430">
        <f t="shared" ca="1" si="47"/>
        <v>1</v>
      </c>
      <c r="C136" s="430">
        <f t="shared" ca="1" si="48"/>
        <v>6.47</v>
      </c>
      <c r="D136" s="430">
        <f t="shared" ca="1" si="49"/>
        <v>20313</v>
      </c>
      <c r="E136" s="430">
        <f t="shared" ca="1" si="50"/>
        <v>315</v>
      </c>
      <c r="F136" s="431" t="str">
        <f t="shared" ca="1" si="51"/>
        <v>01000000000000000000578007</v>
      </c>
      <c r="G136" s="467" t="b">
        <f t="shared" ca="1" si="52"/>
        <v>0</v>
      </c>
      <c r="H136" s="468">
        <f t="shared" si="53"/>
        <v>126</v>
      </c>
      <c r="I136" s="469">
        <f t="shared" ca="1" si="54"/>
        <v>18074</v>
      </c>
      <c r="J136" s="470" t="str">
        <f ca="1">IF(N(I136)&gt;0,VLOOKUP(I136,Hraci!$A$1:$I$1500,2,0),IF(TYPE(INDIRECT(ADDRESS(ROW() + $A$9-9 + (ROW()-11)*4,2,1,1,"Internet")))&gt;1,INDIRECT(ADDRESS(ROW() + $A$9-9 + (ROW()-11)*4,2,1,1,"Internet"))," "))</f>
        <v>Lukeš</v>
      </c>
      <c r="K136" s="471" t="str">
        <f ca="1">IF(N(I136)&gt;0,VLOOKUP(I136,Hraci!$A$1:$I$1500,3,0)," ")</f>
        <v>Jakub</v>
      </c>
      <c r="L136" s="471" t="str">
        <f ca="1">IF(N(I136)&gt;0,VLOOKUP(I136,Hraci!$A$1:$I$1500,5,0),IF(TYPE(INDIRECT(ADDRESS(ROW() + $A$9-9 + (ROW()-11)*4,3,1,1,"Internet")))&gt;1,INDIRECT(ADDRESS(ROW() + $A$9-9 + (ROW()-11)*4,3,1,1,"Internet"))," "))</f>
        <v>1. KPK Vrchlabí</v>
      </c>
      <c r="M136" s="472">
        <f ca="1">IF(N(I136)=0,9999,VLOOKUP(I136,Hraci!$A$1:$I$1500,8,0))</f>
        <v>315</v>
      </c>
      <c r="N136" s="473">
        <f ca="1">IF(N(I136)=0,0,VLOOKUP(I136,Hraci!$A$1:$I$1500,9,0))</f>
        <v>6.47</v>
      </c>
      <c r="O136" s="469" t="str">
        <f t="shared" ca="1" si="55"/>
        <v/>
      </c>
      <c r="P136" s="470" t="str">
        <f ca="1">IF(N(O136)&gt;0,VLOOKUP(O136,Hraci!$A$1:$I$1500,2,0),IF(TYPE(INDIRECT(ADDRESS(ROW() + $A$9-8 + (ROW()-11)*4,2,1,1,"Internet")))&gt;1,INDIRECT(ADDRESS(ROW() + $A$9-8 + (ROW()-11)*4,2,1,1,"Internet"))," "))</f>
        <v xml:space="preserve"> </v>
      </c>
      <c r="Q136" s="471" t="str">
        <f ca="1">IF(N(O136)&gt;0,VLOOKUP(O136,Hraci!$A$1:$I$1500,3,0)," ")</f>
        <v xml:space="preserve"> </v>
      </c>
      <c r="R136" s="471" t="str">
        <f ca="1">IF(N(O136)&gt;0,VLOOKUP(O136,Hraci!$A$1:$I$1500,5,0),IF(TYPE(INDIRECT(ADDRESS(ROW() + $A$9-8 + (ROW()-11)*4,3,1,1,"Internet")))&gt;1,INDIRECT(ADDRESS(ROW() + $A$9-8 + (ROW()-11)*4,3,1,1,"Internet"))," "))</f>
        <v xml:space="preserve"> </v>
      </c>
      <c r="S136" s="472">
        <f ca="1">IF(N(O136)=0,9999,VLOOKUP(O136,Hraci!$A$1:$I$1500,8,0))</f>
        <v>9999</v>
      </c>
      <c r="T136" s="473">
        <f ca="1">IF(N(O136)=0,0,VLOOKUP(O136,Hraci!$A$1:$I$1500,9,0))</f>
        <v>0</v>
      </c>
      <c r="U136" s="469" t="str">
        <f t="shared" ca="1" si="56"/>
        <v/>
      </c>
      <c r="V136" s="470" t="str">
        <f ca="1">IF(N(U136)&gt;0,VLOOKUP(U136,Hraci!$A$1:$I$1500,2,0),IF(TYPE(INDIRECT(ADDRESS(ROW() + $A$9-7 + (ROW()-11)*4,2,1,1,"Internet")))&gt;1,INDIRECT(ADDRESS(ROW() + $A$9-7 + (ROW()-11)*4,2,1,1,"Internet"))," "))</f>
        <v xml:space="preserve"> </v>
      </c>
      <c r="W136" s="471" t="str">
        <f ca="1">IF(N(U136)&gt;0,VLOOKUP(U136,Hraci!$A$1:$I$1500,3,0)," ")</f>
        <v xml:space="preserve"> </v>
      </c>
      <c r="X136" s="471" t="str">
        <f ca="1">IF(N(U136)&gt;0,VLOOKUP(U136,Hraci!$A$1:$I$1500,5,0),IF(TYPE(INDIRECT(ADDRESS(ROW() + $A$9-7 + (ROW()-11)*4,3,1,1,"Internet")))&gt;1,INDIRECT(ADDRESS(ROW() + $A$9-7 + (ROW()-11)*4,3,1,1,"Internet"))," "))</f>
        <v xml:space="preserve"> </v>
      </c>
      <c r="Y136" s="472">
        <f ca="1">IF(N(U136)=0,9999,VLOOKUP(U136,Hraci!$A$1:$I$1500,8,0))</f>
        <v>9999</v>
      </c>
      <c r="Z136" s="473">
        <f ca="1">IF(N(U136)=0,0,VLOOKUP(U136,Hraci!$A$1:$I$1500,9,0))</f>
        <v>0</v>
      </c>
      <c r="AA136" s="469" t="str">
        <f t="shared" ca="1" si="57"/>
        <v/>
      </c>
      <c r="AB136" s="470" t="str">
        <f ca="1">IF(N(AA136)&gt;0,VLOOKUP(AA136,Hraci!$A$1:$I$1500,2,0)," ")</f>
        <v xml:space="preserve"> </v>
      </c>
      <c r="AC136" s="471" t="str">
        <f ca="1">IF(N(AA136)&gt;0,VLOOKUP(AA136,Hraci!$A$1:$I$1500,3,0)," ")</f>
        <v xml:space="preserve"> </v>
      </c>
      <c r="AD136" s="471" t="str">
        <f ca="1">IF(N(AA136)&gt;0,VLOOKUP(AA136,Hraci!$A$1:$I$1500,5,0)," ")</f>
        <v xml:space="preserve"> </v>
      </c>
      <c r="AE136" s="472">
        <f ca="1">IF(N(AA136)=0,9999,VLOOKUP(AA136,Hraci!$A$1:$I$1500,8,0))</f>
        <v>9999</v>
      </c>
      <c r="AF136" s="473">
        <f ca="1">IF(N(AA136)=0,0,VLOOKUP(AA136,Hraci!$A$1:$I$1500,9,0))</f>
        <v>0</v>
      </c>
      <c r="AG136" s="474"/>
      <c r="AH136" s="480">
        <v>86</v>
      </c>
      <c r="AI136" s="475">
        <f ca="1">IF(N($AH136)&gt;0,VLOOKUP($AH136,Body!$A$4:$F$259,5,0),"")</f>
        <v>553.40650000000005</v>
      </c>
      <c r="AJ136" s="476">
        <f ca="1">IF(N($AH136)&gt;0,VLOOKUP($AH136,Body!$A$4:$F$259,6,0),"")</f>
        <v>200</v>
      </c>
      <c r="AK136" s="475">
        <f ca="1">IF(N($AH136)&gt;0,VLOOKUP($AH136,Body!$A$4:$F$259,2,0),"")</f>
        <v>8</v>
      </c>
      <c r="AL136" s="477" t="str">
        <f t="shared" ca="1" si="58"/>
        <v>126 1. KPK Vrchlabí - Lukeš Jakub</v>
      </c>
      <c r="AM136" s="478">
        <f t="shared" ca="1" si="59"/>
        <v>6.47</v>
      </c>
      <c r="AN136" s="408">
        <f ca="1">IF(OR(TYPE(I136)&gt;1,TYPE(MATCH(I136,I137:I$267,0))&gt;1),0,MATCH(I136,I137:I$267,0))+IF(OR(TYPE(I136)&gt;1,TYPE(MATCH(I136,O$11:O$267,0))&gt;1),0,MATCH(I136,O$11:O$267,0))+IF(OR(TYPE(I136)&gt;1,TYPE(MATCH(I136,U$11:U$267,0))&gt;1),0,MATCH(I136,U$11:U$267,0))+IF(OR(TYPE(I136)&gt;1,TYPE(MATCH(I136,AA$11:AA$267,0))&gt;1),0,MATCH(I136,AA$11:AA$267,0))</f>
        <v>0</v>
      </c>
      <c r="AO136" s="408">
        <f ca="1">IF(OR(TYPE(O136)&gt;1,TYPE(MATCH(O136,I$11:I$267,0))&gt;1),0,MATCH(O136,I$11:I$267,0))+IF(OR(TYPE(O136)&gt;1,TYPE(MATCH(O136,O137:O$267,0))&gt;1),0,MATCH(O136,O137:O$267,0))+IF(OR(TYPE(O136)&gt;1,TYPE(MATCH(O136,U$11:U$267,0))&gt;1),0,MATCH(O136,U$11:U$267,0))+IF(OR(TYPE(O136)&gt;1,TYPE(MATCH(O136,AA$11:AA$267,0))&gt;1),0,MATCH(O136,AA$11:AA$267,0))</f>
        <v>0</v>
      </c>
      <c r="AP136" s="408">
        <f ca="1">IF(OR(TYPE(U136)&gt;1,TYPE(MATCH(U136,I$11:I$267,0))&gt;1),0,MATCH(U136,I$11:I$267,0))+IF(OR(TYPE(U136)&gt;1,TYPE(MATCH(U136,O$11:O$267,0))&gt;1),0,MATCH(U136,O$11:O$267,0))+IF(OR(TYPE(U136)&gt;1,TYPE(MATCH(U136,U137:U$267,0))&gt;1),0,MATCH(U136,U137:U$267,0))+IF(OR(TYPE(U136)&gt;1,TYPE(MATCH(U136,AA$11:AA$267,0))&gt;1),0,MATCH(U136,AA$11:AA$267,0))</f>
        <v>0</v>
      </c>
      <c r="AQ136" s="408">
        <f ca="1">IF(OR(TYPE(AA136)&gt;1,TYPE(MATCH(AA136,I$11:I$267,0))&gt;1),0,MATCH(AA136,I$11:I$267,0))+IF(OR(TYPE(AA136)&gt;1,TYPE(MATCH(AA136,O$11:O$267,0))&gt;1),0,MATCH(AA136,O$11:O$267,0))+IF(OR(TYPE(AA136)&gt;1,TYPE(MATCH(AA136,U$11:U$267,0))&gt;1),0,MATCH(U136,U$11:U$267,0))+IF(OR(TYPE(AA136)&gt;1,TYPE(MATCH(AA136,AA137:AA$267,0))&gt;1),0,MATCH(AA136,AA137:AA$267,0))</f>
        <v>0</v>
      </c>
      <c r="AR136" s="408">
        <f t="shared" ca="1" si="44"/>
        <v>0</v>
      </c>
      <c r="BF136" s="408">
        <f t="shared" si="45"/>
        <v>126</v>
      </c>
    </row>
    <row r="137" spans="1:58" ht="14.25">
      <c r="A137" s="430">
        <f t="shared" ca="1" si="46"/>
        <v>1</v>
      </c>
      <c r="B137" s="430">
        <f t="shared" ca="1" si="47"/>
        <v>1</v>
      </c>
      <c r="C137" s="430">
        <f t="shared" ca="1" si="48"/>
        <v>5.875</v>
      </c>
      <c r="D137" s="430">
        <f t="shared" ca="1" si="49"/>
        <v>20252</v>
      </c>
      <c r="E137" s="430">
        <f t="shared" ca="1" si="50"/>
        <v>254</v>
      </c>
      <c r="F137" s="431" t="str">
        <f t="shared" ca="1" si="51"/>
        <v>01000000000000000000752078</v>
      </c>
      <c r="G137" s="467" t="b">
        <f t="shared" ca="1" si="52"/>
        <v>0</v>
      </c>
      <c r="H137" s="468">
        <f t="shared" si="53"/>
        <v>127</v>
      </c>
      <c r="I137" s="469">
        <f t="shared" ca="1" si="54"/>
        <v>10034</v>
      </c>
      <c r="J137" s="470" t="str">
        <f ca="1">IF(N(I137)&gt;0,VLOOKUP(I137,Hraci!$A$1:$I$1500,2,0),IF(TYPE(INDIRECT(ADDRESS(ROW() + $A$9-9 + (ROW()-11)*4,2,1,1,"Internet")))&gt;1,INDIRECT(ADDRESS(ROW() + $A$9-9 + (ROW()-11)*4,2,1,1,"Internet"))," "))</f>
        <v>Fukal</v>
      </c>
      <c r="K137" s="471" t="str">
        <f ca="1">IF(N(I137)&gt;0,VLOOKUP(I137,Hraci!$A$1:$I$1500,3,0)," ")</f>
        <v>Milan</v>
      </c>
      <c r="L137" s="471" t="str">
        <f ca="1">IF(N(I137)&gt;0,VLOOKUP(I137,Hraci!$A$1:$I$1500,5,0),IF(TYPE(INDIRECT(ADDRESS(ROW() + $A$9-9 + (ROW()-11)*4,3,1,1,"Internet")))&gt;1,INDIRECT(ADDRESS(ROW() + $A$9-9 + (ROW()-11)*4,3,1,1,"Internet"))," "))</f>
        <v>JAPKO</v>
      </c>
      <c r="M137" s="472">
        <f ca="1">IF(N(I137)=0,9999,VLOOKUP(I137,Hraci!$A$1:$I$1500,8,0))</f>
        <v>254</v>
      </c>
      <c r="N137" s="473">
        <f ca="1">IF(N(I137)=0,0,VLOOKUP(I137,Hraci!$A$1:$I$1500,9,0))</f>
        <v>5.875</v>
      </c>
      <c r="O137" s="469" t="str">
        <f t="shared" ca="1" si="55"/>
        <v/>
      </c>
      <c r="P137" s="470" t="str">
        <f ca="1">IF(N(O137)&gt;0,VLOOKUP(O137,Hraci!$A$1:$I$1500,2,0),IF(TYPE(INDIRECT(ADDRESS(ROW() + $A$9-8 + (ROW()-11)*4,2,1,1,"Internet")))&gt;1,INDIRECT(ADDRESS(ROW() + $A$9-8 + (ROW()-11)*4,2,1,1,"Internet"))," "))</f>
        <v xml:space="preserve"> </v>
      </c>
      <c r="Q137" s="471" t="str">
        <f ca="1">IF(N(O137)&gt;0,VLOOKUP(O137,Hraci!$A$1:$I$1500,3,0)," ")</f>
        <v xml:space="preserve"> </v>
      </c>
      <c r="R137" s="471" t="str">
        <f ca="1">IF(N(O137)&gt;0,VLOOKUP(O137,Hraci!$A$1:$I$1500,5,0),IF(TYPE(INDIRECT(ADDRESS(ROW() + $A$9-8 + (ROW()-11)*4,3,1,1,"Internet")))&gt;1,INDIRECT(ADDRESS(ROW() + $A$9-8 + (ROW()-11)*4,3,1,1,"Internet"))," "))</f>
        <v xml:space="preserve"> </v>
      </c>
      <c r="S137" s="472">
        <f ca="1">IF(N(O137)=0,9999,VLOOKUP(O137,Hraci!$A$1:$I$1500,8,0))</f>
        <v>9999</v>
      </c>
      <c r="T137" s="473">
        <f ca="1">IF(N(O137)=0,0,VLOOKUP(O137,Hraci!$A$1:$I$1500,9,0))</f>
        <v>0</v>
      </c>
      <c r="U137" s="469" t="str">
        <f t="shared" ca="1" si="56"/>
        <v/>
      </c>
      <c r="V137" s="470" t="str">
        <f ca="1">IF(N(U137)&gt;0,VLOOKUP(U137,Hraci!$A$1:$I$1500,2,0),IF(TYPE(INDIRECT(ADDRESS(ROW() + $A$9-7 + (ROW()-11)*4,2,1,1,"Internet")))&gt;1,INDIRECT(ADDRESS(ROW() + $A$9-7 + (ROW()-11)*4,2,1,1,"Internet"))," "))</f>
        <v xml:space="preserve"> </v>
      </c>
      <c r="W137" s="471" t="str">
        <f ca="1">IF(N(U137)&gt;0,VLOOKUP(U137,Hraci!$A$1:$I$1500,3,0)," ")</f>
        <v xml:space="preserve"> </v>
      </c>
      <c r="X137" s="471" t="str">
        <f ca="1">IF(N(U137)&gt;0,VLOOKUP(U137,Hraci!$A$1:$I$1500,5,0),IF(TYPE(INDIRECT(ADDRESS(ROW() + $A$9-7 + (ROW()-11)*4,3,1,1,"Internet")))&gt;1,INDIRECT(ADDRESS(ROW() + $A$9-7 + (ROW()-11)*4,3,1,1,"Internet"))," "))</f>
        <v xml:space="preserve"> </v>
      </c>
      <c r="Y137" s="472">
        <f ca="1">IF(N(U137)=0,9999,VLOOKUP(U137,Hraci!$A$1:$I$1500,8,0))</f>
        <v>9999</v>
      </c>
      <c r="Z137" s="473">
        <f ca="1">IF(N(U137)=0,0,VLOOKUP(U137,Hraci!$A$1:$I$1500,9,0))</f>
        <v>0</v>
      </c>
      <c r="AA137" s="469" t="str">
        <f t="shared" ca="1" si="57"/>
        <v/>
      </c>
      <c r="AB137" s="470" t="str">
        <f ca="1">IF(N(AA137)&gt;0,VLOOKUP(AA137,Hraci!$A$1:$I$1500,2,0)," ")</f>
        <v xml:space="preserve"> </v>
      </c>
      <c r="AC137" s="471" t="str">
        <f ca="1">IF(N(AA137)&gt;0,VLOOKUP(AA137,Hraci!$A$1:$I$1500,3,0)," ")</f>
        <v xml:space="preserve"> </v>
      </c>
      <c r="AD137" s="471" t="str">
        <f ca="1">IF(N(AA137)&gt;0,VLOOKUP(AA137,Hraci!$A$1:$I$1500,5,0)," ")</f>
        <v xml:space="preserve"> </v>
      </c>
      <c r="AE137" s="472">
        <f ca="1">IF(N(AA137)=0,9999,VLOOKUP(AA137,Hraci!$A$1:$I$1500,8,0))</f>
        <v>9999</v>
      </c>
      <c r="AF137" s="473">
        <f ca="1">IF(N(AA137)=0,0,VLOOKUP(AA137,Hraci!$A$1:$I$1500,9,0))</f>
        <v>0</v>
      </c>
      <c r="AG137" s="474"/>
      <c r="AH137" s="480">
        <v>86</v>
      </c>
      <c r="AI137" s="475">
        <f ca="1">IF(N($AH137)&gt;0,VLOOKUP($AH137,Body!$A$4:$F$259,5,0),"")</f>
        <v>553.40650000000005</v>
      </c>
      <c r="AJ137" s="476">
        <f ca="1">IF(N($AH137)&gt;0,VLOOKUP($AH137,Body!$A$4:$F$259,6,0),"")</f>
        <v>200</v>
      </c>
      <c r="AK137" s="475">
        <f ca="1">IF(N($AH137)&gt;0,VLOOKUP($AH137,Body!$A$4:$F$259,2,0),"")</f>
        <v>8</v>
      </c>
      <c r="AL137" s="477" t="str">
        <f t="shared" ca="1" si="58"/>
        <v>127 JAPKO - Fukal Milan</v>
      </c>
      <c r="AM137" s="478">
        <f t="shared" ca="1" si="59"/>
        <v>5.875</v>
      </c>
      <c r="AN137" s="408">
        <f ca="1">IF(OR(TYPE(I137)&gt;1,TYPE(MATCH(I137,I138:I$267,0))&gt;1),0,MATCH(I137,I138:I$267,0))+IF(OR(TYPE(I137)&gt;1,TYPE(MATCH(I137,O$11:O$267,0))&gt;1),0,MATCH(I137,O$11:O$267,0))+IF(OR(TYPE(I137)&gt;1,TYPE(MATCH(I137,U$11:U$267,0))&gt;1),0,MATCH(I137,U$11:U$267,0))+IF(OR(TYPE(I137)&gt;1,TYPE(MATCH(I137,AA$11:AA$267,0))&gt;1),0,MATCH(I137,AA$11:AA$267,0))</f>
        <v>0</v>
      </c>
      <c r="AO137" s="408">
        <f ca="1">IF(OR(TYPE(O137)&gt;1,TYPE(MATCH(O137,I$11:I$267,0))&gt;1),0,MATCH(O137,I$11:I$267,0))+IF(OR(TYPE(O137)&gt;1,TYPE(MATCH(O137,O138:O$267,0))&gt;1),0,MATCH(O137,O138:O$267,0))+IF(OR(TYPE(O137)&gt;1,TYPE(MATCH(O137,U$11:U$267,0))&gt;1),0,MATCH(O137,U$11:U$267,0))+IF(OR(TYPE(O137)&gt;1,TYPE(MATCH(O137,AA$11:AA$267,0))&gt;1),0,MATCH(O137,AA$11:AA$267,0))</f>
        <v>0</v>
      </c>
      <c r="AP137" s="408">
        <f ca="1">IF(OR(TYPE(U137)&gt;1,TYPE(MATCH(U137,I$11:I$267,0))&gt;1),0,MATCH(U137,I$11:I$267,0))+IF(OR(TYPE(U137)&gt;1,TYPE(MATCH(U137,O$11:O$267,0))&gt;1),0,MATCH(U137,O$11:O$267,0))+IF(OR(TYPE(U137)&gt;1,TYPE(MATCH(U137,U138:U$267,0))&gt;1),0,MATCH(U137,U138:U$267,0))+IF(OR(TYPE(U137)&gt;1,TYPE(MATCH(U137,AA$11:AA$267,0))&gt;1),0,MATCH(U137,AA$11:AA$267,0))</f>
        <v>0</v>
      </c>
      <c r="AQ137" s="408">
        <f ca="1">IF(OR(TYPE(AA137)&gt;1,TYPE(MATCH(AA137,I$11:I$267,0))&gt;1),0,MATCH(AA137,I$11:I$267,0))+IF(OR(TYPE(AA137)&gt;1,TYPE(MATCH(AA137,O$11:O$267,0))&gt;1),0,MATCH(AA137,O$11:O$267,0))+IF(OR(TYPE(AA137)&gt;1,TYPE(MATCH(AA137,U$11:U$267,0))&gt;1),0,MATCH(U137,U$11:U$267,0))+IF(OR(TYPE(AA137)&gt;1,TYPE(MATCH(AA137,AA138:AA$267,0))&gt;1),0,MATCH(AA137,AA138:AA$267,0))</f>
        <v>0</v>
      </c>
      <c r="AR137" s="408">
        <f t="shared" ca="1" si="44"/>
        <v>0</v>
      </c>
      <c r="BF137" s="408">
        <f t="shared" si="45"/>
        <v>127</v>
      </c>
    </row>
    <row r="138" spans="1:58" ht="14.25">
      <c r="A138" s="430">
        <f t="shared" ca="1" si="46"/>
        <v>1</v>
      </c>
      <c r="B138" s="430">
        <f t="shared" ca="1" si="47"/>
        <v>1</v>
      </c>
      <c r="C138" s="430">
        <f t="shared" ca="1" si="48"/>
        <v>5.61</v>
      </c>
      <c r="D138" s="430">
        <f t="shared" ca="1" si="49"/>
        <v>20339</v>
      </c>
      <c r="E138" s="430">
        <f t="shared" ca="1" si="50"/>
        <v>341</v>
      </c>
      <c r="F138" s="431" t="str">
        <f t="shared" ca="1" si="51"/>
        <v>01000000000000000000314549</v>
      </c>
      <c r="G138" s="467" t="b">
        <f t="shared" ca="1" si="52"/>
        <v>0</v>
      </c>
      <c r="H138" s="468">
        <f t="shared" si="53"/>
        <v>128</v>
      </c>
      <c r="I138" s="469">
        <f t="shared" ca="1" si="54"/>
        <v>20528</v>
      </c>
      <c r="J138" s="470" t="str">
        <f ca="1">IF(N(I138)&gt;0,VLOOKUP(I138,Hraci!$A$1:$I$1500,2,0),IF(TYPE(INDIRECT(ADDRESS(ROW() + $A$9-9 + (ROW()-11)*4,2,1,1,"Internet")))&gt;1,INDIRECT(ADDRESS(ROW() + $A$9-9 + (ROW()-11)*4,2,1,1,"Internet"))," "))</f>
        <v>Duška</v>
      </c>
      <c r="K138" s="471" t="str">
        <f ca="1">IF(N(I138)&gt;0,VLOOKUP(I138,Hraci!$A$1:$I$1500,3,0)," ")</f>
        <v>Miloš</v>
      </c>
      <c r="L138" s="471" t="str">
        <f ca="1">IF(N(I138)&gt;0,VLOOKUP(I138,Hraci!$A$1:$I$1500,5,0),IF(TYPE(INDIRECT(ADDRESS(ROW() + $A$9-9 + (ROW()-11)*4,3,1,1,"Internet")))&gt;1,INDIRECT(ADDRESS(ROW() + $A$9-9 + (ROW()-11)*4,3,1,1,"Internet"))," "))</f>
        <v>PC Mimo Done</v>
      </c>
      <c r="M138" s="472">
        <f ca="1">IF(N(I138)=0,9999,VLOOKUP(I138,Hraci!$A$1:$I$1500,8,0))</f>
        <v>341</v>
      </c>
      <c r="N138" s="473">
        <f ca="1">IF(N(I138)=0,0,VLOOKUP(I138,Hraci!$A$1:$I$1500,9,0))</f>
        <v>5.61</v>
      </c>
      <c r="O138" s="469" t="str">
        <f t="shared" ca="1" si="55"/>
        <v/>
      </c>
      <c r="P138" s="470" t="str">
        <f ca="1">IF(N(O138)&gt;0,VLOOKUP(O138,Hraci!$A$1:$I$1500,2,0),IF(TYPE(INDIRECT(ADDRESS(ROW() + $A$9-8 + (ROW()-11)*4,2,1,1,"Internet")))&gt;1,INDIRECT(ADDRESS(ROW() + $A$9-8 + (ROW()-11)*4,2,1,1,"Internet"))," "))</f>
        <v xml:space="preserve"> </v>
      </c>
      <c r="Q138" s="471" t="str">
        <f ca="1">IF(N(O138)&gt;0,VLOOKUP(O138,Hraci!$A$1:$I$1500,3,0)," ")</f>
        <v xml:space="preserve"> </v>
      </c>
      <c r="R138" s="471" t="str">
        <f ca="1">IF(N(O138)&gt;0,VLOOKUP(O138,Hraci!$A$1:$I$1500,5,0),IF(TYPE(INDIRECT(ADDRESS(ROW() + $A$9-8 + (ROW()-11)*4,3,1,1,"Internet")))&gt;1,INDIRECT(ADDRESS(ROW() + $A$9-8 + (ROW()-11)*4,3,1,1,"Internet"))," "))</f>
        <v xml:space="preserve"> </v>
      </c>
      <c r="S138" s="472">
        <f ca="1">IF(N(O138)=0,9999,VLOOKUP(O138,Hraci!$A$1:$I$1500,8,0))</f>
        <v>9999</v>
      </c>
      <c r="T138" s="473">
        <f ca="1">IF(N(O138)=0,0,VLOOKUP(O138,Hraci!$A$1:$I$1500,9,0))</f>
        <v>0</v>
      </c>
      <c r="U138" s="469" t="str">
        <f t="shared" ca="1" si="56"/>
        <v/>
      </c>
      <c r="V138" s="470" t="str">
        <f ca="1">IF(N(U138)&gt;0,VLOOKUP(U138,Hraci!$A$1:$I$1500,2,0),IF(TYPE(INDIRECT(ADDRESS(ROW() + $A$9-7 + (ROW()-11)*4,2,1,1,"Internet")))&gt;1,INDIRECT(ADDRESS(ROW() + $A$9-7 + (ROW()-11)*4,2,1,1,"Internet"))," "))</f>
        <v xml:space="preserve"> </v>
      </c>
      <c r="W138" s="471" t="str">
        <f ca="1">IF(N(U138)&gt;0,VLOOKUP(U138,Hraci!$A$1:$I$1500,3,0)," ")</f>
        <v xml:space="preserve"> </v>
      </c>
      <c r="X138" s="471" t="str">
        <f ca="1">IF(N(U138)&gt;0,VLOOKUP(U138,Hraci!$A$1:$I$1500,5,0),IF(TYPE(INDIRECT(ADDRESS(ROW() + $A$9-7 + (ROW()-11)*4,3,1,1,"Internet")))&gt;1,INDIRECT(ADDRESS(ROW() + $A$9-7 + (ROW()-11)*4,3,1,1,"Internet"))," "))</f>
        <v xml:space="preserve"> </v>
      </c>
      <c r="Y138" s="472">
        <f ca="1">IF(N(U138)=0,9999,VLOOKUP(U138,Hraci!$A$1:$I$1500,8,0))</f>
        <v>9999</v>
      </c>
      <c r="Z138" s="473">
        <f ca="1">IF(N(U138)=0,0,VLOOKUP(U138,Hraci!$A$1:$I$1500,9,0))</f>
        <v>0</v>
      </c>
      <c r="AA138" s="469" t="str">
        <f t="shared" ca="1" si="57"/>
        <v/>
      </c>
      <c r="AB138" s="470" t="str">
        <f ca="1">IF(N(AA138)&gt;0,VLOOKUP(AA138,Hraci!$A$1:$I$1500,2,0)," ")</f>
        <v xml:space="preserve"> </v>
      </c>
      <c r="AC138" s="471" t="str">
        <f ca="1">IF(N(AA138)&gt;0,VLOOKUP(AA138,Hraci!$A$1:$I$1500,3,0)," ")</f>
        <v xml:space="preserve"> </v>
      </c>
      <c r="AD138" s="471" t="str">
        <f ca="1">IF(N(AA138)&gt;0,VLOOKUP(AA138,Hraci!$A$1:$I$1500,5,0)," ")</f>
        <v xml:space="preserve"> </v>
      </c>
      <c r="AE138" s="472">
        <f ca="1">IF(N(AA138)=0,9999,VLOOKUP(AA138,Hraci!$A$1:$I$1500,8,0))</f>
        <v>9999</v>
      </c>
      <c r="AF138" s="473">
        <f ca="1">IF(N(AA138)=0,0,VLOOKUP(AA138,Hraci!$A$1:$I$1500,9,0))</f>
        <v>0</v>
      </c>
      <c r="AG138" s="474"/>
      <c r="AH138" s="480">
        <f ca="1">IF(TYPE(VLOOKUP(H138,Nasazení!$A$3:$E$258,5,0))&lt;4,VLOOKUP(H138,Nasazení!$A$3:$E$258,5,0),0)</f>
        <v>143</v>
      </c>
      <c r="AI138" s="475">
        <f ca="1">IF(N($AH138)&gt;0,VLOOKUP($AH138,Body!$A$4:$F$259,5,0),"")</f>
        <v>20</v>
      </c>
      <c r="AJ138" s="476">
        <f ca="1">IF(N($AH138)&gt;0,VLOOKUP($AH138,Body!$A$4:$F$259,6,0),"")</f>
        <v>0</v>
      </c>
      <c r="AK138" s="475">
        <f ca="1">IF(N($AH138)&gt;0,VLOOKUP($AH138,Body!$A$4:$F$259,2,0),"")</f>
        <v>0</v>
      </c>
      <c r="AL138" s="477" t="str">
        <f t="shared" ca="1" si="58"/>
        <v>128 PC Mimo Done - Duška Miloš</v>
      </c>
      <c r="AM138" s="478">
        <f t="shared" ca="1" si="59"/>
        <v>5.61</v>
      </c>
      <c r="AN138" s="408">
        <f ca="1">IF(OR(TYPE(I138)&gt;1,TYPE(MATCH(I138,I139:I$267,0))&gt;1),0,MATCH(I138,I139:I$267,0))+IF(OR(TYPE(I138)&gt;1,TYPE(MATCH(I138,O$11:O$267,0))&gt;1),0,MATCH(I138,O$11:O$267,0))+IF(OR(TYPE(I138)&gt;1,TYPE(MATCH(I138,U$11:U$267,0))&gt;1),0,MATCH(I138,U$11:U$267,0))+IF(OR(TYPE(I138)&gt;1,TYPE(MATCH(I138,AA$11:AA$267,0))&gt;1),0,MATCH(I138,AA$11:AA$267,0))</f>
        <v>0</v>
      </c>
      <c r="AO138" s="408">
        <f ca="1">IF(OR(TYPE(O138)&gt;1,TYPE(MATCH(O138,I$11:I$267,0))&gt;1),0,MATCH(O138,I$11:I$267,0))+IF(OR(TYPE(O138)&gt;1,TYPE(MATCH(O138,O139:O$267,0))&gt;1),0,MATCH(O138,O139:O$267,0))+IF(OR(TYPE(O138)&gt;1,TYPE(MATCH(O138,U$11:U$267,0))&gt;1),0,MATCH(O138,U$11:U$267,0))+IF(OR(TYPE(O138)&gt;1,TYPE(MATCH(O138,AA$11:AA$267,0))&gt;1),0,MATCH(O138,AA$11:AA$267,0))</f>
        <v>0</v>
      </c>
      <c r="AP138" s="408">
        <f ca="1">IF(OR(TYPE(U138)&gt;1,TYPE(MATCH(U138,I$11:I$267,0))&gt;1),0,MATCH(U138,I$11:I$267,0))+IF(OR(TYPE(U138)&gt;1,TYPE(MATCH(U138,O$11:O$267,0))&gt;1),0,MATCH(U138,O$11:O$267,0))+IF(OR(TYPE(U138)&gt;1,TYPE(MATCH(U138,U139:U$267,0))&gt;1),0,MATCH(U138,U139:U$267,0))+IF(OR(TYPE(U138)&gt;1,TYPE(MATCH(U138,AA$11:AA$267,0))&gt;1),0,MATCH(U138,AA$11:AA$267,0))</f>
        <v>0</v>
      </c>
      <c r="AQ138" s="408">
        <f ca="1">IF(OR(TYPE(AA138)&gt;1,TYPE(MATCH(AA138,I$11:I$267,0))&gt;1),0,MATCH(AA138,I$11:I$267,0))+IF(OR(TYPE(AA138)&gt;1,TYPE(MATCH(AA138,O$11:O$267,0))&gt;1),0,MATCH(AA138,O$11:O$267,0))+IF(OR(TYPE(AA138)&gt;1,TYPE(MATCH(AA138,U$11:U$267,0))&gt;1),0,MATCH(U138,U$11:U$267,0))+IF(OR(TYPE(AA138)&gt;1,TYPE(MATCH(AA138,AA139:AA$267,0))&gt;1),0,MATCH(AA138,AA139:AA$267,0))</f>
        <v>0</v>
      </c>
      <c r="AR138" s="408">
        <f t="shared" ca="1" si="44"/>
        <v>0</v>
      </c>
      <c r="BF138" s="408">
        <f t="shared" si="45"/>
        <v>128</v>
      </c>
    </row>
    <row r="139" spans="1:58" ht="14.25">
      <c r="A139" s="430">
        <f t="shared" ca="1" si="46"/>
        <v>1</v>
      </c>
      <c r="B139" s="430">
        <f t="shared" ca="1" si="47"/>
        <v>1</v>
      </c>
      <c r="C139" s="430">
        <f ca="1">IF(B139=0,0,N139+T139+Z139)</f>
        <v>5.2039999999999997</v>
      </c>
      <c r="D139" s="430">
        <f t="shared" ca="1" si="49"/>
        <v>20309</v>
      </c>
      <c r="E139" s="430">
        <f t="shared" ca="1" si="50"/>
        <v>311</v>
      </c>
      <c r="F139" s="431" t="str">
        <f ca="1">CONCATENATE(IF(AND($P$4=1,H139&gt;2*$O$7),"0","9"),TEXT(B139,"0"),IF(AND($P$4=1,H139&gt;2*$O$7),"000000",TEXT(1000*C139,"000000")),IF(AND($P$4=1,H139&gt;2*$O$7),"000000",TEXT(999999-D139,"000000")),IF(AND($P$4=1,H139&gt;2*$O$7),"000000",TEXT(999999-E139,"000000")),TEXT(999999*RAND(),"000000"))</f>
        <v>01000000000000000000231689</v>
      </c>
      <c r="G139" s="467" t="b">
        <f t="shared" ca="1" si="52"/>
        <v>0</v>
      </c>
      <c r="H139" s="468">
        <f t="shared" ref="H139:H202" si="60">ROW(H139)-10</f>
        <v>129</v>
      </c>
      <c r="I139" s="469">
        <f t="shared" ca="1" si="54"/>
        <v>16072</v>
      </c>
      <c r="J139" s="470" t="str">
        <f ca="1">IF(N(I139)&gt;0,VLOOKUP(I139,Hraci!$A$1:$I$1500,2,0),IF(TYPE(INDIRECT(ADDRESS(ROW() + $A$9-9 + (ROW()-11)*4,2,1,1,"Internet")))&gt;1,INDIRECT(ADDRESS(ROW() + $A$9-9 + (ROW()-11)*4,2,1,1,"Internet"))," "))</f>
        <v>Gazdíková</v>
      </c>
      <c r="K139" s="471" t="str">
        <f ca="1">IF(N(I139)&gt;0,VLOOKUP(I139,Hraci!$A$1:$I$1500,3,0)," ")</f>
        <v>Jiřina</v>
      </c>
      <c r="L139" s="471" t="str">
        <f ca="1">IF(N(I139)&gt;0,VLOOKUP(I139,Hraci!$A$1:$I$1500,5,0),IF(TYPE(INDIRECT(ADDRESS(ROW() + $A$9-9 + (ROW()-11)*4,3,1,1,"Internet")))&gt;1,INDIRECT(ADDRESS(ROW() + $A$9-9 + (ROW()-11)*4,3,1,1,"Internet"))," "))</f>
        <v>SK Pétanque Řepy</v>
      </c>
      <c r="M139" s="472">
        <f ca="1">IF(N(I139)=0,9999,VLOOKUP(I139,Hraci!$A$1:$I$1500,8,0))</f>
        <v>311</v>
      </c>
      <c r="N139" s="473">
        <f ca="1">IF(N(I139)=0,0,VLOOKUP(I139,Hraci!$A$1:$I$1500,9,0))</f>
        <v>5.2039999999999997</v>
      </c>
      <c r="O139" s="469" t="str">
        <f t="shared" ca="1" si="55"/>
        <v/>
      </c>
      <c r="P139" s="470" t="str">
        <f ca="1">IF(N(O139)&gt;0,VLOOKUP(O139,Hraci!$A$1:$I$1500,2,0),IF(TYPE(INDIRECT(ADDRESS(ROW() + $A$9-8 + (ROW()-11)*4,2,1,1,"Internet")))&gt;1,INDIRECT(ADDRESS(ROW() + $A$9-8 + (ROW()-11)*4,2,1,1,"Internet"))," "))</f>
        <v xml:space="preserve"> </v>
      </c>
      <c r="Q139" s="471" t="str">
        <f ca="1">IF(N(O139)&gt;0,VLOOKUP(O139,Hraci!$A$1:$I$1500,3,0)," ")</f>
        <v xml:space="preserve"> </v>
      </c>
      <c r="R139" s="471" t="str">
        <f ca="1">IF(N(O139)&gt;0,VLOOKUP(O139,Hraci!$A$1:$I$1500,5,0),IF(TYPE(INDIRECT(ADDRESS(ROW() + $A$9-8 + (ROW()-11)*4,3,1,1,"Internet")))&gt;1,INDIRECT(ADDRESS(ROW() + $A$9-8 + (ROW()-11)*4,3,1,1,"Internet"))," "))</f>
        <v xml:space="preserve"> </v>
      </c>
      <c r="S139" s="472">
        <f ca="1">IF(N(O139)=0,9999,VLOOKUP(O139,Hraci!$A$1:$I$1500,8,0))</f>
        <v>9999</v>
      </c>
      <c r="T139" s="473">
        <f ca="1">IF(N(O139)=0,0,VLOOKUP(O139,Hraci!$A$1:$I$1500,9,0))</f>
        <v>0</v>
      </c>
      <c r="U139" s="469" t="str">
        <f t="shared" ca="1" si="56"/>
        <v/>
      </c>
      <c r="V139" s="470" t="str">
        <f ca="1">IF(N(U139)&gt;0,VLOOKUP(U139,Hraci!$A$1:$I$1500,2,0),IF(TYPE(INDIRECT(ADDRESS(ROW() + $A$9-7 + (ROW()-11)*4,2,1,1,"Internet")))&gt;1,INDIRECT(ADDRESS(ROW() + $A$9-7 + (ROW()-11)*4,2,1,1,"Internet"))," "))</f>
        <v xml:space="preserve"> </v>
      </c>
      <c r="W139" s="471" t="str">
        <f ca="1">IF(N(U139)&gt;0,VLOOKUP(U139,Hraci!$A$1:$I$1500,3,0)," ")</f>
        <v xml:space="preserve"> </v>
      </c>
      <c r="X139" s="471" t="str">
        <f ca="1">IF(N(U139)&gt;0,VLOOKUP(U139,Hraci!$A$1:$I$1500,5,0),IF(TYPE(INDIRECT(ADDRESS(ROW() + $A$9-7 + (ROW()-11)*4,3,1,1,"Internet")))&gt;1,INDIRECT(ADDRESS(ROW() + $A$9-7 + (ROW()-11)*4,3,1,1,"Internet"))," "))</f>
        <v xml:space="preserve"> </v>
      </c>
      <c r="Y139" s="472">
        <f ca="1">IF(N(U139)=0,9999,VLOOKUP(U139,Hraci!$A$1:$I$1500,8,0))</f>
        <v>9999</v>
      </c>
      <c r="Z139" s="473">
        <f ca="1">IF(N(U139)=0,0,VLOOKUP(U139,Hraci!$A$1:$I$1500,9,0))</f>
        <v>0</v>
      </c>
      <c r="AA139" s="469" t="str">
        <f t="shared" ca="1" si="57"/>
        <v/>
      </c>
      <c r="AB139" s="470" t="str">
        <f ca="1">IF(N(AA139)&gt;0,VLOOKUP(AA139,Hraci!$A$1:$I$1500,2,0)," ")</f>
        <v xml:space="preserve"> </v>
      </c>
      <c r="AC139" s="471" t="str">
        <f ca="1">IF(N(AA139)&gt;0,VLOOKUP(AA139,Hraci!$A$1:$I$1500,3,0)," ")</f>
        <v xml:space="preserve"> </v>
      </c>
      <c r="AD139" s="471" t="str">
        <f ca="1">IF(N(AA139)&gt;0,VLOOKUP(AA139,Hraci!$A$1:$I$1500,5,0)," ")</f>
        <v xml:space="preserve"> </v>
      </c>
      <c r="AE139" s="472">
        <f ca="1">IF(N(AA139)=0,9999,VLOOKUP(AA139,Hraci!$A$1:$I$1500,8,0))</f>
        <v>9999</v>
      </c>
      <c r="AF139" s="473">
        <f ca="1">IF(N(AA139)=0,0,VLOOKUP(AA139,Hraci!$A$1:$I$1500,9,0))</f>
        <v>0</v>
      </c>
      <c r="AG139" s="474"/>
      <c r="AH139" s="480">
        <v>129</v>
      </c>
      <c r="AI139" s="475">
        <f ca="1">IF(N($AH139)&gt;0,VLOOKUP($AH139,Body!$A$4:$F$259,5,0),"")</f>
        <v>553.40650000000005</v>
      </c>
      <c r="AJ139" s="476">
        <f ca="1">IF(N($AH139)&gt;0,VLOOKUP($AH139,Body!$A$4:$F$259,6,0),"")</f>
        <v>200</v>
      </c>
      <c r="AK139" s="475">
        <f ca="1">IF(N($AH139)&gt;0,VLOOKUP($AH139,Body!$A$4:$F$259,2,0),"")</f>
        <v>8</v>
      </c>
      <c r="AL139" s="477" t="str">
        <f t="shared" ref="AL139:AL202" ca="1" si="61">IF(N(H139)&gt;$K$7,"",CONCATENATE(IF($U$7="","",H139&amp;" "),L139,IF(L139="",""," - "),J139," ",K139))</f>
        <v>129 SK Pétanque Řepy - Gazdíková Jiřina</v>
      </c>
      <c r="AM139" s="478">
        <f t="shared" ref="AM139:AM202" ca="1" si="62">C139</f>
        <v>5.2039999999999997</v>
      </c>
      <c r="AN139" s="408">
        <f ca="1">IF(OR(TYPE(I139)&gt;1,TYPE(MATCH(I139,I140:I$267,0))&gt;1),0,MATCH(I139,I140:I$267,0))+IF(OR(TYPE(I139)&gt;1,TYPE(MATCH(I139,O$11:O$267,0))&gt;1),0,MATCH(I139,O$11:O$267,0))+IF(OR(TYPE(I139)&gt;1,TYPE(MATCH(I139,U$11:U$267,0))&gt;1),0,MATCH(I139,U$11:U$267,0))+IF(OR(TYPE(I139)&gt;1,TYPE(MATCH(I139,AA$11:AA$267,0))&gt;1),0,MATCH(I139,AA$11:AA$267,0))</f>
        <v>0</v>
      </c>
      <c r="AO139" s="408">
        <f ca="1">IF(OR(TYPE(O139)&gt;1,TYPE(MATCH(O139,I$11:I$267,0))&gt;1),0,MATCH(O139,I$11:I$267,0))+IF(OR(TYPE(O139)&gt;1,TYPE(MATCH(O139,O140:O$267,0))&gt;1),0,MATCH(O139,O140:O$267,0))+IF(OR(TYPE(O139)&gt;1,TYPE(MATCH(O139,U$11:U$267,0))&gt;1),0,MATCH(O139,U$11:U$267,0))+IF(OR(TYPE(O139)&gt;1,TYPE(MATCH(O139,AA$11:AA$267,0))&gt;1),0,MATCH(O139,AA$11:AA$267,0))</f>
        <v>0</v>
      </c>
      <c r="AP139" s="408">
        <f ca="1">IF(OR(TYPE(U139)&gt;1,TYPE(MATCH(U139,I$11:I$267,0))&gt;1),0,MATCH(U139,I$11:I$267,0))+IF(OR(TYPE(U139)&gt;1,TYPE(MATCH(U139,O$11:O$267,0))&gt;1),0,MATCH(U139,O$11:O$267,0))+IF(OR(TYPE(U139)&gt;1,TYPE(MATCH(U139,U140:U$267,0))&gt;1),0,MATCH(U139,U140:U$267,0))+IF(OR(TYPE(U139)&gt;1,TYPE(MATCH(U139,AA$11:AA$267,0))&gt;1),0,MATCH(U139,AA$11:AA$267,0))</f>
        <v>0</v>
      </c>
      <c r="AQ139" s="408">
        <f ca="1">IF(OR(TYPE(AA139)&gt;1,TYPE(MATCH(AA139,I$11:I$267,0))&gt;1),0,MATCH(AA139,I$11:I$267,0))+IF(OR(TYPE(AA139)&gt;1,TYPE(MATCH(AA139,O$11:O$267,0))&gt;1),0,MATCH(AA139,O$11:O$267,0))+IF(OR(TYPE(AA139)&gt;1,TYPE(MATCH(AA139,U$11:U$267,0))&gt;1),0,MATCH(U139,U$11:U$267,0))+IF(OR(TYPE(AA139)&gt;1,TYPE(MATCH(AA139,AA140:AA$267,0))&gt;1),0,MATCH(AA139,AA140:AA$267,0))</f>
        <v>0</v>
      </c>
      <c r="AR139" s="408">
        <f t="shared" ca="1" si="44"/>
        <v>0</v>
      </c>
    </row>
    <row r="140" spans="1:58" ht="14.25">
      <c r="A140" s="430">
        <f t="shared" ca="1" si="46"/>
        <v>1</v>
      </c>
      <c r="B140" s="430">
        <f t="shared" ca="1" si="47"/>
        <v>1</v>
      </c>
      <c r="C140" s="430">
        <f ca="1">IF(B140=0,0,N140+T140+Z140)</f>
        <v>5.1879999999999997</v>
      </c>
      <c r="D140" s="430">
        <f t="shared" ca="1" si="49"/>
        <v>20340</v>
      </c>
      <c r="E140" s="430">
        <f t="shared" ca="1" si="50"/>
        <v>342</v>
      </c>
      <c r="F140" s="431" t="str">
        <f t="shared" ref="F140:F203" ca="1" si="63">CONCATENATE(IF(AND($P$4=1,H140&gt;2*$O$7),"0","9"),TEXT(B140,"0"),IF(AND($P$4=1,H140&gt;2*$O$7),"000000",TEXT(1000*C140,"000000")),IF(AND($P$4=1,H140&gt;2*$O$7),"000000",TEXT(999999-D140,"000000")),IF(AND($P$4=1,H140&gt;2*$O$7),"000000",TEXT(999999-E140,"000000")),TEXT(999999*RAND(),"000000"))</f>
        <v>01000000000000000000736188</v>
      </c>
      <c r="G140" s="467" t="b">
        <f t="shared" ca="1" si="52"/>
        <v>0</v>
      </c>
      <c r="H140" s="468">
        <f t="shared" si="60"/>
        <v>130</v>
      </c>
      <c r="I140" s="469">
        <f t="shared" ca="1" si="54"/>
        <v>18043</v>
      </c>
      <c r="J140" s="470" t="str">
        <f ca="1">IF(N(I140)&gt;0,VLOOKUP(I140,Hraci!$A$1:$I$1500,2,0),IF(TYPE(INDIRECT(ADDRESS(ROW() + $A$9-9 + (ROW()-11)*4,2,1,1,"Internet")))&gt;1,INDIRECT(ADDRESS(ROW() + $A$9-9 + (ROW()-11)*4,2,1,1,"Internet"))," "))</f>
        <v>Rousková</v>
      </c>
      <c r="K140" s="471" t="str">
        <f ca="1">IF(N(I140)&gt;0,VLOOKUP(I140,Hraci!$A$1:$I$1500,3,0)," ")</f>
        <v>Nina</v>
      </c>
      <c r="L140" s="471" t="str">
        <f ca="1">IF(N(I140)&gt;0,VLOOKUP(I140,Hraci!$A$1:$I$1500,5,0),IF(TYPE(INDIRECT(ADDRESS(ROW() + $A$9-9 + (ROW()-11)*4,3,1,1,"Internet")))&gt;1,INDIRECT(ADDRESS(ROW() + $A$9-9 + (ROW()-11)*4,3,1,1,"Internet"))," "))</f>
        <v>PEK Stolín</v>
      </c>
      <c r="M140" s="472">
        <f ca="1">IF(N(I140)=0,9999,VLOOKUP(I140,Hraci!$A$1:$I$1500,8,0))</f>
        <v>342</v>
      </c>
      <c r="N140" s="473">
        <f ca="1">IF(N(I140)=0,0,VLOOKUP(I140,Hraci!$A$1:$I$1500,9,0))</f>
        <v>5.1879999999999997</v>
      </c>
      <c r="O140" s="469" t="str">
        <f t="shared" ca="1" si="55"/>
        <v/>
      </c>
      <c r="P140" s="470" t="str">
        <f ca="1">IF(N(O140)&gt;0,VLOOKUP(O140,Hraci!$A$1:$I$1500,2,0),IF(TYPE(INDIRECT(ADDRESS(ROW() + $A$9-8 + (ROW()-11)*4,2,1,1,"Internet")))&gt;1,INDIRECT(ADDRESS(ROW() + $A$9-8 + (ROW()-11)*4,2,1,1,"Internet"))," "))</f>
        <v xml:space="preserve"> </v>
      </c>
      <c r="Q140" s="471" t="str">
        <f ca="1">IF(N(O140)&gt;0,VLOOKUP(O140,Hraci!$A$1:$I$1500,3,0)," ")</f>
        <v xml:space="preserve"> </v>
      </c>
      <c r="R140" s="471" t="str">
        <f ca="1">IF(N(O140)&gt;0,VLOOKUP(O140,Hraci!$A$1:$I$1500,5,0),IF(TYPE(INDIRECT(ADDRESS(ROW() + $A$9-8 + (ROW()-11)*4,3,1,1,"Internet")))&gt;1,INDIRECT(ADDRESS(ROW() + $A$9-8 + (ROW()-11)*4,3,1,1,"Internet"))," "))</f>
        <v xml:space="preserve"> </v>
      </c>
      <c r="S140" s="472">
        <f ca="1">IF(N(O140)=0,9999,VLOOKUP(O140,Hraci!$A$1:$I$1500,8,0))</f>
        <v>9999</v>
      </c>
      <c r="T140" s="473">
        <f ca="1">IF(N(O140)=0,0,VLOOKUP(O140,Hraci!$A$1:$I$1500,9,0))</f>
        <v>0</v>
      </c>
      <c r="U140" s="469" t="str">
        <f t="shared" ca="1" si="56"/>
        <v/>
      </c>
      <c r="V140" s="470" t="str">
        <f ca="1">IF(N(U140)&gt;0,VLOOKUP(U140,Hraci!$A$1:$I$1500,2,0),IF(TYPE(INDIRECT(ADDRESS(ROW() + $A$9-7 + (ROW()-11)*4,2,1,1,"Internet")))&gt;1,INDIRECT(ADDRESS(ROW() + $A$9-7 + (ROW()-11)*4,2,1,1,"Internet"))," "))</f>
        <v xml:space="preserve"> </v>
      </c>
      <c r="W140" s="471" t="str">
        <f ca="1">IF(N(U140)&gt;0,VLOOKUP(U140,Hraci!$A$1:$I$1500,3,0)," ")</f>
        <v xml:space="preserve"> </v>
      </c>
      <c r="X140" s="471" t="str">
        <f ca="1">IF(N(U140)&gt;0,VLOOKUP(U140,Hraci!$A$1:$I$1500,5,0),IF(TYPE(INDIRECT(ADDRESS(ROW() + $A$9-7 + (ROW()-11)*4,3,1,1,"Internet")))&gt;1,INDIRECT(ADDRESS(ROW() + $A$9-7 + (ROW()-11)*4,3,1,1,"Internet"))," "))</f>
        <v xml:space="preserve"> </v>
      </c>
      <c r="Y140" s="472">
        <f ca="1">IF(N(U140)=0,9999,VLOOKUP(U140,Hraci!$A$1:$I$1500,8,0))</f>
        <v>9999</v>
      </c>
      <c r="Z140" s="473">
        <f ca="1">IF(N(U140)=0,0,VLOOKUP(U140,Hraci!$A$1:$I$1500,9,0))</f>
        <v>0</v>
      </c>
      <c r="AA140" s="469" t="str">
        <f t="shared" ca="1" si="57"/>
        <v/>
      </c>
      <c r="AB140" s="470" t="str">
        <f ca="1">IF(N(AA140)&gt;0,VLOOKUP(AA140,Hraci!$A$1:$I$1500,2,0)," ")</f>
        <v xml:space="preserve"> </v>
      </c>
      <c r="AC140" s="471" t="str">
        <f ca="1">IF(N(AA140)&gt;0,VLOOKUP(AA140,Hraci!$A$1:$I$1500,3,0)," ")</f>
        <v xml:space="preserve"> </v>
      </c>
      <c r="AD140" s="471" t="str">
        <f ca="1">IF(N(AA140)&gt;0,VLOOKUP(AA140,Hraci!$A$1:$I$1500,5,0)," ")</f>
        <v xml:space="preserve"> </v>
      </c>
      <c r="AE140" s="472">
        <f ca="1">IF(N(AA140)=0,9999,VLOOKUP(AA140,Hraci!$A$1:$I$1500,8,0))</f>
        <v>9999</v>
      </c>
      <c r="AF140" s="473">
        <f ca="1">IF(N(AA140)=0,0,VLOOKUP(AA140,Hraci!$A$1:$I$1500,9,0))</f>
        <v>0</v>
      </c>
      <c r="AG140" s="474"/>
      <c r="AH140" s="480">
        <v>143</v>
      </c>
      <c r="AI140" s="475">
        <f ca="1">IF(N($AH140)&gt;0,VLOOKUP($AH140,Body!$A$4:$F$259,5,0),"")</f>
        <v>20</v>
      </c>
      <c r="AJ140" s="476">
        <f ca="1">IF(N($AH140)&gt;0,VLOOKUP($AH140,Body!$A$4:$F$259,6,0),"")</f>
        <v>0</v>
      </c>
      <c r="AK140" s="475">
        <f ca="1">IF(N($AH140)&gt;0,VLOOKUP($AH140,Body!$A$4:$F$259,2,0),"")</f>
        <v>0</v>
      </c>
      <c r="AL140" s="477" t="str">
        <f t="shared" ca="1" si="61"/>
        <v>130 PEK Stolín - Rousková Nina</v>
      </c>
      <c r="AM140" s="478">
        <f t="shared" ca="1" si="62"/>
        <v>5.1879999999999997</v>
      </c>
      <c r="AN140" s="408">
        <f ca="1">IF(OR(TYPE(I140)&gt;1,TYPE(MATCH(I140,I141:I$267,0))&gt;1),0,MATCH(I140,I141:I$267,0))+IF(OR(TYPE(I140)&gt;1,TYPE(MATCH(I140,O$11:O$267,0))&gt;1),0,MATCH(I140,O$11:O$267,0))+IF(OR(TYPE(I140)&gt;1,TYPE(MATCH(I140,U$11:U$267,0))&gt;1),0,MATCH(I140,U$11:U$267,0))+IF(OR(TYPE(I140)&gt;1,TYPE(MATCH(I140,AA$11:AA$267,0))&gt;1),0,MATCH(I140,AA$11:AA$267,0))</f>
        <v>0</v>
      </c>
      <c r="AO140" s="408">
        <f ca="1">IF(OR(TYPE(O140)&gt;1,TYPE(MATCH(O140,I$11:I$267,0))&gt;1),0,MATCH(O140,I$11:I$267,0))+IF(OR(TYPE(O140)&gt;1,TYPE(MATCH(O140,O141:O$267,0))&gt;1),0,MATCH(O140,O141:O$267,0))+IF(OR(TYPE(O140)&gt;1,TYPE(MATCH(O140,U$11:U$267,0))&gt;1),0,MATCH(O140,U$11:U$267,0))+IF(OR(TYPE(O140)&gt;1,TYPE(MATCH(O140,AA$11:AA$267,0))&gt;1),0,MATCH(O140,AA$11:AA$267,0))</f>
        <v>0</v>
      </c>
      <c r="AP140" s="408">
        <f ca="1">IF(OR(TYPE(U140)&gt;1,TYPE(MATCH(U140,I$11:I$267,0))&gt;1),0,MATCH(U140,I$11:I$267,0))+IF(OR(TYPE(U140)&gt;1,TYPE(MATCH(U140,O$11:O$267,0))&gt;1),0,MATCH(U140,O$11:O$267,0))+IF(OR(TYPE(U140)&gt;1,TYPE(MATCH(U140,U141:U$267,0))&gt;1),0,MATCH(U140,U141:U$267,0))+IF(OR(TYPE(U140)&gt;1,TYPE(MATCH(U140,AA$11:AA$267,0))&gt;1),0,MATCH(U140,AA$11:AA$267,0))</f>
        <v>0</v>
      </c>
      <c r="AQ140" s="408">
        <f ca="1">IF(OR(TYPE(AA140)&gt;1,TYPE(MATCH(AA140,I$11:I$267,0))&gt;1),0,MATCH(AA140,I$11:I$267,0))+IF(OR(TYPE(AA140)&gt;1,TYPE(MATCH(AA140,O$11:O$267,0))&gt;1),0,MATCH(AA140,O$11:O$267,0))+IF(OR(TYPE(AA140)&gt;1,TYPE(MATCH(AA140,U$11:U$267,0))&gt;1),0,MATCH(U140,U$11:U$267,0))+IF(OR(TYPE(AA140)&gt;1,TYPE(MATCH(AA140,AA141:AA$267,0))&gt;1),0,MATCH(AA140,AA141:AA$267,0))</f>
        <v>0</v>
      </c>
      <c r="AR140" s="408">
        <f t="shared" ref="AR140:AR148" ca="1" si="64">SUM(AN140:AQ140)</f>
        <v>0</v>
      </c>
    </row>
    <row r="141" spans="1:58" ht="14.25">
      <c r="A141" s="430">
        <f t="shared" ref="A141:A204" ca="1" si="65">IF(OR(LEFT(J141,1)=" ",ISBLANK(J141)),0,1)+IF(OR(LEFT(P141,1)=" ",ISBLANK(P141)),0,1)+IF(OR(LEFT(V141,1)=" ",ISBLANK(V141)),0,1)</f>
        <v>1</v>
      </c>
      <c r="B141" s="430">
        <f t="shared" ref="B141:B204" ca="1" si="66">IF(AND(TYPE(G141&lt;15),G141=FALSE),1,0)</f>
        <v>1</v>
      </c>
      <c r="C141" s="430">
        <f t="shared" ref="C141:C204" ca="1" si="67">IF(B141=0,0,N141+T141+Z141)</f>
        <v>5.125</v>
      </c>
      <c r="D141" s="430">
        <f t="shared" ref="D141:D204" ca="1" si="68">IF(B141=0,99999,M141+S141+Y141)</f>
        <v>20342</v>
      </c>
      <c r="E141" s="430">
        <f t="shared" ref="E141:E204" ca="1" si="69">MIN(M141,S141,Y141)</f>
        <v>344</v>
      </c>
      <c r="F141" s="431" t="str">
        <f t="shared" ca="1" si="63"/>
        <v>01000000000000000000001113</v>
      </c>
      <c r="G141" s="467" t="b">
        <f t="shared" ref="G141:G204" ca="1" si="70">IF(OR($K$6&gt;A141,AR141&gt;0),TRUE,FALSE)</f>
        <v>0</v>
      </c>
      <c r="H141" s="468">
        <f t="shared" si="60"/>
        <v>131</v>
      </c>
      <c r="I141" s="469">
        <f t="shared" ref="I141:I204" ca="1" si="71">IF(N(INDIRECT(ADDRESS(ROW() + $A$9-9 + (ROW()-11)*4,1,1,1,"Internet")))&gt;0,INDIRECT(ADDRESS(ROW() + $A$9-9 + (ROW()-11)*4,1,1,1,"Internet")),"")</f>
        <v>20536</v>
      </c>
      <c r="J141" s="470" t="str">
        <f ca="1">IF(N(I141)&gt;0,VLOOKUP(I141,Hraci!$A$1:$I$1500,2,0),IF(TYPE(INDIRECT(ADDRESS(ROW() + $A$9-9 + (ROW()-11)*4,2,1,1,"Internet")))&gt;1,INDIRECT(ADDRESS(ROW() + $A$9-9 + (ROW()-11)*4,2,1,1,"Internet"))," "))</f>
        <v>Sedláčková</v>
      </c>
      <c r="K141" s="471" t="str">
        <f ca="1">IF(N(I141)&gt;0,VLOOKUP(I141,Hraci!$A$1:$I$1500,3,0)," ")</f>
        <v>Hedvika</v>
      </c>
      <c r="L141" s="471" t="str">
        <f ca="1">IF(N(I141)&gt;0,VLOOKUP(I141,Hraci!$A$1:$I$1500,5,0),IF(TYPE(INDIRECT(ADDRESS(ROW() + $A$9-9 + (ROW()-11)*4,3,1,1,"Internet")))&gt;1,INDIRECT(ADDRESS(ROW() + $A$9-9 + (ROW()-11)*4,3,1,1,"Internet"))," "))</f>
        <v>PKT Velký Šanc</v>
      </c>
      <c r="M141" s="472">
        <f ca="1">IF(N(I141)=0,9999,VLOOKUP(I141,Hraci!$A$1:$I$1500,8,0))</f>
        <v>344</v>
      </c>
      <c r="N141" s="473">
        <f ca="1">IF(N(I141)=0,0,VLOOKUP(I141,Hraci!$A$1:$I$1500,9,0))</f>
        <v>5.125</v>
      </c>
      <c r="O141" s="469" t="str">
        <f t="shared" ref="O141:O204" ca="1" si="72">IF(N(INDIRECT(ADDRESS(ROW() + $A$9-8 + (ROW()-11)*4,1,1,1,"Internet")))&gt;0,INDIRECT(ADDRESS(ROW() + $A$9-8 + (ROW()-11)*4,1,1,1,"Internet")),"")</f>
        <v/>
      </c>
      <c r="P141" s="470" t="str">
        <f ca="1">IF(N(O141)&gt;0,VLOOKUP(O141,Hraci!$A$1:$I$1500,2,0),IF(TYPE(INDIRECT(ADDRESS(ROW() + $A$9-8 + (ROW()-11)*4,2,1,1,"Internet")))&gt;1,INDIRECT(ADDRESS(ROW() + $A$9-8 + (ROW()-11)*4,2,1,1,"Internet"))," "))</f>
        <v xml:space="preserve"> </v>
      </c>
      <c r="Q141" s="471" t="str">
        <f ca="1">IF(N(O141)&gt;0,VLOOKUP(O141,Hraci!$A$1:$I$1500,3,0)," ")</f>
        <v xml:space="preserve"> </v>
      </c>
      <c r="R141" s="471" t="str">
        <f ca="1">IF(N(O141)&gt;0,VLOOKUP(O141,Hraci!$A$1:$I$1500,5,0),IF(TYPE(INDIRECT(ADDRESS(ROW() + $A$9-8 + (ROW()-11)*4,3,1,1,"Internet")))&gt;1,INDIRECT(ADDRESS(ROW() + $A$9-8 + (ROW()-11)*4,3,1,1,"Internet"))," "))</f>
        <v xml:space="preserve"> </v>
      </c>
      <c r="S141" s="472">
        <f ca="1">IF(N(O141)=0,9999,VLOOKUP(O141,Hraci!$A$1:$I$1500,8,0))</f>
        <v>9999</v>
      </c>
      <c r="T141" s="473">
        <f ca="1">IF(N(O141)=0,0,VLOOKUP(O141,Hraci!$A$1:$I$1500,9,0))</f>
        <v>0</v>
      </c>
      <c r="U141" s="469" t="str">
        <f t="shared" ref="U141:U204" ca="1" si="73">IF(N(INDIRECT(ADDRESS(ROW() + $A$9-7 + (ROW()-11)*4,1,1,1,"Internet")))&gt;0,INDIRECT(ADDRESS(ROW() + $A$9-7 + (ROW()-11)*4,1,1,1,"Internet")),"")</f>
        <v/>
      </c>
      <c r="V141" s="470" t="str">
        <f ca="1">IF(N(U141)&gt;0,VLOOKUP(U141,Hraci!$A$1:$I$1500,2,0),IF(TYPE(INDIRECT(ADDRESS(ROW() + $A$9-7 + (ROW()-11)*4,2,1,1,"Internet")))&gt;1,INDIRECT(ADDRESS(ROW() + $A$9-7 + (ROW()-11)*4,2,1,1,"Internet"))," "))</f>
        <v xml:space="preserve"> </v>
      </c>
      <c r="W141" s="471" t="str">
        <f ca="1">IF(N(U141)&gt;0,VLOOKUP(U141,Hraci!$A$1:$I$1500,3,0)," ")</f>
        <v xml:space="preserve"> </v>
      </c>
      <c r="X141" s="471" t="str">
        <f ca="1">IF(N(U141)&gt;0,VLOOKUP(U141,Hraci!$A$1:$I$1500,5,0),IF(TYPE(INDIRECT(ADDRESS(ROW() + $A$9-7 + (ROW()-11)*4,3,1,1,"Internet")))&gt;1,INDIRECT(ADDRESS(ROW() + $A$9-7 + (ROW()-11)*4,3,1,1,"Internet"))," "))</f>
        <v xml:space="preserve"> </v>
      </c>
      <c r="Y141" s="472">
        <f ca="1">IF(N(U141)=0,9999,VLOOKUP(U141,Hraci!$A$1:$I$1500,8,0))</f>
        <v>9999</v>
      </c>
      <c r="Z141" s="473">
        <f ca="1">IF(N(U141)=0,0,VLOOKUP(U141,Hraci!$A$1:$I$1500,9,0))</f>
        <v>0</v>
      </c>
      <c r="AA141" s="469" t="str">
        <f t="shared" ref="AA141:AA204" ca="1" si="74">IF(N(INDIRECT(ADDRESS(ROW() + $A$9-6 + (ROW()-11)*4,1,1,1,"Internet")))&gt;0,INDIRECT(ADDRESS(ROW() + $A$9-6 + (ROW()-11)*4,1,1,1,"Internet")),"")</f>
        <v/>
      </c>
      <c r="AB141" s="470" t="str">
        <f ca="1">IF(N(AA141)&gt;0,VLOOKUP(AA141,Hraci!$A$1:$I$1500,2,0)," ")</f>
        <v xml:space="preserve"> </v>
      </c>
      <c r="AC141" s="471" t="str">
        <f ca="1">IF(N(AA141)&gt;0,VLOOKUP(AA141,Hraci!$A$1:$I$1500,3,0)," ")</f>
        <v xml:space="preserve"> </v>
      </c>
      <c r="AD141" s="471" t="str">
        <f ca="1">IF(N(AA141)&gt;0,VLOOKUP(AA141,Hraci!$A$1:$I$1500,5,0)," ")</f>
        <v xml:space="preserve"> </v>
      </c>
      <c r="AE141" s="472">
        <f ca="1">IF(N(AA141)=0,9999,VLOOKUP(AA141,Hraci!$A$1:$I$1500,8,0))</f>
        <v>9999</v>
      </c>
      <c r="AF141" s="473">
        <f ca="1">IF(N(AA141)=0,0,VLOOKUP(AA141,Hraci!$A$1:$I$1500,9,0))</f>
        <v>0</v>
      </c>
      <c r="AG141" s="474"/>
      <c r="AH141" s="480">
        <v>32</v>
      </c>
      <c r="AI141" s="475">
        <f ca="1">IF(N($AH141)&gt;0,VLOOKUP($AH141,Body!$A$4:$F$259,5,0),"")</f>
        <v>332.52743750000002</v>
      </c>
      <c r="AJ141" s="476">
        <f ca="1">IF(N($AH141)&gt;0,VLOOKUP($AH141,Body!$A$4:$F$259,6,0),"")</f>
        <v>200</v>
      </c>
      <c r="AK141" s="475">
        <f ca="1">IF(N($AH141)&gt;0,VLOOKUP($AH141,Body!$A$4:$F$259,2,0),"")</f>
        <v>3</v>
      </c>
      <c r="AL141" s="477" t="str">
        <f t="shared" ca="1" si="61"/>
        <v>131 PKT Velký Šanc - Sedláčková Hedvika</v>
      </c>
      <c r="AM141" s="478">
        <f t="shared" ca="1" si="62"/>
        <v>5.125</v>
      </c>
      <c r="AN141" s="408">
        <f ca="1">IF(OR(TYPE(I141)&gt;1,TYPE(MATCH(I141,I142:I$267,0))&gt;1),0,MATCH(I141,I142:I$267,0))+IF(OR(TYPE(I141)&gt;1,TYPE(MATCH(I141,O$11:O$267,0))&gt;1),0,MATCH(I141,O$11:O$267,0))+IF(OR(TYPE(I141)&gt;1,TYPE(MATCH(I141,U$11:U$267,0))&gt;1),0,MATCH(I141,U$11:U$267,0))+IF(OR(TYPE(I141)&gt;1,TYPE(MATCH(I141,AA$11:AA$267,0))&gt;1),0,MATCH(I141,AA$11:AA$267,0))</f>
        <v>0</v>
      </c>
      <c r="AO141" s="408">
        <f ca="1">IF(OR(TYPE(O141)&gt;1,TYPE(MATCH(O141,I$11:I$267,0))&gt;1),0,MATCH(O141,I$11:I$267,0))+IF(OR(TYPE(O141)&gt;1,TYPE(MATCH(O141,O142:O$267,0))&gt;1),0,MATCH(O141,O142:O$267,0))+IF(OR(TYPE(O141)&gt;1,TYPE(MATCH(O141,U$11:U$267,0))&gt;1),0,MATCH(O141,U$11:U$267,0))+IF(OR(TYPE(O141)&gt;1,TYPE(MATCH(O141,AA$11:AA$267,0))&gt;1),0,MATCH(O141,AA$11:AA$267,0))</f>
        <v>0</v>
      </c>
      <c r="AP141" s="408">
        <f ca="1">IF(OR(TYPE(U141)&gt;1,TYPE(MATCH(U141,I$11:I$267,0))&gt;1),0,MATCH(U141,I$11:I$267,0))+IF(OR(TYPE(U141)&gt;1,TYPE(MATCH(U141,O$11:O$267,0))&gt;1),0,MATCH(U141,O$11:O$267,0))+IF(OR(TYPE(U141)&gt;1,TYPE(MATCH(U141,U142:U$267,0))&gt;1),0,MATCH(U141,U142:U$267,0))+IF(OR(TYPE(U141)&gt;1,TYPE(MATCH(U141,AA$11:AA$267,0))&gt;1),0,MATCH(U141,AA$11:AA$267,0))</f>
        <v>0</v>
      </c>
      <c r="AQ141" s="408">
        <f ca="1">IF(OR(TYPE(AA141)&gt;1,TYPE(MATCH(AA141,I$11:I$267,0))&gt;1),0,MATCH(AA141,I$11:I$267,0))+IF(OR(TYPE(AA141)&gt;1,TYPE(MATCH(AA141,O$11:O$267,0))&gt;1),0,MATCH(AA141,O$11:O$267,0))+IF(OR(TYPE(AA141)&gt;1,TYPE(MATCH(AA141,U$11:U$267,0))&gt;1),0,MATCH(U141,U$11:U$267,0))+IF(OR(TYPE(AA141)&gt;1,TYPE(MATCH(AA141,AA142:AA$267,0))&gt;1),0,MATCH(AA141,AA142:AA$267,0))</f>
        <v>0</v>
      </c>
      <c r="AR141" s="408">
        <f t="shared" ca="1" si="64"/>
        <v>0</v>
      </c>
    </row>
    <row r="142" spans="1:58" ht="14.25">
      <c r="A142" s="430">
        <f t="shared" ca="1" si="65"/>
        <v>1</v>
      </c>
      <c r="B142" s="430">
        <f t="shared" ca="1" si="66"/>
        <v>1</v>
      </c>
      <c r="C142" s="430">
        <f t="shared" ca="1" si="67"/>
        <v>4.97</v>
      </c>
      <c r="D142" s="430">
        <f t="shared" ca="1" si="68"/>
        <v>20370</v>
      </c>
      <c r="E142" s="430">
        <f t="shared" ca="1" si="69"/>
        <v>372</v>
      </c>
      <c r="F142" s="431" t="str">
        <f t="shared" ca="1" si="63"/>
        <v>01000000000000000000455151</v>
      </c>
      <c r="G142" s="467" t="b">
        <f t="shared" ca="1" si="70"/>
        <v>0</v>
      </c>
      <c r="H142" s="468">
        <f t="shared" si="60"/>
        <v>132</v>
      </c>
      <c r="I142" s="469">
        <f t="shared" ca="1" si="71"/>
        <v>18021</v>
      </c>
      <c r="J142" s="470" t="str">
        <f ca="1">IF(N(I142)&gt;0,VLOOKUP(I142,Hraci!$A$1:$I$1500,2,0),IF(TYPE(INDIRECT(ADDRESS(ROW() + $A$9-9 + (ROW()-11)*4,2,1,1,"Internet")))&gt;1,INDIRECT(ADDRESS(ROW() + $A$9-9 + (ROW()-11)*4,2,1,1,"Internet"))," "))</f>
        <v>Čapková</v>
      </c>
      <c r="K142" s="471" t="str">
        <f ca="1">IF(N(I142)&gt;0,VLOOKUP(I142,Hraci!$A$1:$I$1500,3,0)," ")</f>
        <v>Věra</v>
      </c>
      <c r="L142" s="471" t="str">
        <f ca="1">IF(N(I142)&gt;0,VLOOKUP(I142,Hraci!$A$1:$I$1500,5,0),IF(TYPE(INDIRECT(ADDRESS(ROW() + $A$9-9 + (ROW()-11)*4,3,1,1,"Internet")))&gt;1,INDIRECT(ADDRESS(ROW() + $A$9-9 + (ROW()-11)*4,3,1,1,"Internet"))," "))</f>
        <v>SK Pétanque Řepy</v>
      </c>
      <c r="M142" s="472">
        <f ca="1">IF(N(I142)=0,9999,VLOOKUP(I142,Hraci!$A$1:$I$1500,8,0))</f>
        <v>372</v>
      </c>
      <c r="N142" s="473">
        <f ca="1">IF(N(I142)=0,0,VLOOKUP(I142,Hraci!$A$1:$I$1500,9,0))</f>
        <v>4.97</v>
      </c>
      <c r="O142" s="469" t="str">
        <f t="shared" ca="1" si="72"/>
        <v/>
      </c>
      <c r="P142" s="470" t="str">
        <f ca="1">IF(N(O142)&gt;0,VLOOKUP(O142,Hraci!$A$1:$I$1500,2,0),IF(TYPE(INDIRECT(ADDRESS(ROW() + $A$9-8 + (ROW()-11)*4,2,1,1,"Internet")))&gt;1,INDIRECT(ADDRESS(ROW() + $A$9-8 + (ROW()-11)*4,2,1,1,"Internet"))," "))</f>
        <v xml:space="preserve"> </v>
      </c>
      <c r="Q142" s="471" t="str">
        <f ca="1">IF(N(O142)&gt;0,VLOOKUP(O142,Hraci!$A$1:$I$1500,3,0)," ")</f>
        <v xml:space="preserve"> </v>
      </c>
      <c r="R142" s="471" t="str">
        <f ca="1">IF(N(O142)&gt;0,VLOOKUP(O142,Hraci!$A$1:$I$1500,5,0),IF(TYPE(INDIRECT(ADDRESS(ROW() + $A$9-8 + (ROW()-11)*4,3,1,1,"Internet")))&gt;1,INDIRECT(ADDRESS(ROW() + $A$9-8 + (ROW()-11)*4,3,1,1,"Internet"))," "))</f>
        <v xml:space="preserve"> </v>
      </c>
      <c r="S142" s="472">
        <f ca="1">IF(N(O142)=0,9999,VLOOKUP(O142,Hraci!$A$1:$I$1500,8,0))</f>
        <v>9999</v>
      </c>
      <c r="T142" s="473">
        <f ca="1">IF(N(O142)=0,0,VLOOKUP(O142,Hraci!$A$1:$I$1500,9,0))</f>
        <v>0</v>
      </c>
      <c r="U142" s="469" t="str">
        <f t="shared" ca="1" si="73"/>
        <v/>
      </c>
      <c r="V142" s="470" t="str">
        <f ca="1">IF(N(U142)&gt;0,VLOOKUP(U142,Hraci!$A$1:$I$1500,2,0),IF(TYPE(INDIRECT(ADDRESS(ROW() + $A$9-7 + (ROW()-11)*4,2,1,1,"Internet")))&gt;1,INDIRECT(ADDRESS(ROW() + $A$9-7 + (ROW()-11)*4,2,1,1,"Internet"))," "))</f>
        <v xml:space="preserve"> </v>
      </c>
      <c r="W142" s="471" t="str">
        <f ca="1">IF(N(U142)&gt;0,VLOOKUP(U142,Hraci!$A$1:$I$1500,3,0)," ")</f>
        <v xml:space="preserve"> </v>
      </c>
      <c r="X142" s="471" t="str">
        <f ca="1">IF(N(U142)&gt;0,VLOOKUP(U142,Hraci!$A$1:$I$1500,5,0),IF(TYPE(INDIRECT(ADDRESS(ROW() + $A$9-7 + (ROW()-11)*4,3,1,1,"Internet")))&gt;1,INDIRECT(ADDRESS(ROW() + $A$9-7 + (ROW()-11)*4,3,1,1,"Internet"))," "))</f>
        <v xml:space="preserve"> </v>
      </c>
      <c r="Y142" s="472">
        <f ca="1">IF(N(U142)=0,9999,VLOOKUP(U142,Hraci!$A$1:$I$1500,8,0))</f>
        <v>9999</v>
      </c>
      <c r="Z142" s="473">
        <f ca="1">IF(N(U142)=0,0,VLOOKUP(U142,Hraci!$A$1:$I$1500,9,0))</f>
        <v>0</v>
      </c>
      <c r="AA142" s="469" t="str">
        <f t="shared" ca="1" si="74"/>
        <v/>
      </c>
      <c r="AB142" s="470" t="str">
        <f ca="1">IF(N(AA142)&gt;0,VLOOKUP(AA142,Hraci!$A$1:$I$1500,2,0)," ")</f>
        <v xml:space="preserve"> </v>
      </c>
      <c r="AC142" s="471" t="str">
        <f ca="1">IF(N(AA142)&gt;0,VLOOKUP(AA142,Hraci!$A$1:$I$1500,3,0)," ")</f>
        <v xml:space="preserve"> </v>
      </c>
      <c r="AD142" s="471" t="str">
        <f ca="1">IF(N(AA142)&gt;0,VLOOKUP(AA142,Hraci!$A$1:$I$1500,5,0)," ")</f>
        <v xml:space="preserve"> </v>
      </c>
      <c r="AE142" s="472">
        <f ca="1">IF(N(AA142)=0,9999,VLOOKUP(AA142,Hraci!$A$1:$I$1500,8,0))</f>
        <v>9999</v>
      </c>
      <c r="AF142" s="473">
        <f ca="1">IF(N(AA142)=0,0,VLOOKUP(AA142,Hraci!$A$1:$I$1500,9,0))</f>
        <v>0</v>
      </c>
      <c r="AG142" s="474"/>
      <c r="AH142" s="480">
        <v>143</v>
      </c>
      <c r="AI142" s="475">
        <f ca="1">IF(N($AH142)&gt;0,VLOOKUP($AH142,Body!$A$4:$F$259,5,0),"")</f>
        <v>20</v>
      </c>
      <c r="AJ142" s="476">
        <f ca="1">IF(N($AH142)&gt;0,VLOOKUP($AH142,Body!$A$4:$F$259,6,0),"")</f>
        <v>0</v>
      </c>
      <c r="AK142" s="475">
        <f ca="1">IF(N($AH142)&gt;0,VLOOKUP($AH142,Body!$A$4:$F$259,2,0),"")</f>
        <v>0</v>
      </c>
      <c r="AL142" s="477" t="str">
        <f t="shared" ca="1" si="61"/>
        <v>132 SK Pétanque Řepy - Čapková Věra</v>
      </c>
      <c r="AM142" s="478">
        <f t="shared" ca="1" si="62"/>
        <v>4.97</v>
      </c>
      <c r="AN142" s="408">
        <f ca="1">IF(OR(TYPE(I142)&gt;1,TYPE(MATCH(I142,I143:I$267,0))&gt;1),0,MATCH(I142,I143:I$267,0))+IF(OR(TYPE(I142)&gt;1,TYPE(MATCH(I142,O$11:O$267,0))&gt;1),0,MATCH(I142,O$11:O$267,0))+IF(OR(TYPE(I142)&gt;1,TYPE(MATCH(I142,U$11:U$267,0))&gt;1),0,MATCH(I142,U$11:U$267,0))+IF(OR(TYPE(I142)&gt;1,TYPE(MATCH(I142,AA$11:AA$267,0))&gt;1),0,MATCH(I142,AA$11:AA$267,0))</f>
        <v>0</v>
      </c>
      <c r="AO142" s="408">
        <f ca="1">IF(OR(TYPE(O142)&gt;1,TYPE(MATCH(O142,I$11:I$267,0))&gt;1),0,MATCH(O142,I$11:I$267,0))+IF(OR(TYPE(O142)&gt;1,TYPE(MATCH(O142,O143:O$267,0))&gt;1),0,MATCH(O142,O143:O$267,0))+IF(OR(TYPE(O142)&gt;1,TYPE(MATCH(O142,U$11:U$267,0))&gt;1),0,MATCH(O142,U$11:U$267,0))+IF(OR(TYPE(O142)&gt;1,TYPE(MATCH(O142,AA$11:AA$267,0))&gt;1),0,MATCH(O142,AA$11:AA$267,0))</f>
        <v>0</v>
      </c>
      <c r="AP142" s="408">
        <f ca="1">IF(OR(TYPE(U142)&gt;1,TYPE(MATCH(U142,I$11:I$267,0))&gt;1),0,MATCH(U142,I$11:I$267,0))+IF(OR(TYPE(U142)&gt;1,TYPE(MATCH(U142,O$11:O$267,0))&gt;1),0,MATCH(U142,O$11:O$267,0))+IF(OR(TYPE(U142)&gt;1,TYPE(MATCH(U142,U143:U$267,0))&gt;1),0,MATCH(U142,U143:U$267,0))+IF(OR(TYPE(U142)&gt;1,TYPE(MATCH(U142,AA$11:AA$267,0))&gt;1),0,MATCH(U142,AA$11:AA$267,0))</f>
        <v>0</v>
      </c>
      <c r="AQ142" s="408">
        <f ca="1">IF(OR(TYPE(AA142)&gt;1,TYPE(MATCH(AA142,I$11:I$267,0))&gt;1),0,MATCH(AA142,I$11:I$267,0))+IF(OR(TYPE(AA142)&gt;1,TYPE(MATCH(AA142,O$11:O$267,0))&gt;1),0,MATCH(AA142,O$11:O$267,0))+IF(OR(TYPE(AA142)&gt;1,TYPE(MATCH(AA142,U$11:U$267,0))&gt;1),0,MATCH(U142,U$11:U$267,0))+IF(OR(TYPE(AA142)&gt;1,TYPE(MATCH(AA142,AA143:AA$267,0))&gt;1),0,MATCH(AA142,AA143:AA$267,0))</f>
        <v>0</v>
      </c>
      <c r="AR142" s="408">
        <f t="shared" ca="1" si="64"/>
        <v>0</v>
      </c>
    </row>
    <row r="143" spans="1:58" ht="14.25">
      <c r="A143" s="430">
        <f t="shared" ca="1" si="65"/>
        <v>1</v>
      </c>
      <c r="B143" s="430">
        <f t="shared" ca="1" si="66"/>
        <v>1</v>
      </c>
      <c r="C143" s="430">
        <f t="shared" ca="1" si="67"/>
        <v>4.8449999999999998</v>
      </c>
      <c r="D143" s="430">
        <f t="shared" ca="1" si="68"/>
        <v>20378</v>
      </c>
      <c r="E143" s="430">
        <f t="shared" ca="1" si="69"/>
        <v>380</v>
      </c>
      <c r="F143" s="431" t="str">
        <f t="shared" ca="1" si="63"/>
        <v>01000000000000000000724685</v>
      </c>
      <c r="G143" s="467" t="b">
        <f t="shared" ca="1" si="70"/>
        <v>0</v>
      </c>
      <c r="H143" s="468">
        <f t="shared" si="60"/>
        <v>133</v>
      </c>
      <c r="I143" s="469">
        <f t="shared" ca="1" si="71"/>
        <v>23055</v>
      </c>
      <c r="J143" s="470" t="str">
        <f ca="1">IF(N(I143)&gt;0,VLOOKUP(I143,Hraci!$A$1:$I$1500,2,0),IF(TYPE(INDIRECT(ADDRESS(ROW() + $A$9-9 + (ROW()-11)*4,2,1,1,"Internet")))&gt;1,INDIRECT(ADDRESS(ROW() + $A$9-9 + (ROW()-11)*4,2,1,1,"Internet"))," "))</f>
        <v>Husáková</v>
      </c>
      <c r="K143" s="471" t="str">
        <f ca="1">IF(N(I143)&gt;0,VLOOKUP(I143,Hraci!$A$1:$I$1500,3,0)," ")</f>
        <v>Petra</v>
      </c>
      <c r="L143" s="471" t="str">
        <f ca="1">IF(N(I143)&gt;0,VLOOKUP(I143,Hraci!$A$1:$I$1500,5,0),IF(TYPE(INDIRECT(ADDRESS(ROW() + $A$9-9 + (ROW()-11)*4,3,1,1,"Internet")))&gt;1,INDIRECT(ADDRESS(ROW() + $A$9-9 + (ROW()-11)*4,3,1,1,"Internet"))," "))</f>
        <v>FRAPECO</v>
      </c>
      <c r="M143" s="472">
        <f ca="1">IF(N(I143)=0,9999,VLOOKUP(I143,Hraci!$A$1:$I$1500,8,0))</f>
        <v>380</v>
      </c>
      <c r="N143" s="473">
        <f ca="1">IF(N(I143)=0,0,VLOOKUP(I143,Hraci!$A$1:$I$1500,9,0))</f>
        <v>4.8449999999999998</v>
      </c>
      <c r="O143" s="469" t="str">
        <f t="shared" ca="1" si="72"/>
        <v/>
      </c>
      <c r="P143" s="470" t="str">
        <f ca="1">IF(N(O143)&gt;0,VLOOKUP(O143,Hraci!$A$1:$I$1500,2,0),IF(TYPE(INDIRECT(ADDRESS(ROW() + $A$9-8 + (ROW()-11)*4,2,1,1,"Internet")))&gt;1,INDIRECT(ADDRESS(ROW() + $A$9-8 + (ROW()-11)*4,2,1,1,"Internet"))," "))</f>
        <v xml:space="preserve"> </v>
      </c>
      <c r="Q143" s="471" t="str">
        <f ca="1">IF(N(O143)&gt;0,VLOOKUP(O143,Hraci!$A$1:$I$1500,3,0)," ")</f>
        <v xml:space="preserve"> </v>
      </c>
      <c r="R143" s="471" t="str">
        <f ca="1">IF(N(O143)&gt;0,VLOOKUP(O143,Hraci!$A$1:$I$1500,5,0),IF(TYPE(INDIRECT(ADDRESS(ROW() + $A$9-8 + (ROW()-11)*4,3,1,1,"Internet")))&gt;1,INDIRECT(ADDRESS(ROW() + $A$9-8 + (ROW()-11)*4,3,1,1,"Internet"))," "))</f>
        <v xml:space="preserve"> </v>
      </c>
      <c r="S143" s="472">
        <f ca="1">IF(N(O143)=0,9999,VLOOKUP(O143,Hraci!$A$1:$I$1500,8,0))</f>
        <v>9999</v>
      </c>
      <c r="T143" s="473">
        <f ca="1">IF(N(O143)=0,0,VLOOKUP(O143,Hraci!$A$1:$I$1500,9,0))</f>
        <v>0</v>
      </c>
      <c r="U143" s="469" t="str">
        <f t="shared" ca="1" si="73"/>
        <v/>
      </c>
      <c r="V143" s="470" t="str">
        <f ca="1">IF(N(U143)&gt;0,VLOOKUP(U143,Hraci!$A$1:$I$1500,2,0),IF(TYPE(INDIRECT(ADDRESS(ROW() + $A$9-7 + (ROW()-11)*4,2,1,1,"Internet")))&gt;1,INDIRECT(ADDRESS(ROW() + $A$9-7 + (ROW()-11)*4,2,1,1,"Internet"))," "))</f>
        <v xml:space="preserve"> </v>
      </c>
      <c r="W143" s="471" t="str">
        <f ca="1">IF(N(U143)&gt;0,VLOOKUP(U143,Hraci!$A$1:$I$1500,3,0)," ")</f>
        <v xml:space="preserve"> </v>
      </c>
      <c r="X143" s="471" t="str">
        <f ca="1">IF(N(U143)&gt;0,VLOOKUP(U143,Hraci!$A$1:$I$1500,5,0),IF(TYPE(INDIRECT(ADDRESS(ROW() + $A$9-7 + (ROW()-11)*4,3,1,1,"Internet")))&gt;1,INDIRECT(ADDRESS(ROW() + $A$9-7 + (ROW()-11)*4,3,1,1,"Internet"))," "))</f>
        <v xml:space="preserve"> </v>
      </c>
      <c r="Y143" s="472">
        <f ca="1">IF(N(U143)=0,9999,VLOOKUP(U143,Hraci!$A$1:$I$1500,8,0))</f>
        <v>9999</v>
      </c>
      <c r="Z143" s="473">
        <f ca="1">IF(N(U143)=0,0,VLOOKUP(U143,Hraci!$A$1:$I$1500,9,0))</f>
        <v>0</v>
      </c>
      <c r="AA143" s="469" t="str">
        <f t="shared" ca="1" si="74"/>
        <v/>
      </c>
      <c r="AB143" s="470" t="str">
        <f ca="1">IF(N(AA143)&gt;0,VLOOKUP(AA143,Hraci!$A$1:$I$1500,2,0)," ")</f>
        <v xml:space="preserve"> </v>
      </c>
      <c r="AC143" s="471" t="str">
        <f ca="1">IF(N(AA143)&gt;0,VLOOKUP(AA143,Hraci!$A$1:$I$1500,3,0)," ")</f>
        <v xml:space="preserve"> </v>
      </c>
      <c r="AD143" s="471" t="str">
        <f ca="1">IF(N(AA143)&gt;0,VLOOKUP(AA143,Hraci!$A$1:$I$1500,5,0)," ")</f>
        <v xml:space="preserve"> </v>
      </c>
      <c r="AE143" s="472">
        <f ca="1">IF(N(AA143)=0,9999,VLOOKUP(AA143,Hraci!$A$1:$I$1500,8,0))</f>
        <v>9999</v>
      </c>
      <c r="AF143" s="473">
        <f ca="1">IF(N(AA143)=0,0,VLOOKUP(AA143,Hraci!$A$1:$I$1500,9,0))</f>
        <v>0</v>
      </c>
      <c r="AG143" s="474"/>
      <c r="AH143" s="480">
        <v>129</v>
      </c>
      <c r="AI143" s="475">
        <f ca="1">IF(N($AH143)&gt;0,VLOOKUP($AH143,Body!$A$4:$F$259,5,0),"")</f>
        <v>553.40650000000005</v>
      </c>
      <c r="AJ143" s="476">
        <f ca="1">IF(N($AH143)&gt;0,VLOOKUP($AH143,Body!$A$4:$F$259,6,0),"")</f>
        <v>200</v>
      </c>
      <c r="AK143" s="475">
        <f ca="1">IF(N($AH143)&gt;0,VLOOKUP($AH143,Body!$A$4:$F$259,2,0),"")</f>
        <v>8</v>
      </c>
      <c r="AL143" s="477" t="str">
        <f t="shared" ca="1" si="61"/>
        <v>133 FRAPECO - Husáková Petra</v>
      </c>
      <c r="AM143" s="478">
        <f t="shared" ca="1" si="62"/>
        <v>4.8449999999999998</v>
      </c>
      <c r="AN143" s="408">
        <f ca="1">IF(OR(TYPE(I143)&gt;1,TYPE(MATCH(I143,I144:I$267,0))&gt;1),0,MATCH(I143,I144:I$267,0))+IF(OR(TYPE(I143)&gt;1,TYPE(MATCH(I143,O$11:O$267,0))&gt;1),0,MATCH(I143,O$11:O$267,0))+IF(OR(TYPE(I143)&gt;1,TYPE(MATCH(I143,U$11:U$267,0))&gt;1),0,MATCH(I143,U$11:U$267,0))+IF(OR(TYPE(I143)&gt;1,TYPE(MATCH(I143,AA$11:AA$267,0))&gt;1),0,MATCH(I143,AA$11:AA$267,0))</f>
        <v>0</v>
      </c>
      <c r="AO143" s="408">
        <f ca="1">IF(OR(TYPE(O143)&gt;1,TYPE(MATCH(O143,I$11:I$267,0))&gt;1),0,MATCH(O143,I$11:I$267,0))+IF(OR(TYPE(O143)&gt;1,TYPE(MATCH(O143,O144:O$267,0))&gt;1),0,MATCH(O143,O144:O$267,0))+IF(OR(TYPE(O143)&gt;1,TYPE(MATCH(O143,U$11:U$267,0))&gt;1),0,MATCH(O143,U$11:U$267,0))+IF(OR(TYPE(O143)&gt;1,TYPE(MATCH(O143,AA$11:AA$267,0))&gt;1),0,MATCH(O143,AA$11:AA$267,0))</f>
        <v>0</v>
      </c>
      <c r="AP143" s="408">
        <f ca="1">IF(OR(TYPE(U143)&gt;1,TYPE(MATCH(U143,I$11:I$267,0))&gt;1),0,MATCH(U143,I$11:I$267,0))+IF(OR(TYPE(U143)&gt;1,TYPE(MATCH(U143,O$11:O$267,0))&gt;1),0,MATCH(U143,O$11:O$267,0))+IF(OR(TYPE(U143)&gt;1,TYPE(MATCH(U143,U144:U$267,0))&gt;1),0,MATCH(U143,U144:U$267,0))+IF(OR(TYPE(U143)&gt;1,TYPE(MATCH(U143,AA$11:AA$267,0))&gt;1),0,MATCH(U143,AA$11:AA$267,0))</f>
        <v>0</v>
      </c>
      <c r="AQ143" s="408">
        <f ca="1">IF(OR(TYPE(AA143)&gt;1,TYPE(MATCH(AA143,I$11:I$267,0))&gt;1),0,MATCH(AA143,I$11:I$267,0))+IF(OR(TYPE(AA143)&gt;1,TYPE(MATCH(AA143,O$11:O$267,0))&gt;1),0,MATCH(AA143,O$11:O$267,0))+IF(OR(TYPE(AA143)&gt;1,TYPE(MATCH(AA143,U$11:U$267,0))&gt;1),0,MATCH(U143,U$11:U$267,0))+IF(OR(TYPE(AA143)&gt;1,TYPE(MATCH(AA143,AA144:AA$267,0))&gt;1),0,MATCH(AA143,AA144:AA$267,0))</f>
        <v>0</v>
      </c>
      <c r="AR143" s="408">
        <f t="shared" ca="1" si="64"/>
        <v>0</v>
      </c>
    </row>
    <row r="144" spans="1:58" ht="14.25">
      <c r="A144" s="430">
        <f t="shared" ca="1" si="65"/>
        <v>1</v>
      </c>
      <c r="B144" s="430">
        <f t="shared" ca="1" si="66"/>
        <v>1</v>
      </c>
      <c r="C144" s="430">
        <f t="shared" ca="1" si="67"/>
        <v>4.6890000000000001</v>
      </c>
      <c r="D144" s="430">
        <f t="shared" ca="1" si="68"/>
        <v>20341</v>
      </c>
      <c r="E144" s="430">
        <f t="shared" ca="1" si="69"/>
        <v>343</v>
      </c>
      <c r="F144" s="431" t="str">
        <f t="shared" ca="1" si="63"/>
        <v>01000000000000000000503883</v>
      </c>
      <c r="G144" s="467" t="b">
        <f t="shared" ca="1" si="70"/>
        <v>0</v>
      </c>
      <c r="H144" s="468">
        <f t="shared" si="60"/>
        <v>134</v>
      </c>
      <c r="I144" s="469">
        <f t="shared" ca="1" si="71"/>
        <v>16079</v>
      </c>
      <c r="J144" s="470" t="str">
        <f ca="1">IF(N(I144)&gt;0,VLOOKUP(I144,Hraci!$A$1:$I$1500,2,0),IF(TYPE(INDIRECT(ADDRESS(ROW() + $A$9-9 + (ROW()-11)*4,2,1,1,"Internet")))&gt;1,INDIRECT(ADDRESS(ROW() + $A$9-9 + (ROW()-11)*4,2,1,1,"Internet"))," "))</f>
        <v>Kolaříková</v>
      </c>
      <c r="K144" s="471" t="str">
        <f ca="1">IF(N(I144)&gt;0,VLOOKUP(I144,Hraci!$A$1:$I$1500,3,0)," ")</f>
        <v>Josefína</v>
      </c>
      <c r="L144" s="471" t="str">
        <f ca="1">IF(N(I144)&gt;0,VLOOKUP(I144,Hraci!$A$1:$I$1500,5,0),IF(TYPE(INDIRECT(ADDRESS(ROW() + $A$9-9 + (ROW()-11)*4,3,1,1,"Internet")))&gt;1,INDIRECT(ADDRESS(ROW() + $A$9-9 + (ROW()-11)*4,3,1,1,"Internet"))," "))</f>
        <v>UBU Únětice</v>
      </c>
      <c r="M144" s="472">
        <f ca="1">IF(N(I144)=0,9999,VLOOKUP(I144,Hraci!$A$1:$I$1500,8,0))</f>
        <v>343</v>
      </c>
      <c r="N144" s="473">
        <f ca="1">IF(N(I144)=0,0,VLOOKUP(I144,Hraci!$A$1:$I$1500,9,0))</f>
        <v>4.6890000000000001</v>
      </c>
      <c r="O144" s="469" t="str">
        <f t="shared" ca="1" si="72"/>
        <v/>
      </c>
      <c r="P144" s="470" t="str">
        <f ca="1">IF(N(O144)&gt;0,VLOOKUP(O144,Hraci!$A$1:$I$1500,2,0),IF(TYPE(INDIRECT(ADDRESS(ROW() + $A$9-8 + (ROW()-11)*4,2,1,1,"Internet")))&gt;1,INDIRECT(ADDRESS(ROW() + $A$9-8 + (ROW()-11)*4,2,1,1,"Internet"))," "))</f>
        <v xml:space="preserve"> </v>
      </c>
      <c r="Q144" s="471" t="str">
        <f ca="1">IF(N(O144)&gt;0,VLOOKUP(O144,Hraci!$A$1:$I$1500,3,0)," ")</f>
        <v xml:space="preserve"> </v>
      </c>
      <c r="R144" s="471" t="str">
        <f ca="1">IF(N(O144)&gt;0,VLOOKUP(O144,Hraci!$A$1:$I$1500,5,0),IF(TYPE(INDIRECT(ADDRESS(ROW() + $A$9-8 + (ROW()-11)*4,3,1,1,"Internet")))&gt;1,INDIRECT(ADDRESS(ROW() + $A$9-8 + (ROW()-11)*4,3,1,1,"Internet"))," "))</f>
        <v xml:space="preserve"> </v>
      </c>
      <c r="S144" s="472">
        <f ca="1">IF(N(O144)=0,9999,VLOOKUP(O144,Hraci!$A$1:$I$1500,8,0))</f>
        <v>9999</v>
      </c>
      <c r="T144" s="473">
        <f ca="1">IF(N(O144)=0,0,VLOOKUP(O144,Hraci!$A$1:$I$1500,9,0))</f>
        <v>0</v>
      </c>
      <c r="U144" s="469" t="str">
        <f t="shared" ca="1" si="73"/>
        <v/>
      </c>
      <c r="V144" s="470" t="str">
        <f ca="1">IF(N(U144)&gt;0,VLOOKUP(U144,Hraci!$A$1:$I$1500,2,0),IF(TYPE(INDIRECT(ADDRESS(ROW() + $A$9-7 + (ROW()-11)*4,2,1,1,"Internet")))&gt;1,INDIRECT(ADDRESS(ROW() + $A$9-7 + (ROW()-11)*4,2,1,1,"Internet"))," "))</f>
        <v xml:space="preserve"> </v>
      </c>
      <c r="W144" s="471" t="str">
        <f ca="1">IF(N(U144)&gt;0,VLOOKUP(U144,Hraci!$A$1:$I$1500,3,0)," ")</f>
        <v xml:space="preserve"> </v>
      </c>
      <c r="X144" s="471" t="str">
        <f ca="1">IF(N(U144)&gt;0,VLOOKUP(U144,Hraci!$A$1:$I$1500,5,0),IF(TYPE(INDIRECT(ADDRESS(ROW() + $A$9-7 + (ROW()-11)*4,3,1,1,"Internet")))&gt;1,INDIRECT(ADDRESS(ROW() + $A$9-7 + (ROW()-11)*4,3,1,1,"Internet"))," "))</f>
        <v xml:space="preserve"> </v>
      </c>
      <c r="Y144" s="472">
        <f ca="1">IF(N(U144)=0,9999,VLOOKUP(U144,Hraci!$A$1:$I$1500,8,0))</f>
        <v>9999</v>
      </c>
      <c r="Z144" s="473">
        <f ca="1">IF(N(U144)=0,0,VLOOKUP(U144,Hraci!$A$1:$I$1500,9,0))</f>
        <v>0</v>
      </c>
      <c r="AA144" s="469" t="str">
        <f t="shared" ca="1" si="74"/>
        <v/>
      </c>
      <c r="AB144" s="470" t="str">
        <f ca="1">IF(N(AA144)&gt;0,VLOOKUP(AA144,Hraci!$A$1:$I$1500,2,0)," ")</f>
        <v xml:space="preserve"> </v>
      </c>
      <c r="AC144" s="471" t="str">
        <f ca="1">IF(N(AA144)&gt;0,VLOOKUP(AA144,Hraci!$A$1:$I$1500,3,0)," ")</f>
        <v xml:space="preserve"> </v>
      </c>
      <c r="AD144" s="471" t="str">
        <f ca="1">IF(N(AA144)&gt;0,VLOOKUP(AA144,Hraci!$A$1:$I$1500,5,0)," ")</f>
        <v xml:space="preserve"> </v>
      </c>
      <c r="AE144" s="472">
        <f ca="1">IF(N(AA144)=0,9999,VLOOKUP(AA144,Hraci!$A$1:$I$1500,8,0))</f>
        <v>9999</v>
      </c>
      <c r="AF144" s="473">
        <f ca="1">IF(N(AA144)=0,0,VLOOKUP(AA144,Hraci!$A$1:$I$1500,9,0))</f>
        <v>0</v>
      </c>
      <c r="AG144" s="474"/>
      <c r="AH144" s="480">
        <v>129</v>
      </c>
      <c r="AI144" s="475">
        <f ca="1">IF(N($AH144)&gt;0,VLOOKUP($AH144,Body!$A$4:$F$259,5,0),"")</f>
        <v>553.40650000000005</v>
      </c>
      <c r="AJ144" s="476">
        <f ca="1">IF(N($AH144)&gt;0,VLOOKUP($AH144,Body!$A$4:$F$259,6,0),"")</f>
        <v>200</v>
      </c>
      <c r="AK144" s="475">
        <f ca="1">IF(N($AH144)&gt;0,VLOOKUP($AH144,Body!$A$4:$F$259,2,0),"")</f>
        <v>8</v>
      </c>
      <c r="AL144" s="477" t="str">
        <f t="shared" ca="1" si="61"/>
        <v>134 UBU Únětice - Kolaříková Josefína</v>
      </c>
      <c r="AM144" s="478">
        <f t="shared" ca="1" si="62"/>
        <v>4.6890000000000001</v>
      </c>
      <c r="AN144" s="408">
        <f ca="1">IF(OR(TYPE(I144)&gt;1,TYPE(MATCH(I144,I145:I$267,0))&gt;1),0,MATCH(I144,I145:I$267,0))+IF(OR(TYPE(I144)&gt;1,TYPE(MATCH(I144,O$11:O$267,0))&gt;1),0,MATCH(I144,O$11:O$267,0))+IF(OR(TYPE(I144)&gt;1,TYPE(MATCH(I144,U$11:U$267,0))&gt;1),0,MATCH(I144,U$11:U$267,0))+IF(OR(TYPE(I144)&gt;1,TYPE(MATCH(I144,AA$11:AA$267,0))&gt;1),0,MATCH(I144,AA$11:AA$267,0))</f>
        <v>0</v>
      </c>
      <c r="AO144" s="408">
        <f ca="1">IF(OR(TYPE(O144)&gt;1,TYPE(MATCH(O144,I$11:I$267,0))&gt;1),0,MATCH(O144,I$11:I$267,0))+IF(OR(TYPE(O144)&gt;1,TYPE(MATCH(O144,O145:O$267,0))&gt;1),0,MATCH(O144,O145:O$267,0))+IF(OR(TYPE(O144)&gt;1,TYPE(MATCH(O144,U$11:U$267,0))&gt;1),0,MATCH(O144,U$11:U$267,0))+IF(OR(TYPE(O144)&gt;1,TYPE(MATCH(O144,AA$11:AA$267,0))&gt;1),0,MATCH(O144,AA$11:AA$267,0))</f>
        <v>0</v>
      </c>
      <c r="AP144" s="408">
        <f ca="1">IF(OR(TYPE(U144)&gt;1,TYPE(MATCH(U144,I$11:I$267,0))&gt;1),0,MATCH(U144,I$11:I$267,0))+IF(OR(TYPE(U144)&gt;1,TYPE(MATCH(U144,O$11:O$267,0))&gt;1),0,MATCH(U144,O$11:O$267,0))+IF(OR(TYPE(U144)&gt;1,TYPE(MATCH(U144,U145:U$267,0))&gt;1),0,MATCH(U144,U145:U$267,0))+IF(OR(TYPE(U144)&gt;1,TYPE(MATCH(U144,AA$11:AA$267,0))&gt;1),0,MATCH(U144,AA$11:AA$267,0))</f>
        <v>0</v>
      </c>
      <c r="AQ144" s="408">
        <f ca="1">IF(OR(TYPE(AA144)&gt;1,TYPE(MATCH(AA144,I$11:I$267,0))&gt;1),0,MATCH(AA144,I$11:I$267,0))+IF(OR(TYPE(AA144)&gt;1,TYPE(MATCH(AA144,O$11:O$267,0))&gt;1),0,MATCH(AA144,O$11:O$267,0))+IF(OR(TYPE(AA144)&gt;1,TYPE(MATCH(AA144,U$11:U$267,0))&gt;1),0,MATCH(U144,U$11:U$267,0))+IF(OR(TYPE(AA144)&gt;1,TYPE(MATCH(AA144,AA145:AA$267,0))&gt;1),0,MATCH(AA144,AA145:AA$267,0))</f>
        <v>0</v>
      </c>
      <c r="AR144" s="408">
        <f t="shared" ca="1" si="64"/>
        <v>0</v>
      </c>
    </row>
    <row r="145" spans="1:58" ht="14.25">
      <c r="A145" s="430">
        <f t="shared" ca="1" si="65"/>
        <v>1</v>
      </c>
      <c r="B145" s="430">
        <f t="shared" ca="1" si="66"/>
        <v>1</v>
      </c>
      <c r="C145" s="430">
        <f t="shared" ca="1" si="67"/>
        <v>3.234</v>
      </c>
      <c r="D145" s="430">
        <f t="shared" ca="1" si="68"/>
        <v>20383</v>
      </c>
      <c r="E145" s="430">
        <f t="shared" ca="1" si="69"/>
        <v>385</v>
      </c>
      <c r="F145" s="431" t="str">
        <f t="shared" ca="1" si="63"/>
        <v>01000000000000000000446211</v>
      </c>
      <c r="G145" s="467" t="b">
        <f t="shared" ca="1" si="70"/>
        <v>0</v>
      </c>
      <c r="H145" s="468">
        <f t="shared" si="60"/>
        <v>135</v>
      </c>
      <c r="I145" s="469">
        <f t="shared" ca="1" si="71"/>
        <v>21756</v>
      </c>
      <c r="J145" s="470" t="str">
        <f ca="1">IF(N(I145)&gt;0,VLOOKUP(I145,Hraci!$A$1:$I$1500,2,0),IF(TYPE(INDIRECT(ADDRESS(ROW() + $A$9-9 + (ROW()-11)*4,2,1,1,"Internet")))&gt;1,INDIRECT(ADDRESS(ROW() + $A$9-9 + (ROW()-11)*4,2,1,1,"Internet"))," "))</f>
        <v>Tintěrová</v>
      </c>
      <c r="K145" s="471" t="str">
        <f ca="1">IF(N(I145)&gt;0,VLOOKUP(I145,Hraci!$A$1:$I$1500,3,0)," ")</f>
        <v>Kateřina</v>
      </c>
      <c r="L145" s="471" t="str">
        <f ca="1">IF(N(I145)&gt;0,VLOOKUP(I145,Hraci!$A$1:$I$1500,5,0),IF(TYPE(INDIRECT(ADDRESS(ROW() + $A$9-9 + (ROW()-11)*4,3,1,1,"Internet")))&gt;1,INDIRECT(ADDRESS(ROW() + $A$9-9 + (ROW()-11)*4,3,1,1,"Internet"))," "))</f>
        <v>VARAN</v>
      </c>
      <c r="M145" s="472">
        <f ca="1">IF(N(I145)=0,9999,VLOOKUP(I145,Hraci!$A$1:$I$1500,8,0))</f>
        <v>385</v>
      </c>
      <c r="N145" s="473">
        <f ca="1">IF(N(I145)=0,0,VLOOKUP(I145,Hraci!$A$1:$I$1500,9,0))</f>
        <v>3.234</v>
      </c>
      <c r="O145" s="469" t="str">
        <f t="shared" ca="1" si="72"/>
        <v/>
      </c>
      <c r="P145" s="470" t="str">
        <f ca="1">IF(N(O145)&gt;0,VLOOKUP(O145,Hraci!$A$1:$I$1500,2,0),IF(TYPE(INDIRECT(ADDRESS(ROW() + $A$9-8 + (ROW()-11)*4,2,1,1,"Internet")))&gt;1,INDIRECT(ADDRESS(ROW() + $A$9-8 + (ROW()-11)*4,2,1,1,"Internet"))," "))</f>
        <v xml:space="preserve"> </v>
      </c>
      <c r="Q145" s="471" t="str">
        <f ca="1">IF(N(O145)&gt;0,VLOOKUP(O145,Hraci!$A$1:$I$1500,3,0)," ")</f>
        <v xml:space="preserve"> </v>
      </c>
      <c r="R145" s="471" t="str">
        <f ca="1">IF(N(O145)&gt;0,VLOOKUP(O145,Hraci!$A$1:$I$1500,5,0),IF(TYPE(INDIRECT(ADDRESS(ROW() + $A$9-8 + (ROW()-11)*4,3,1,1,"Internet")))&gt;1,INDIRECT(ADDRESS(ROW() + $A$9-8 + (ROW()-11)*4,3,1,1,"Internet"))," "))</f>
        <v xml:space="preserve"> </v>
      </c>
      <c r="S145" s="472">
        <f ca="1">IF(N(O145)=0,9999,VLOOKUP(O145,Hraci!$A$1:$I$1500,8,0))</f>
        <v>9999</v>
      </c>
      <c r="T145" s="473">
        <f ca="1">IF(N(O145)=0,0,VLOOKUP(O145,Hraci!$A$1:$I$1500,9,0))</f>
        <v>0</v>
      </c>
      <c r="U145" s="469" t="str">
        <f t="shared" ca="1" si="73"/>
        <v/>
      </c>
      <c r="V145" s="470" t="str">
        <f ca="1">IF(N(U145)&gt;0,VLOOKUP(U145,Hraci!$A$1:$I$1500,2,0),IF(TYPE(INDIRECT(ADDRESS(ROW() + $A$9-7 + (ROW()-11)*4,2,1,1,"Internet")))&gt;1,INDIRECT(ADDRESS(ROW() + $A$9-7 + (ROW()-11)*4,2,1,1,"Internet"))," "))</f>
        <v xml:space="preserve"> </v>
      </c>
      <c r="W145" s="471" t="str">
        <f ca="1">IF(N(U145)&gt;0,VLOOKUP(U145,Hraci!$A$1:$I$1500,3,0)," ")</f>
        <v xml:space="preserve"> </v>
      </c>
      <c r="X145" s="471" t="str">
        <f ca="1">IF(N(U145)&gt;0,VLOOKUP(U145,Hraci!$A$1:$I$1500,5,0),IF(TYPE(INDIRECT(ADDRESS(ROW() + $A$9-7 + (ROW()-11)*4,3,1,1,"Internet")))&gt;1,INDIRECT(ADDRESS(ROW() + $A$9-7 + (ROW()-11)*4,3,1,1,"Internet"))," "))</f>
        <v xml:space="preserve"> </v>
      </c>
      <c r="Y145" s="472">
        <f ca="1">IF(N(U145)=0,9999,VLOOKUP(U145,Hraci!$A$1:$I$1500,8,0))</f>
        <v>9999</v>
      </c>
      <c r="Z145" s="473">
        <f ca="1">IF(N(U145)=0,0,VLOOKUP(U145,Hraci!$A$1:$I$1500,9,0))</f>
        <v>0</v>
      </c>
      <c r="AA145" s="469" t="str">
        <f t="shared" ca="1" si="74"/>
        <v/>
      </c>
      <c r="AB145" s="470" t="str">
        <f ca="1">IF(N(AA145)&gt;0,VLOOKUP(AA145,Hraci!$A$1:$I$1500,2,0)," ")</f>
        <v xml:space="preserve"> </v>
      </c>
      <c r="AC145" s="471" t="str">
        <f ca="1">IF(N(AA145)&gt;0,VLOOKUP(AA145,Hraci!$A$1:$I$1500,3,0)," ")</f>
        <v xml:space="preserve"> </v>
      </c>
      <c r="AD145" s="471" t="str">
        <f ca="1">IF(N(AA145)&gt;0,VLOOKUP(AA145,Hraci!$A$1:$I$1500,5,0)," ")</f>
        <v xml:space="preserve"> </v>
      </c>
      <c r="AE145" s="472">
        <f ca="1">IF(N(AA145)=0,9999,VLOOKUP(AA145,Hraci!$A$1:$I$1500,8,0))</f>
        <v>9999</v>
      </c>
      <c r="AF145" s="473">
        <f ca="1">IF(N(AA145)=0,0,VLOOKUP(AA145,Hraci!$A$1:$I$1500,9,0))</f>
        <v>0</v>
      </c>
      <c r="AG145" s="474"/>
      <c r="AH145" s="480">
        <v>14</v>
      </c>
      <c r="AI145" s="475">
        <f ca="1">IF(N($AH145)&gt;0,VLOOKUP($AH145,Body!$A$4:$F$259,5,0),"")</f>
        <v>387.747203125</v>
      </c>
      <c r="AJ145" s="476">
        <f ca="1">IF(N($AH145)&gt;0,VLOOKUP($AH145,Body!$A$4:$F$259,6,0),"")</f>
        <v>200</v>
      </c>
      <c r="AK145" s="475">
        <f ca="1">IF(N($AH145)&gt;0,VLOOKUP($AH145,Body!$A$4:$F$259,2,0),"")</f>
        <v>4.25</v>
      </c>
      <c r="AL145" s="477" t="str">
        <f t="shared" ca="1" si="61"/>
        <v>135 VARAN - Tintěrová Kateřina</v>
      </c>
      <c r="AM145" s="478">
        <f t="shared" ca="1" si="62"/>
        <v>3.234</v>
      </c>
      <c r="AN145" s="408">
        <f ca="1">IF(OR(TYPE(I145)&gt;1,TYPE(MATCH(I145,I146:I$267,0))&gt;1),0,MATCH(I145,I146:I$267,0))+IF(OR(TYPE(I145)&gt;1,TYPE(MATCH(I145,O$11:O$267,0))&gt;1),0,MATCH(I145,O$11:O$267,0))+IF(OR(TYPE(I145)&gt;1,TYPE(MATCH(I145,U$11:U$267,0))&gt;1),0,MATCH(I145,U$11:U$267,0))+IF(OR(TYPE(I145)&gt;1,TYPE(MATCH(I145,AA$11:AA$267,0))&gt;1),0,MATCH(I145,AA$11:AA$267,0))</f>
        <v>0</v>
      </c>
      <c r="AO145" s="408">
        <f ca="1">IF(OR(TYPE(O145)&gt;1,TYPE(MATCH(O145,I$11:I$267,0))&gt;1),0,MATCH(O145,I$11:I$267,0))+IF(OR(TYPE(O145)&gt;1,TYPE(MATCH(O145,O146:O$267,0))&gt;1),0,MATCH(O145,O146:O$267,0))+IF(OR(TYPE(O145)&gt;1,TYPE(MATCH(O145,U$11:U$267,0))&gt;1),0,MATCH(O145,U$11:U$267,0))+IF(OR(TYPE(O145)&gt;1,TYPE(MATCH(O145,AA$11:AA$267,0))&gt;1),0,MATCH(O145,AA$11:AA$267,0))</f>
        <v>0</v>
      </c>
      <c r="AP145" s="408">
        <f ca="1">IF(OR(TYPE(U145)&gt;1,TYPE(MATCH(U145,I$11:I$267,0))&gt;1),0,MATCH(U145,I$11:I$267,0))+IF(OR(TYPE(U145)&gt;1,TYPE(MATCH(U145,O$11:O$267,0))&gt;1),0,MATCH(U145,O$11:O$267,0))+IF(OR(TYPE(U145)&gt;1,TYPE(MATCH(U145,U146:U$267,0))&gt;1),0,MATCH(U145,U146:U$267,0))+IF(OR(TYPE(U145)&gt;1,TYPE(MATCH(U145,AA$11:AA$267,0))&gt;1),0,MATCH(U145,AA$11:AA$267,0))</f>
        <v>0</v>
      </c>
      <c r="AQ145" s="408">
        <f ca="1">IF(OR(TYPE(AA145)&gt;1,TYPE(MATCH(AA145,I$11:I$267,0))&gt;1),0,MATCH(AA145,I$11:I$267,0))+IF(OR(TYPE(AA145)&gt;1,TYPE(MATCH(AA145,O$11:O$267,0))&gt;1),0,MATCH(AA145,O$11:O$267,0))+IF(OR(TYPE(AA145)&gt;1,TYPE(MATCH(AA145,U$11:U$267,0))&gt;1),0,MATCH(U145,U$11:U$267,0))+IF(OR(TYPE(AA145)&gt;1,TYPE(MATCH(AA145,AA146:AA$267,0))&gt;1),0,MATCH(AA145,AA146:AA$267,0))</f>
        <v>0</v>
      </c>
      <c r="AR145" s="408">
        <f t="shared" ca="1" si="64"/>
        <v>0</v>
      </c>
    </row>
    <row r="146" spans="1:58" ht="14.25">
      <c r="A146" s="430">
        <f t="shared" ca="1" si="65"/>
        <v>1</v>
      </c>
      <c r="B146" s="430">
        <f t="shared" ca="1" si="66"/>
        <v>1</v>
      </c>
      <c r="C146" s="430">
        <f t="shared" ca="1" si="67"/>
        <v>2.9060000000000001</v>
      </c>
      <c r="D146" s="430">
        <f t="shared" ca="1" si="68"/>
        <v>20376</v>
      </c>
      <c r="E146" s="430">
        <f t="shared" ca="1" si="69"/>
        <v>378</v>
      </c>
      <c r="F146" s="431" t="str">
        <f t="shared" ca="1" si="63"/>
        <v>01000000000000000000676600</v>
      </c>
      <c r="G146" s="467" t="b">
        <f t="shared" ca="1" si="70"/>
        <v>0</v>
      </c>
      <c r="H146" s="468">
        <f t="shared" si="60"/>
        <v>136</v>
      </c>
      <c r="I146" s="469">
        <f t="shared" ca="1" si="71"/>
        <v>20573</v>
      </c>
      <c r="J146" s="470" t="str">
        <f ca="1">IF(N(I146)&gt;0,VLOOKUP(I146,Hraci!$A$1:$I$1500,2,0),IF(TYPE(INDIRECT(ADDRESS(ROW() + $A$9-9 + (ROW()-11)*4,2,1,1,"Internet")))&gt;1,INDIRECT(ADDRESS(ROW() + $A$9-9 + (ROW()-11)*4,2,1,1,"Internet"))," "))</f>
        <v>Vávrová</v>
      </c>
      <c r="K146" s="471" t="str">
        <f ca="1">IF(N(I146)&gt;0,VLOOKUP(I146,Hraci!$A$1:$I$1500,3,0)," ")</f>
        <v>Ivana</v>
      </c>
      <c r="L146" s="471" t="str">
        <f ca="1">IF(N(I146)&gt;0,VLOOKUP(I146,Hraci!$A$1:$I$1500,5,0),IF(TYPE(INDIRECT(ADDRESS(ROW() + $A$9-9 + (ROW()-11)*4,3,1,1,"Internet")))&gt;1,INDIRECT(ADDRESS(ROW() + $A$9-9 + (ROW()-11)*4,3,1,1,"Internet"))," "))</f>
        <v>PC Sokol PP Hr. Králové</v>
      </c>
      <c r="M146" s="472">
        <f ca="1">IF(N(I146)=0,9999,VLOOKUP(I146,Hraci!$A$1:$I$1500,8,0))</f>
        <v>378</v>
      </c>
      <c r="N146" s="473">
        <f ca="1">IF(N(I146)=0,0,VLOOKUP(I146,Hraci!$A$1:$I$1500,9,0))</f>
        <v>2.9060000000000001</v>
      </c>
      <c r="O146" s="469" t="str">
        <f t="shared" ca="1" si="72"/>
        <v/>
      </c>
      <c r="P146" s="470" t="str">
        <f ca="1">IF(N(O146)&gt;0,VLOOKUP(O146,Hraci!$A$1:$I$1500,2,0),IF(TYPE(INDIRECT(ADDRESS(ROW() + $A$9-8 + (ROW()-11)*4,2,1,1,"Internet")))&gt;1,INDIRECT(ADDRESS(ROW() + $A$9-8 + (ROW()-11)*4,2,1,1,"Internet"))," "))</f>
        <v xml:space="preserve"> </v>
      </c>
      <c r="Q146" s="471" t="str">
        <f ca="1">IF(N(O146)&gt;0,VLOOKUP(O146,Hraci!$A$1:$I$1500,3,0)," ")</f>
        <v xml:space="preserve"> </v>
      </c>
      <c r="R146" s="471" t="str">
        <f ca="1">IF(N(O146)&gt;0,VLOOKUP(O146,Hraci!$A$1:$I$1500,5,0),IF(TYPE(INDIRECT(ADDRESS(ROW() + $A$9-8 + (ROW()-11)*4,3,1,1,"Internet")))&gt;1,INDIRECT(ADDRESS(ROW() + $A$9-8 + (ROW()-11)*4,3,1,1,"Internet"))," "))</f>
        <v xml:space="preserve"> </v>
      </c>
      <c r="S146" s="472">
        <f ca="1">IF(N(O146)=0,9999,VLOOKUP(O146,Hraci!$A$1:$I$1500,8,0))</f>
        <v>9999</v>
      </c>
      <c r="T146" s="473">
        <f ca="1">IF(N(O146)=0,0,VLOOKUP(O146,Hraci!$A$1:$I$1500,9,0))</f>
        <v>0</v>
      </c>
      <c r="U146" s="469" t="str">
        <f t="shared" ca="1" si="73"/>
        <v/>
      </c>
      <c r="V146" s="470" t="str">
        <f ca="1">IF(N(U146)&gt;0,VLOOKUP(U146,Hraci!$A$1:$I$1500,2,0),IF(TYPE(INDIRECT(ADDRESS(ROW() + $A$9-7 + (ROW()-11)*4,2,1,1,"Internet")))&gt;1,INDIRECT(ADDRESS(ROW() + $A$9-7 + (ROW()-11)*4,2,1,1,"Internet"))," "))</f>
        <v xml:space="preserve"> </v>
      </c>
      <c r="W146" s="471" t="str">
        <f ca="1">IF(N(U146)&gt;0,VLOOKUP(U146,Hraci!$A$1:$I$1500,3,0)," ")</f>
        <v xml:space="preserve"> </v>
      </c>
      <c r="X146" s="471" t="str">
        <f ca="1">IF(N(U146)&gt;0,VLOOKUP(U146,Hraci!$A$1:$I$1500,5,0),IF(TYPE(INDIRECT(ADDRESS(ROW() + $A$9-7 + (ROW()-11)*4,3,1,1,"Internet")))&gt;1,INDIRECT(ADDRESS(ROW() + $A$9-7 + (ROW()-11)*4,3,1,1,"Internet"))," "))</f>
        <v xml:space="preserve"> </v>
      </c>
      <c r="Y146" s="472">
        <f ca="1">IF(N(U146)=0,9999,VLOOKUP(U146,Hraci!$A$1:$I$1500,8,0))</f>
        <v>9999</v>
      </c>
      <c r="Z146" s="473">
        <f ca="1">IF(N(U146)=0,0,VLOOKUP(U146,Hraci!$A$1:$I$1500,9,0))</f>
        <v>0</v>
      </c>
      <c r="AA146" s="469" t="str">
        <f t="shared" ca="1" si="74"/>
        <v/>
      </c>
      <c r="AB146" s="470" t="str">
        <f ca="1">IF(N(AA146)&gt;0,VLOOKUP(AA146,Hraci!$A$1:$I$1500,2,0)," ")</f>
        <v xml:space="preserve"> </v>
      </c>
      <c r="AC146" s="471" t="str">
        <f ca="1">IF(N(AA146)&gt;0,VLOOKUP(AA146,Hraci!$A$1:$I$1500,3,0)," ")</f>
        <v xml:space="preserve"> </v>
      </c>
      <c r="AD146" s="471" t="str">
        <f ca="1">IF(N(AA146)&gt;0,VLOOKUP(AA146,Hraci!$A$1:$I$1500,5,0)," ")</f>
        <v xml:space="preserve"> </v>
      </c>
      <c r="AE146" s="472">
        <f ca="1">IF(N(AA146)=0,9999,VLOOKUP(AA146,Hraci!$A$1:$I$1500,8,0))</f>
        <v>9999</v>
      </c>
      <c r="AF146" s="473">
        <f ca="1">IF(N(AA146)=0,0,VLOOKUP(AA146,Hraci!$A$1:$I$1500,9,0))</f>
        <v>0</v>
      </c>
      <c r="AG146" s="474"/>
      <c r="AH146" s="480">
        <v>143</v>
      </c>
      <c r="AI146" s="475">
        <f ca="1">IF(N($AH146)&gt;0,VLOOKUP($AH146,Body!$A$4:$F$259,5,0),"")</f>
        <v>20</v>
      </c>
      <c r="AJ146" s="476">
        <f ca="1">IF(N($AH146)&gt;0,VLOOKUP($AH146,Body!$A$4:$F$259,6,0),"")</f>
        <v>0</v>
      </c>
      <c r="AK146" s="475">
        <f ca="1">IF(N($AH146)&gt;0,VLOOKUP($AH146,Body!$A$4:$F$259,2,0),"")</f>
        <v>0</v>
      </c>
      <c r="AL146" s="477" t="str">
        <f t="shared" ca="1" si="61"/>
        <v>136 PC Sokol PP Hr. Králové - Vávrová Ivana</v>
      </c>
      <c r="AM146" s="478">
        <f t="shared" ca="1" si="62"/>
        <v>2.9060000000000001</v>
      </c>
      <c r="AN146" s="408">
        <f ca="1">IF(OR(TYPE(I146)&gt;1,TYPE(MATCH(I146,I147:I$267,0))&gt;1),0,MATCH(I146,I147:I$267,0))+IF(OR(TYPE(I146)&gt;1,TYPE(MATCH(I146,O$11:O$267,0))&gt;1),0,MATCH(I146,O$11:O$267,0))+IF(OR(TYPE(I146)&gt;1,TYPE(MATCH(I146,U$11:U$267,0))&gt;1),0,MATCH(I146,U$11:U$267,0))+IF(OR(TYPE(I146)&gt;1,TYPE(MATCH(I146,AA$11:AA$267,0))&gt;1),0,MATCH(I146,AA$11:AA$267,0))</f>
        <v>0</v>
      </c>
      <c r="AO146" s="408">
        <f ca="1">IF(OR(TYPE(O146)&gt;1,TYPE(MATCH(O146,I$11:I$267,0))&gt;1),0,MATCH(O146,I$11:I$267,0))+IF(OR(TYPE(O146)&gt;1,TYPE(MATCH(O146,O147:O$267,0))&gt;1),0,MATCH(O146,O147:O$267,0))+IF(OR(TYPE(O146)&gt;1,TYPE(MATCH(O146,U$11:U$267,0))&gt;1),0,MATCH(O146,U$11:U$267,0))+IF(OR(TYPE(O146)&gt;1,TYPE(MATCH(O146,AA$11:AA$267,0))&gt;1),0,MATCH(O146,AA$11:AA$267,0))</f>
        <v>0</v>
      </c>
      <c r="AP146" s="408">
        <f ca="1">IF(OR(TYPE(U146)&gt;1,TYPE(MATCH(U146,I$11:I$267,0))&gt;1),0,MATCH(U146,I$11:I$267,0))+IF(OR(TYPE(U146)&gt;1,TYPE(MATCH(U146,O$11:O$267,0))&gt;1),0,MATCH(U146,O$11:O$267,0))+IF(OR(TYPE(U146)&gt;1,TYPE(MATCH(U146,U147:U$267,0))&gt;1),0,MATCH(U146,U147:U$267,0))+IF(OR(TYPE(U146)&gt;1,TYPE(MATCH(U146,AA$11:AA$267,0))&gt;1),0,MATCH(U146,AA$11:AA$267,0))</f>
        <v>0</v>
      </c>
      <c r="AQ146" s="408">
        <f ca="1">IF(OR(TYPE(AA146)&gt;1,TYPE(MATCH(AA146,I$11:I$267,0))&gt;1),0,MATCH(AA146,I$11:I$267,0))+IF(OR(TYPE(AA146)&gt;1,TYPE(MATCH(AA146,O$11:O$267,0))&gt;1),0,MATCH(AA146,O$11:O$267,0))+IF(OR(TYPE(AA146)&gt;1,TYPE(MATCH(AA146,U$11:U$267,0))&gt;1),0,MATCH(U146,U$11:U$267,0))+IF(OR(TYPE(AA146)&gt;1,TYPE(MATCH(AA146,AA147:AA$267,0))&gt;1),0,MATCH(AA146,AA147:AA$267,0))</f>
        <v>0</v>
      </c>
      <c r="AR146" s="408">
        <f t="shared" ca="1" si="64"/>
        <v>0</v>
      </c>
    </row>
    <row r="147" spans="1:58" ht="14.25">
      <c r="A147" s="430">
        <f t="shared" ca="1" si="65"/>
        <v>1</v>
      </c>
      <c r="B147" s="430">
        <f t="shared" ca="1" si="66"/>
        <v>1</v>
      </c>
      <c r="C147" s="430">
        <f t="shared" ca="1" si="67"/>
        <v>2.7509999999999999</v>
      </c>
      <c r="D147" s="430">
        <f t="shared" ca="1" si="68"/>
        <v>20429</v>
      </c>
      <c r="E147" s="430">
        <f t="shared" ca="1" si="69"/>
        <v>431</v>
      </c>
      <c r="F147" s="431" t="str">
        <f t="shared" ca="1" si="63"/>
        <v>01000000000000000000067171</v>
      </c>
      <c r="G147" s="467" t="b">
        <f t="shared" ca="1" si="70"/>
        <v>0</v>
      </c>
      <c r="H147" s="468">
        <f t="shared" si="60"/>
        <v>137</v>
      </c>
      <c r="I147" s="469">
        <f t="shared" ca="1" si="71"/>
        <v>18014</v>
      </c>
      <c r="J147" s="470" t="str">
        <f ca="1">IF(N(I147)&gt;0,VLOOKUP(I147,Hraci!$A$1:$I$1500,2,0),IF(TYPE(INDIRECT(ADDRESS(ROW() + $A$9-9 + (ROW()-11)*4,2,1,1,"Internet")))&gt;1,INDIRECT(ADDRESS(ROW() + $A$9-9 + (ROW()-11)*4,2,1,1,"Internet"))," "))</f>
        <v>Klazarová</v>
      </c>
      <c r="K147" s="471" t="str">
        <f ca="1">IF(N(I147)&gt;0,VLOOKUP(I147,Hraci!$A$1:$I$1500,3,0)," ")</f>
        <v>Vlasta</v>
      </c>
      <c r="L147" s="471" t="str">
        <f ca="1">IF(N(I147)&gt;0,VLOOKUP(I147,Hraci!$A$1:$I$1500,5,0),IF(TYPE(INDIRECT(ADDRESS(ROW() + $A$9-9 + (ROW()-11)*4,3,1,1,"Internet")))&gt;1,INDIRECT(ADDRESS(ROW() + $A$9-9 + (ROW()-11)*4,3,1,1,"Internet"))," "))</f>
        <v>SK Pétanque Řepy</v>
      </c>
      <c r="M147" s="472">
        <f ca="1">IF(N(I147)=0,9999,VLOOKUP(I147,Hraci!$A$1:$I$1500,8,0))</f>
        <v>431</v>
      </c>
      <c r="N147" s="473">
        <f ca="1">IF(N(I147)=0,0,VLOOKUP(I147,Hraci!$A$1:$I$1500,9,0))</f>
        <v>2.7509999999999999</v>
      </c>
      <c r="O147" s="469" t="str">
        <f t="shared" ca="1" si="72"/>
        <v/>
      </c>
      <c r="P147" s="470" t="str">
        <f ca="1">IF(N(O147)&gt;0,VLOOKUP(O147,Hraci!$A$1:$I$1500,2,0),IF(TYPE(INDIRECT(ADDRESS(ROW() + $A$9-8 + (ROW()-11)*4,2,1,1,"Internet")))&gt;1,INDIRECT(ADDRESS(ROW() + $A$9-8 + (ROW()-11)*4,2,1,1,"Internet"))," "))</f>
        <v xml:space="preserve"> </v>
      </c>
      <c r="Q147" s="471" t="str">
        <f ca="1">IF(N(O147)&gt;0,VLOOKUP(O147,Hraci!$A$1:$I$1500,3,0)," ")</f>
        <v xml:space="preserve"> </v>
      </c>
      <c r="R147" s="471" t="str">
        <f ca="1">IF(N(O147)&gt;0,VLOOKUP(O147,Hraci!$A$1:$I$1500,5,0),IF(TYPE(INDIRECT(ADDRESS(ROW() + $A$9-8 + (ROW()-11)*4,3,1,1,"Internet")))&gt;1,INDIRECT(ADDRESS(ROW() + $A$9-8 + (ROW()-11)*4,3,1,1,"Internet"))," "))</f>
        <v xml:space="preserve"> </v>
      </c>
      <c r="S147" s="472">
        <f ca="1">IF(N(O147)=0,9999,VLOOKUP(O147,Hraci!$A$1:$I$1500,8,0))</f>
        <v>9999</v>
      </c>
      <c r="T147" s="473">
        <f ca="1">IF(N(O147)=0,0,VLOOKUP(O147,Hraci!$A$1:$I$1500,9,0))</f>
        <v>0</v>
      </c>
      <c r="U147" s="469" t="str">
        <f t="shared" ca="1" si="73"/>
        <v/>
      </c>
      <c r="V147" s="470" t="str">
        <f ca="1">IF(N(U147)&gt;0,VLOOKUP(U147,Hraci!$A$1:$I$1500,2,0),IF(TYPE(INDIRECT(ADDRESS(ROW() + $A$9-7 + (ROW()-11)*4,2,1,1,"Internet")))&gt;1,INDIRECT(ADDRESS(ROW() + $A$9-7 + (ROW()-11)*4,2,1,1,"Internet"))," "))</f>
        <v xml:space="preserve"> </v>
      </c>
      <c r="W147" s="471" t="str">
        <f ca="1">IF(N(U147)&gt;0,VLOOKUP(U147,Hraci!$A$1:$I$1500,3,0)," ")</f>
        <v xml:space="preserve"> </v>
      </c>
      <c r="X147" s="471" t="str">
        <f ca="1">IF(N(U147)&gt;0,VLOOKUP(U147,Hraci!$A$1:$I$1500,5,0),IF(TYPE(INDIRECT(ADDRESS(ROW() + $A$9-7 + (ROW()-11)*4,3,1,1,"Internet")))&gt;1,INDIRECT(ADDRESS(ROW() + $A$9-7 + (ROW()-11)*4,3,1,1,"Internet"))," "))</f>
        <v xml:space="preserve"> </v>
      </c>
      <c r="Y147" s="472">
        <f ca="1">IF(N(U147)=0,9999,VLOOKUP(U147,Hraci!$A$1:$I$1500,8,0))</f>
        <v>9999</v>
      </c>
      <c r="Z147" s="473">
        <f ca="1">IF(N(U147)=0,0,VLOOKUP(U147,Hraci!$A$1:$I$1500,9,0))</f>
        <v>0</v>
      </c>
      <c r="AA147" s="469" t="str">
        <f t="shared" ca="1" si="74"/>
        <v/>
      </c>
      <c r="AB147" s="470" t="str">
        <f ca="1">IF(N(AA147)&gt;0,VLOOKUP(AA147,Hraci!$A$1:$I$1500,2,0)," ")</f>
        <v xml:space="preserve"> </v>
      </c>
      <c r="AC147" s="471" t="str">
        <f ca="1">IF(N(AA147)&gt;0,VLOOKUP(AA147,Hraci!$A$1:$I$1500,3,0)," ")</f>
        <v xml:space="preserve"> </v>
      </c>
      <c r="AD147" s="471" t="str">
        <f ca="1">IF(N(AA147)&gt;0,VLOOKUP(AA147,Hraci!$A$1:$I$1500,5,0)," ")</f>
        <v xml:space="preserve"> </v>
      </c>
      <c r="AE147" s="472">
        <f ca="1">IF(N(AA147)=0,9999,VLOOKUP(AA147,Hraci!$A$1:$I$1500,8,0))</f>
        <v>9999</v>
      </c>
      <c r="AF147" s="473">
        <f ca="1">IF(N(AA147)=0,0,VLOOKUP(AA147,Hraci!$A$1:$I$1500,9,0))</f>
        <v>0</v>
      </c>
      <c r="AG147" s="474"/>
      <c r="AH147" s="480">
        <v>129</v>
      </c>
      <c r="AI147" s="475">
        <f ca="1">IF(N($AH147)&gt;0,VLOOKUP($AH147,Body!$A$4:$F$259,5,0),"")</f>
        <v>553.40650000000005</v>
      </c>
      <c r="AJ147" s="476">
        <f ca="1">IF(N($AH147)&gt;0,VLOOKUP($AH147,Body!$A$4:$F$259,6,0),"")</f>
        <v>200</v>
      </c>
      <c r="AK147" s="475">
        <f ca="1">IF(N($AH147)&gt;0,VLOOKUP($AH147,Body!$A$4:$F$259,2,0),"")</f>
        <v>8</v>
      </c>
      <c r="AL147" s="477" t="str">
        <f t="shared" ca="1" si="61"/>
        <v>137 SK Pétanque Řepy - Klazarová Vlasta</v>
      </c>
      <c r="AM147" s="478">
        <f t="shared" ca="1" si="62"/>
        <v>2.7509999999999999</v>
      </c>
      <c r="AN147" s="408">
        <f ca="1">IF(OR(TYPE(I147)&gt;1,TYPE(MATCH(I147,I148:I$267,0))&gt;1),0,MATCH(I147,I148:I$267,0))+IF(OR(TYPE(I147)&gt;1,TYPE(MATCH(I147,O$11:O$267,0))&gt;1),0,MATCH(I147,O$11:O$267,0))+IF(OR(TYPE(I147)&gt;1,TYPE(MATCH(I147,U$11:U$267,0))&gt;1),0,MATCH(I147,U$11:U$267,0))+IF(OR(TYPE(I147)&gt;1,TYPE(MATCH(I147,AA$11:AA$267,0))&gt;1),0,MATCH(I147,AA$11:AA$267,0))</f>
        <v>0</v>
      </c>
      <c r="AO147" s="408">
        <f ca="1">IF(OR(TYPE(O147)&gt;1,TYPE(MATCH(O147,I$11:I$267,0))&gt;1),0,MATCH(O147,I$11:I$267,0))+IF(OR(TYPE(O147)&gt;1,TYPE(MATCH(O147,O148:O$267,0))&gt;1),0,MATCH(O147,O148:O$267,0))+IF(OR(TYPE(O147)&gt;1,TYPE(MATCH(O147,U$11:U$267,0))&gt;1),0,MATCH(O147,U$11:U$267,0))+IF(OR(TYPE(O147)&gt;1,TYPE(MATCH(O147,AA$11:AA$267,0))&gt;1),0,MATCH(O147,AA$11:AA$267,0))</f>
        <v>0</v>
      </c>
      <c r="AP147" s="408">
        <f ca="1">IF(OR(TYPE(U147)&gt;1,TYPE(MATCH(U147,I$11:I$267,0))&gt;1),0,MATCH(U147,I$11:I$267,0))+IF(OR(TYPE(U147)&gt;1,TYPE(MATCH(U147,O$11:O$267,0))&gt;1),0,MATCH(U147,O$11:O$267,0))+IF(OR(TYPE(U147)&gt;1,TYPE(MATCH(U147,U148:U$267,0))&gt;1),0,MATCH(U147,U148:U$267,0))+IF(OR(TYPE(U147)&gt;1,TYPE(MATCH(U147,AA$11:AA$267,0))&gt;1),0,MATCH(U147,AA$11:AA$267,0))</f>
        <v>0</v>
      </c>
      <c r="AQ147" s="408">
        <f ca="1">IF(OR(TYPE(AA147)&gt;1,TYPE(MATCH(AA147,I$11:I$267,0))&gt;1),0,MATCH(AA147,I$11:I$267,0))+IF(OR(TYPE(AA147)&gt;1,TYPE(MATCH(AA147,O$11:O$267,0))&gt;1),0,MATCH(AA147,O$11:O$267,0))+IF(OR(TYPE(AA147)&gt;1,TYPE(MATCH(AA147,U$11:U$267,0))&gt;1),0,MATCH(U147,U$11:U$267,0))+IF(OR(TYPE(AA147)&gt;1,TYPE(MATCH(AA147,AA148:AA$267,0))&gt;1),0,MATCH(AA147,AA148:AA$267,0))</f>
        <v>0</v>
      </c>
      <c r="AR147" s="408">
        <f t="shared" ca="1" si="64"/>
        <v>0</v>
      </c>
    </row>
    <row r="148" spans="1:58" ht="15" thickBot="1">
      <c r="A148" s="430">
        <f t="shared" ca="1" si="65"/>
        <v>1</v>
      </c>
      <c r="B148" s="430">
        <f t="shared" ca="1" si="66"/>
        <v>1</v>
      </c>
      <c r="C148" s="430">
        <f t="shared" ca="1" si="67"/>
        <v>1.97</v>
      </c>
      <c r="D148" s="430">
        <f t="shared" ca="1" si="68"/>
        <v>20515</v>
      </c>
      <c r="E148" s="430">
        <f t="shared" ca="1" si="69"/>
        <v>517</v>
      </c>
      <c r="F148" s="431" t="str">
        <f t="shared" ca="1" si="63"/>
        <v>01000000000000000000282476</v>
      </c>
      <c r="G148" s="467" t="b">
        <f t="shared" ca="1" si="70"/>
        <v>0</v>
      </c>
      <c r="H148" s="468">
        <f t="shared" si="60"/>
        <v>138</v>
      </c>
      <c r="I148" s="469">
        <f t="shared" ca="1" si="71"/>
        <v>20614</v>
      </c>
      <c r="J148" s="470" t="str">
        <f ca="1">IF(N(I148)&gt;0,VLOOKUP(I148,Hraci!$A$1:$I$1500,2,0),IF(TYPE(INDIRECT(ADDRESS(ROW() + $A$9-9 + (ROW()-11)*4,2,1,1,"Internet")))&gt;1,INDIRECT(ADDRESS(ROW() + $A$9-9 + (ROW()-11)*4,2,1,1,"Internet"))," "))</f>
        <v>Mullerová</v>
      </c>
      <c r="K148" s="471" t="str">
        <f ca="1">IF(N(I148)&gt;0,VLOOKUP(I148,Hraci!$A$1:$I$1500,3,0)," ")</f>
        <v>Jiřina</v>
      </c>
      <c r="L148" s="471" t="str">
        <f ca="1">IF(N(I148)&gt;0,VLOOKUP(I148,Hraci!$A$1:$I$1500,5,0),IF(TYPE(INDIRECT(ADDRESS(ROW() + $A$9-9 + (ROW()-11)*4,3,1,1,"Internet")))&gt;1,INDIRECT(ADDRESS(ROW() + $A$9-9 + (ROW()-11)*4,3,1,1,"Internet"))," "))</f>
        <v>SK Pétanque Řepy</v>
      </c>
      <c r="M148" s="472">
        <f ca="1">IF(N(I148)=0,9999,VLOOKUP(I148,Hraci!$A$1:$I$1500,8,0))</f>
        <v>517</v>
      </c>
      <c r="N148" s="473">
        <f ca="1">IF(N(I148)=0,0,VLOOKUP(I148,Hraci!$A$1:$I$1500,9,0))</f>
        <v>1.97</v>
      </c>
      <c r="O148" s="469" t="str">
        <f t="shared" ca="1" si="72"/>
        <v/>
      </c>
      <c r="P148" s="470" t="str">
        <f ca="1">IF(N(O148)&gt;0,VLOOKUP(O148,Hraci!$A$1:$I$1500,2,0),IF(TYPE(INDIRECT(ADDRESS(ROW() + $A$9-8 + (ROW()-11)*4,2,1,1,"Internet")))&gt;1,INDIRECT(ADDRESS(ROW() + $A$9-8 + (ROW()-11)*4,2,1,1,"Internet"))," "))</f>
        <v xml:space="preserve"> </v>
      </c>
      <c r="Q148" s="471" t="str">
        <f ca="1">IF(N(O148)&gt;0,VLOOKUP(O148,Hraci!$A$1:$I$1500,3,0)," ")</f>
        <v xml:space="preserve"> </v>
      </c>
      <c r="R148" s="471" t="str">
        <f ca="1">IF(N(O148)&gt;0,VLOOKUP(O148,Hraci!$A$1:$I$1500,5,0),IF(TYPE(INDIRECT(ADDRESS(ROW() + $A$9-8 + (ROW()-11)*4,3,1,1,"Internet")))&gt;1,INDIRECT(ADDRESS(ROW() + $A$9-8 + (ROW()-11)*4,3,1,1,"Internet"))," "))</f>
        <v xml:space="preserve"> </v>
      </c>
      <c r="S148" s="472">
        <f ca="1">IF(N(O148)=0,9999,VLOOKUP(O148,Hraci!$A$1:$I$1500,8,0))</f>
        <v>9999</v>
      </c>
      <c r="T148" s="473">
        <f ca="1">IF(N(O148)=0,0,VLOOKUP(O148,Hraci!$A$1:$I$1500,9,0))</f>
        <v>0</v>
      </c>
      <c r="U148" s="469" t="str">
        <f t="shared" ca="1" si="73"/>
        <v/>
      </c>
      <c r="V148" s="470" t="str">
        <f ca="1">IF(N(U148)&gt;0,VLOOKUP(U148,Hraci!$A$1:$I$1500,2,0),IF(TYPE(INDIRECT(ADDRESS(ROW() + $A$9-7 + (ROW()-11)*4,2,1,1,"Internet")))&gt;1,INDIRECT(ADDRESS(ROW() + $A$9-7 + (ROW()-11)*4,2,1,1,"Internet"))," "))</f>
        <v xml:space="preserve"> </v>
      </c>
      <c r="W148" s="471" t="str">
        <f ca="1">IF(N(U148)&gt;0,VLOOKUP(U148,Hraci!$A$1:$I$1500,3,0)," ")</f>
        <v xml:space="preserve"> </v>
      </c>
      <c r="X148" s="471" t="str">
        <f ca="1">IF(N(U148)&gt;0,VLOOKUP(U148,Hraci!$A$1:$I$1500,5,0),IF(TYPE(INDIRECT(ADDRESS(ROW() + $A$9-7 + (ROW()-11)*4,3,1,1,"Internet")))&gt;1,INDIRECT(ADDRESS(ROW() + $A$9-7 + (ROW()-11)*4,3,1,1,"Internet"))," "))</f>
        <v xml:space="preserve"> </v>
      </c>
      <c r="Y148" s="472">
        <f ca="1">IF(N(U148)=0,9999,VLOOKUP(U148,Hraci!$A$1:$I$1500,8,0))</f>
        <v>9999</v>
      </c>
      <c r="Z148" s="473">
        <f ca="1">IF(N(U148)=0,0,VLOOKUP(U148,Hraci!$A$1:$I$1500,9,0))</f>
        <v>0</v>
      </c>
      <c r="AA148" s="469" t="str">
        <f t="shared" ca="1" si="74"/>
        <v/>
      </c>
      <c r="AB148" s="470" t="str">
        <f ca="1">IF(N(AA148)&gt;0,VLOOKUP(AA148,Hraci!$A$1:$I$1500,2,0)," ")</f>
        <v xml:space="preserve"> </v>
      </c>
      <c r="AC148" s="471" t="str">
        <f ca="1">IF(N(AA148)&gt;0,VLOOKUP(AA148,Hraci!$A$1:$I$1500,3,0)," ")</f>
        <v xml:space="preserve"> </v>
      </c>
      <c r="AD148" s="471" t="str">
        <f ca="1">IF(N(AA148)&gt;0,VLOOKUP(AA148,Hraci!$A$1:$I$1500,5,0)," ")</f>
        <v xml:space="preserve"> </v>
      </c>
      <c r="AE148" s="472">
        <f ca="1">IF(N(AA148)=0,9999,VLOOKUP(AA148,Hraci!$A$1:$I$1500,8,0))</f>
        <v>9999</v>
      </c>
      <c r="AF148" s="473">
        <f ca="1">IF(N(AA148)=0,0,VLOOKUP(AA148,Hraci!$A$1:$I$1500,9,0))</f>
        <v>0</v>
      </c>
      <c r="AG148" s="474"/>
      <c r="AH148" s="480">
        <v>143</v>
      </c>
      <c r="AI148" s="475">
        <f ca="1">IF(N($AH148)&gt;0,VLOOKUP($AH148,Body!$A$4:$F$259,5,0),"")</f>
        <v>20</v>
      </c>
      <c r="AJ148" s="476">
        <f ca="1">IF(N($AH148)&gt;0,VLOOKUP($AH148,Body!$A$4:$F$259,6,0),"")</f>
        <v>0</v>
      </c>
      <c r="AK148" s="475">
        <f ca="1">IF(N($AH148)&gt;0,VLOOKUP($AH148,Body!$A$4:$F$259,2,0),"")</f>
        <v>0</v>
      </c>
      <c r="AL148" s="477" t="str">
        <f t="shared" ca="1" si="61"/>
        <v>138 SK Pétanque Řepy - Mullerová Jiřina</v>
      </c>
      <c r="AM148" s="478">
        <f t="shared" ca="1" si="62"/>
        <v>1.97</v>
      </c>
      <c r="AN148" s="408">
        <f ca="1">IF(OR(TYPE(I148)&gt;1,TYPE(MATCH(I148,I149:I$267,0))&gt;1),0,MATCH(I148,I149:I$267,0))+IF(OR(TYPE(I148)&gt;1,TYPE(MATCH(I148,O$11:O$267,0))&gt;1),0,MATCH(I148,O$11:O$267,0))+IF(OR(TYPE(I148)&gt;1,TYPE(MATCH(I148,U$11:U$267,0))&gt;1),0,MATCH(I148,U$11:U$267,0))+IF(OR(TYPE(I148)&gt;1,TYPE(MATCH(I148,AA$11:AA$267,0))&gt;1),0,MATCH(I148,AA$11:AA$267,0))</f>
        <v>0</v>
      </c>
      <c r="AO148" s="408">
        <f ca="1">IF(OR(TYPE(O148)&gt;1,TYPE(MATCH(O148,I$11:I$267,0))&gt;1),0,MATCH(O148,I$11:I$267,0))+IF(OR(TYPE(O148)&gt;1,TYPE(MATCH(O148,O149:O$267,0))&gt;1),0,MATCH(O148,O149:O$267,0))+IF(OR(TYPE(O148)&gt;1,TYPE(MATCH(O148,U$11:U$267,0))&gt;1),0,MATCH(O148,U$11:U$267,0))+IF(OR(TYPE(O148)&gt;1,TYPE(MATCH(O148,AA$11:AA$267,0))&gt;1),0,MATCH(O148,AA$11:AA$267,0))</f>
        <v>0</v>
      </c>
      <c r="AP148" s="408">
        <f ca="1">IF(OR(TYPE(U148)&gt;1,TYPE(MATCH(U148,I$11:I$267,0))&gt;1),0,MATCH(U148,I$11:I$267,0))+IF(OR(TYPE(U148)&gt;1,TYPE(MATCH(U148,O$11:O$267,0))&gt;1),0,MATCH(U148,O$11:O$267,0))+IF(OR(TYPE(U148)&gt;1,TYPE(MATCH(U148,U149:U$267,0))&gt;1),0,MATCH(U148,U149:U$267,0))+IF(OR(TYPE(U148)&gt;1,TYPE(MATCH(U148,AA$11:AA$267,0))&gt;1),0,MATCH(U148,AA$11:AA$267,0))</f>
        <v>0</v>
      </c>
      <c r="AQ148" s="408">
        <f ca="1">IF(OR(TYPE(AA148)&gt;1,TYPE(MATCH(AA148,I$11:I$267,0))&gt;1),0,MATCH(AA148,I$11:I$267,0))+IF(OR(TYPE(AA148)&gt;1,TYPE(MATCH(AA148,O$11:O$267,0))&gt;1),0,MATCH(AA148,O$11:O$267,0))+IF(OR(TYPE(AA148)&gt;1,TYPE(MATCH(AA148,U$11:U$267,0))&gt;1),0,MATCH(U148,U$11:U$267,0))+IF(OR(TYPE(AA148)&gt;1,TYPE(MATCH(AA148,AA149:AA$267,0))&gt;1),0,MATCH(AA148,AA149:AA$267,0))</f>
        <v>0</v>
      </c>
      <c r="AR148" s="408">
        <f t="shared" ca="1" si="64"/>
        <v>0</v>
      </c>
    </row>
    <row r="149" spans="1:58" ht="15" thickTop="1">
      <c r="A149" s="466">
        <f t="shared" ca="1" si="65"/>
        <v>1</v>
      </c>
      <c r="B149" s="466">
        <f t="shared" ca="1" si="66"/>
        <v>1</v>
      </c>
      <c r="C149" s="466">
        <f t="shared" ca="1" si="67"/>
        <v>1.4379999999999999</v>
      </c>
      <c r="D149" s="466">
        <f t="shared" ca="1" si="68"/>
        <v>20426</v>
      </c>
      <c r="E149" s="430">
        <f t="shared" ca="1" si="69"/>
        <v>428</v>
      </c>
      <c r="F149" s="431" t="str">
        <f t="shared" ca="1" si="63"/>
        <v>01000000000000000000772937</v>
      </c>
      <c r="G149" s="467" t="b">
        <f t="shared" ca="1" si="70"/>
        <v>0</v>
      </c>
      <c r="H149" s="468">
        <f t="shared" si="60"/>
        <v>139</v>
      </c>
      <c r="I149" s="469">
        <f t="shared" ca="1" si="71"/>
        <v>96115</v>
      </c>
      <c r="J149" s="470" t="str">
        <f ca="1">IF(N(I149)&gt;0,VLOOKUP(I149,Hraci!$A$1:$I$1500,2,0),IF(TYPE(INDIRECT(ADDRESS(ROW() + $A$9-9 + (ROW()-11)*4,2,1,1,"Internet")))&gt;1,INDIRECT(ADDRESS(ROW() + $A$9-9 + (ROW()-11)*4,2,1,1,"Internet"))," "))</f>
        <v>Karbulka</v>
      </c>
      <c r="K149" s="471" t="str">
        <f ca="1">IF(N(I149)&gt;0,VLOOKUP(I149,Hraci!$A$1:$I$1500,3,0)," ")</f>
        <v>Jan</v>
      </c>
      <c r="L149" s="471" t="str">
        <f ca="1">IF(N(I149)&gt;0,VLOOKUP(I149,Hraci!$A$1:$I$1500,5,0),IF(TYPE(INDIRECT(ADDRESS(ROW() + $A$9-9 + (ROW()-11)*4,3,1,1,"Internet")))&gt;1,INDIRECT(ADDRESS(ROW() + $A$9-9 + (ROW()-11)*4,3,1,1,"Internet"))," "))</f>
        <v>ČPK Poděbrady</v>
      </c>
      <c r="M149" s="472">
        <f ca="1">IF(N(I149)=0,9999,VLOOKUP(I149,Hraci!$A$1:$I$1500,8,0))</f>
        <v>428</v>
      </c>
      <c r="N149" s="473">
        <f ca="1">IF(N(I149)=0,0,VLOOKUP(I149,Hraci!$A$1:$I$1500,9,0))</f>
        <v>1.4379999999999999</v>
      </c>
      <c r="O149" s="469" t="str">
        <f t="shared" ca="1" si="72"/>
        <v/>
      </c>
      <c r="P149" s="470" t="str">
        <f ca="1">IF(N(O149)&gt;0,VLOOKUP(O149,Hraci!$A$1:$I$1500,2,0),IF(TYPE(INDIRECT(ADDRESS(ROW() + $A$9-8 + (ROW()-11)*4,2,1,1,"Internet")))&gt;1,INDIRECT(ADDRESS(ROW() + $A$9-8 + (ROW()-11)*4,2,1,1,"Internet"))," "))</f>
        <v xml:space="preserve"> </v>
      </c>
      <c r="Q149" s="471" t="str">
        <f ca="1">IF(N(O149)&gt;0,VLOOKUP(O149,Hraci!$A$1:$I$1500,3,0)," ")</f>
        <v xml:space="preserve"> </v>
      </c>
      <c r="R149" s="471" t="str">
        <f ca="1">IF(N(O149)&gt;0,VLOOKUP(O149,Hraci!$A$1:$I$1500,5,0),IF(TYPE(INDIRECT(ADDRESS(ROW() + $A$9-8 + (ROW()-11)*4,3,1,1,"Internet")))&gt;1,INDIRECT(ADDRESS(ROW() + $A$9-8 + (ROW()-11)*4,3,1,1,"Internet"))," "))</f>
        <v xml:space="preserve"> </v>
      </c>
      <c r="S149" s="472">
        <f ca="1">IF(N(O149)=0,9999,VLOOKUP(O149,Hraci!$A$1:$I$1500,8,0))</f>
        <v>9999</v>
      </c>
      <c r="T149" s="473">
        <f ca="1">IF(N(O149)=0,0,VLOOKUP(O149,Hraci!$A$1:$I$1500,9,0))</f>
        <v>0</v>
      </c>
      <c r="U149" s="469" t="str">
        <f t="shared" ca="1" si="73"/>
        <v/>
      </c>
      <c r="V149" s="470" t="str">
        <f ca="1">IF(N(U149)&gt;0,VLOOKUP(U149,Hraci!$A$1:$I$1500,2,0),IF(TYPE(INDIRECT(ADDRESS(ROW() + $A$9-7 + (ROW()-11)*4,2,1,1,"Internet")))&gt;1,INDIRECT(ADDRESS(ROW() + $A$9-7 + (ROW()-11)*4,2,1,1,"Internet"))," "))</f>
        <v xml:space="preserve"> </v>
      </c>
      <c r="W149" s="471" t="str">
        <f ca="1">IF(N(U149)&gt;0,VLOOKUP(U149,Hraci!$A$1:$I$1500,3,0)," ")</f>
        <v xml:space="preserve"> </v>
      </c>
      <c r="X149" s="471" t="str">
        <f ca="1">IF(N(U149)&gt;0,VLOOKUP(U149,Hraci!$A$1:$I$1500,5,0),IF(TYPE(INDIRECT(ADDRESS(ROW() + $A$9-7 + (ROW()-11)*4,3,1,1,"Internet")))&gt;1,INDIRECT(ADDRESS(ROW() + $A$9-7 + (ROW()-11)*4,3,1,1,"Internet"))," "))</f>
        <v xml:space="preserve"> </v>
      </c>
      <c r="Y149" s="472">
        <f ca="1">IF(N(U149)=0,9999,VLOOKUP(U149,Hraci!$A$1:$I$1500,8,0))</f>
        <v>9999</v>
      </c>
      <c r="Z149" s="473">
        <f ca="1">IF(N(U149)=0,0,VLOOKUP(U149,Hraci!$A$1:$I$1500,9,0))</f>
        <v>0</v>
      </c>
      <c r="AA149" s="469" t="str">
        <f t="shared" ca="1" si="74"/>
        <v/>
      </c>
      <c r="AB149" s="470" t="str">
        <f ca="1">IF(N(AA149)&gt;0,VLOOKUP(AA149,Hraci!$A$1:$I$1500,2,0)," ")</f>
        <v xml:space="preserve"> </v>
      </c>
      <c r="AC149" s="471" t="str">
        <f ca="1">IF(N(AA149)&gt;0,VLOOKUP(AA149,Hraci!$A$1:$I$1500,3,0)," ")</f>
        <v xml:space="preserve"> </v>
      </c>
      <c r="AD149" s="471" t="str">
        <f ca="1">IF(N(AA149)&gt;0,VLOOKUP(AA149,Hraci!$A$1:$I$1500,5,0)," ")</f>
        <v xml:space="preserve"> </v>
      </c>
      <c r="AE149" s="472">
        <f ca="1">IF(N(AA149)=0,9999,VLOOKUP(AA149,Hraci!$A$1:$I$1500,8,0))</f>
        <v>9999</v>
      </c>
      <c r="AF149" s="473">
        <f ca="1">IF(N(AA149)=0,0,VLOOKUP(AA149,Hraci!$A$1:$I$1500,9,0))</f>
        <v>0</v>
      </c>
      <c r="AG149" s="474"/>
      <c r="AH149" s="480">
        <v>86</v>
      </c>
      <c r="AI149" s="475">
        <f ca="1">IF(N($AH149)&gt;0,VLOOKUP($AH149,Body!$A$4:$F$259,5,0),"")</f>
        <v>553.40650000000005</v>
      </c>
      <c r="AJ149" s="476">
        <f ca="1">IF(N($AH149)&gt;0,VLOOKUP($AH149,Body!$A$4:$F$259,6,0),"")</f>
        <v>200</v>
      </c>
      <c r="AK149" s="475">
        <f ca="1">IF(N($AH149)&gt;0,VLOOKUP($AH149,Body!$A$4:$F$259,2,0),"")</f>
        <v>8</v>
      </c>
      <c r="AL149" s="477" t="str">
        <f t="shared" ca="1" si="61"/>
        <v>139 ČPK Poděbrady - Karbulka Jan</v>
      </c>
      <c r="AM149" s="478">
        <f t="shared" ca="1" si="62"/>
        <v>1.4379999999999999</v>
      </c>
      <c r="AN149" s="408">
        <f ca="1">IF(OR(TYPE(I149)&gt;1,TYPE(MATCH(I149,I150:I$267,0))&gt;1),0,MATCH(I149,I150:I$267,0))+IF(OR(TYPE(I149)&gt;1,TYPE(MATCH(I149,O$11:O$267,0))&gt;1),0,MATCH(I149,O$11:O$267,0))+IF(OR(TYPE(I149)&gt;1,TYPE(MATCH(I149,U$11:U$267,0))&gt;1),0,MATCH(I149,U$11:U$267,0))+IF(OR(TYPE(I149)&gt;1,TYPE(MATCH(I149,AA$11:AA$267,0))&gt;1),0,MATCH(I149,AA$11:AA$267,0))</f>
        <v>0</v>
      </c>
      <c r="AO149" s="408">
        <f ca="1">IF(OR(TYPE(O149)&gt;1,TYPE(MATCH(O149,I$11:I$267,0))&gt;1),0,MATCH(O149,I$11:I$267,0))+IF(OR(TYPE(O149)&gt;1,TYPE(MATCH(O149,O150:O$267,0))&gt;1),0,MATCH(O149,O150:O$267,0))+IF(OR(TYPE(O149)&gt;1,TYPE(MATCH(O149,U$11:U$267,0))&gt;1),0,MATCH(O149,U$11:U$267,0))+IF(OR(TYPE(O149)&gt;1,TYPE(MATCH(O149,AA$11:AA$267,0))&gt;1),0,MATCH(O149,AA$11:AA$267,0))</f>
        <v>0</v>
      </c>
      <c r="AP149" s="408">
        <f ca="1">IF(OR(TYPE(U149)&gt;1,TYPE(MATCH(U149,I$11:I$267,0))&gt;1),0,MATCH(U149,I$11:I$267,0))+IF(OR(TYPE(U149)&gt;1,TYPE(MATCH(U149,O$11:O$267,0))&gt;1),0,MATCH(U149,O$11:O$267,0))+IF(OR(TYPE(U149)&gt;1,TYPE(MATCH(U149,U150:U$267,0))&gt;1),0,MATCH(U149,U150:U$267,0))+IF(OR(TYPE(U149)&gt;1,TYPE(MATCH(U149,AA$11:AA$267,0))&gt;1),0,MATCH(U149,AA$11:AA$267,0))</f>
        <v>0</v>
      </c>
      <c r="AQ149" s="408">
        <f ca="1">IF(OR(TYPE(AA149)&gt;1,TYPE(MATCH(AA149,I$11:I$267,0))&gt;1),0,MATCH(AA149,I$11:I$267,0))+IF(OR(TYPE(AA149)&gt;1,TYPE(MATCH(AA149,O$11:O$267,0))&gt;1),0,MATCH(AA149,O$11:O$267,0))+IF(OR(TYPE(AA149)&gt;1,TYPE(MATCH(AA149,U$11:U$267,0))&gt;1),0,MATCH(U149,U$11:U$267,0))+IF(OR(TYPE(AA149)&gt;1,TYPE(MATCH(AA149,AA150:AA$267,0))&gt;1),0,MATCH(AA149,AA150:AA$267,0))</f>
        <v>0</v>
      </c>
      <c r="AR149" s="408">
        <f ca="1">SUM(AN149:AQ149)</f>
        <v>0</v>
      </c>
      <c r="BF149" s="408">
        <f>H149</f>
        <v>139</v>
      </c>
    </row>
    <row r="150" spans="1:58" ht="14.25">
      <c r="A150" s="430">
        <f t="shared" ca="1" si="65"/>
        <v>1</v>
      </c>
      <c r="B150" s="430">
        <f t="shared" ca="1" si="66"/>
        <v>1</v>
      </c>
      <c r="C150" s="430">
        <f t="shared" ca="1" si="67"/>
        <v>1.3759999999999999</v>
      </c>
      <c r="D150" s="430">
        <f t="shared" ca="1" si="68"/>
        <v>20490</v>
      </c>
      <c r="E150" s="430">
        <f t="shared" ca="1" si="69"/>
        <v>492</v>
      </c>
      <c r="F150" s="431" t="str">
        <f t="shared" ca="1" si="63"/>
        <v>01000000000000000000491784</v>
      </c>
      <c r="G150" s="467" t="b">
        <f t="shared" ca="1" si="70"/>
        <v>0</v>
      </c>
      <c r="H150" s="468">
        <f t="shared" si="60"/>
        <v>140</v>
      </c>
      <c r="I150" s="469">
        <f t="shared" ca="1" si="71"/>
        <v>20570</v>
      </c>
      <c r="J150" s="470" t="str">
        <f ca="1">IF(N(I150)&gt;0,VLOOKUP(I150,Hraci!$A$1:$I$1500,2,0),IF(TYPE(INDIRECT(ADDRESS(ROW() + $A$9-9 + (ROW()-11)*4,2,1,1,"Internet")))&gt;1,INDIRECT(ADDRESS(ROW() + $A$9-9 + (ROW()-11)*4,2,1,1,"Internet"))," "))</f>
        <v>Loprais</v>
      </c>
      <c r="K150" s="471" t="str">
        <f ca="1">IF(N(I150)&gt;0,VLOOKUP(I150,Hraci!$A$1:$I$1500,3,0)," ")</f>
        <v>Zdeněk</v>
      </c>
      <c r="L150" s="471" t="str">
        <f ca="1">IF(N(I150)&gt;0,VLOOKUP(I150,Hraci!$A$1:$I$1500,5,0),IF(TYPE(INDIRECT(ADDRESS(ROW() + $A$9-9 + (ROW()-11)*4,3,1,1,"Internet")))&gt;1,INDIRECT(ADDRESS(ROW() + $A$9-9 + (ROW()-11)*4,3,1,1,"Internet"))," "))</f>
        <v>PKT Velký Šanc</v>
      </c>
      <c r="M150" s="472">
        <f ca="1">IF(N(I150)=0,9999,VLOOKUP(I150,Hraci!$A$1:$I$1500,8,0))</f>
        <v>492</v>
      </c>
      <c r="N150" s="473">
        <f ca="1">IF(N(I150)=0,0,VLOOKUP(I150,Hraci!$A$1:$I$1500,9,0))</f>
        <v>1.3759999999999999</v>
      </c>
      <c r="O150" s="469" t="str">
        <f t="shared" ca="1" si="72"/>
        <v/>
      </c>
      <c r="P150" s="470" t="str">
        <f ca="1">IF(N(O150)&gt;0,VLOOKUP(O150,Hraci!$A$1:$I$1500,2,0),IF(TYPE(INDIRECT(ADDRESS(ROW() + $A$9-8 + (ROW()-11)*4,2,1,1,"Internet")))&gt;1,INDIRECT(ADDRESS(ROW() + $A$9-8 + (ROW()-11)*4,2,1,1,"Internet"))," "))</f>
        <v xml:space="preserve"> </v>
      </c>
      <c r="Q150" s="471" t="str">
        <f ca="1">IF(N(O150)&gt;0,VLOOKUP(O150,Hraci!$A$1:$I$1500,3,0)," ")</f>
        <v xml:space="preserve"> </v>
      </c>
      <c r="R150" s="471" t="str">
        <f ca="1">IF(N(O150)&gt;0,VLOOKUP(O150,Hraci!$A$1:$I$1500,5,0),IF(TYPE(INDIRECT(ADDRESS(ROW() + $A$9-8 + (ROW()-11)*4,3,1,1,"Internet")))&gt;1,INDIRECT(ADDRESS(ROW() + $A$9-8 + (ROW()-11)*4,3,1,1,"Internet"))," "))</f>
        <v xml:space="preserve"> </v>
      </c>
      <c r="S150" s="472">
        <f ca="1">IF(N(O150)=0,9999,VLOOKUP(O150,Hraci!$A$1:$I$1500,8,0))</f>
        <v>9999</v>
      </c>
      <c r="T150" s="473">
        <f ca="1">IF(N(O150)=0,0,VLOOKUP(O150,Hraci!$A$1:$I$1500,9,0))</f>
        <v>0</v>
      </c>
      <c r="U150" s="469" t="str">
        <f t="shared" ca="1" si="73"/>
        <v/>
      </c>
      <c r="V150" s="470" t="str">
        <f ca="1">IF(N(U150)&gt;0,VLOOKUP(U150,Hraci!$A$1:$I$1500,2,0),IF(TYPE(INDIRECT(ADDRESS(ROW() + $A$9-7 + (ROW()-11)*4,2,1,1,"Internet")))&gt;1,INDIRECT(ADDRESS(ROW() + $A$9-7 + (ROW()-11)*4,2,1,1,"Internet"))," "))</f>
        <v xml:space="preserve"> </v>
      </c>
      <c r="W150" s="471" t="str">
        <f ca="1">IF(N(U150)&gt;0,VLOOKUP(U150,Hraci!$A$1:$I$1500,3,0)," ")</f>
        <v xml:space="preserve"> </v>
      </c>
      <c r="X150" s="471" t="str">
        <f ca="1">IF(N(U150)&gt;0,VLOOKUP(U150,Hraci!$A$1:$I$1500,5,0),IF(TYPE(INDIRECT(ADDRESS(ROW() + $A$9-7 + (ROW()-11)*4,3,1,1,"Internet")))&gt;1,INDIRECT(ADDRESS(ROW() + $A$9-7 + (ROW()-11)*4,3,1,1,"Internet"))," "))</f>
        <v xml:space="preserve"> </v>
      </c>
      <c r="Y150" s="472">
        <f ca="1">IF(N(U150)=0,9999,VLOOKUP(U150,Hraci!$A$1:$I$1500,8,0))</f>
        <v>9999</v>
      </c>
      <c r="Z150" s="473">
        <f ca="1">IF(N(U150)=0,0,VLOOKUP(U150,Hraci!$A$1:$I$1500,9,0))</f>
        <v>0</v>
      </c>
      <c r="AA150" s="469" t="str">
        <f t="shared" ca="1" si="74"/>
        <v/>
      </c>
      <c r="AB150" s="470" t="str">
        <f ca="1">IF(N(AA150)&gt;0,VLOOKUP(AA150,Hraci!$A$1:$I$1500,2,0)," ")</f>
        <v xml:space="preserve"> </v>
      </c>
      <c r="AC150" s="471" t="str">
        <f ca="1">IF(N(AA150)&gt;0,VLOOKUP(AA150,Hraci!$A$1:$I$1500,3,0)," ")</f>
        <v xml:space="preserve"> </v>
      </c>
      <c r="AD150" s="471" t="str">
        <f ca="1">IF(N(AA150)&gt;0,VLOOKUP(AA150,Hraci!$A$1:$I$1500,5,0)," ")</f>
        <v xml:space="preserve"> </v>
      </c>
      <c r="AE150" s="472">
        <f ca="1">IF(N(AA150)=0,9999,VLOOKUP(AA150,Hraci!$A$1:$I$1500,8,0))</f>
        <v>9999</v>
      </c>
      <c r="AF150" s="473">
        <f ca="1">IF(N(AA150)=0,0,VLOOKUP(AA150,Hraci!$A$1:$I$1500,9,0))</f>
        <v>0</v>
      </c>
      <c r="AG150" s="474"/>
      <c r="AH150" s="480">
        <v>129</v>
      </c>
      <c r="AI150" s="475">
        <f ca="1">IF(N($AH150)&gt;0,VLOOKUP($AH150,Body!$A$4:$F$259,5,0),"")</f>
        <v>553.40650000000005</v>
      </c>
      <c r="AJ150" s="476">
        <f ca="1">IF(N($AH150)&gt;0,VLOOKUP($AH150,Body!$A$4:$F$259,6,0),"")</f>
        <v>200</v>
      </c>
      <c r="AK150" s="475">
        <f ca="1">IF(N($AH150)&gt;0,VLOOKUP($AH150,Body!$A$4:$F$259,2,0),"")</f>
        <v>8</v>
      </c>
      <c r="AL150" s="477" t="str">
        <f t="shared" ca="1" si="61"/>
        <v>140 PKT Velký Šanc - Loprais Zdeněk</v>
      </c>
      <c r="AM150" s="478">
        <f t="shared" ca="1" si="62"/>
        <v>1.3759999999999999</v>
      </c>
      <c r="AN150" s="408">
        <f ca="1">IF(OR(TYPE(I150)&gt;1,TYPE(MATCH(I150,I151:I$267,0))&gt;1),0,MATCH(I150,I151:I$267,0))+IF(OR(TYPE(I150)&gt;1,TYPE(MATCH(I150,O$11:O$267,0))&gt;1),0,MATCH(I150,O$11:O$267,0))+IF(OR(TYPE(I150)&gt;1,TYPE(MATCH(I150,U$11:U$267,0))&gt;1),0,MATCH(I150,U$11:U$267,0))+IF(OR(TYPE(I150)&gt;1,TYPE(MATCH(I150,AA$11:AA$267,0))&gt;1),0,MATCH(I150,AA$11:AA$267,0))</f>
        <v>0</v>
      </c>
      <c r="AO150" s="408">
        <f ca="1">IF(OR(TYPE(O150)&gt;1,TYPE(MATCH(O150,I$11:I$267,0))&gt;1),0,MATCH(O150,I$11:I$267,0))+IF(OR(TYPE(O150)&gt;1,TYPE(MATCH(O150,O151:O$267,0))&gt;1),0,MATCH(O150,O151:O$267,0))+IF(OR(TYPE(O150)&gt;1,TYPE(MATCH(O150,U$11:U$267,0))&gt;1),0,MATCH(O150,U$11:U$267,0))+IF(OR(TYPE(O150)&gt;1,TYPE(MATCH(O150,AA$11:AA$267,0))&gt;1),0,MATCH(O150,AA$11:AA$267,0))</f>
        <v>0</v>
      </c>
      <c r="AP150" s="408">
        <f ca="1">IF(OR(TYPE(U150)&gt;1,TYPE(MATCH(U150,I$11:I$267,0))&gt;1),0,MATCH(U150,I$11:I$267,0))+IF(OR(TYPE(U150)&gt;1,TYPE(MATCH(U150,O$11:O$267,0))&gt;1),0,MATCH(U150,O$11:O$267,0))+IF(OR(TYPE(U150)&gt;1,TYPE(MATCH(U150,U151:U$267,0))&gt;1),0,MATCH(U150,U151:U$267,0))+IF(OR(TYPE(U150)&gt;1,TYPE(MATCH(U150,AA$11:AA$267,0))&gt;1),0,MATCH(U150,AA$11:AA$267,0))</f>
        <v>0</v>
      </c>
      <c r="AQ150" s="408">
        <f ca="1">IF(OR(TYPE(AA150)&gt;1,TYPE(MATCH(AA150,I$11:I$267,0))&gt;1),0,MATCH(AA150,I$11:I$267,0))+IF(OR(TYPE(AA150)&gt;1,TYPE(MATCH(AA150,O$11:O$267,0))&gt;1),0,MATCH(AA150,O$11:O$267,0))+IF(OR(TYPE(AA150)&gt;1,TYPE(MATCH(AA150,U$11:U$267,0))&gt;1),0,MATCH(U150,U$11:U$267,0))+IF(OR(TYPE(AA150)&gt;1,TYPE(MATCH(AA150,AA151:AA$267,0))&gt;1),0,MATCH(AA150,AA151:AA$267,0))</f>
        <v>0</v>
      </c>
      <c r="AR150" s="408">
        <f t="shared" ref="AR150:AR213" ca="1" si="75">SUM(AN150:AQ150)</f>
        <v>0</v>
      </c>
      <c r="BF150" s="408">
        <f t="shared" ref="BF150:BF213" si="76">H150</f>
        <v>140</v>
      </c>
    </row>
    <row r="151" spans="1:58" ht="14.25">
      <c r="A151" s="430">
        <f t="shared" ca="1" si="65"/>
        <v>1</v>
      </c>
      <c r="B151" s="430">
        <f t="shared" ca="1" si="66"/>
        <v>1</v>
      </c>
      <c r="C151" s="430">
        <f t="shared" ca="1" si="67"/>
        <v>1.2190000000000001</v>
      </c>
      <c r="D151" s="430">
        <f t="shared" ca="1" si="68"/>
        <v>20457</v>
      </c>
      <c r="E151" s="430">
        <f t="shared" ca="1" si="69"/>
        <v>459</v>
      </c>
      <c r="F151" s="431" t="str">
        <f t="shared" ca="1" si="63"/>
        <v>01000000000000000000630635</v>
      </c>
      <c r="G151" s="467" t="b">
        <f t="shared" ca="1" si="70"/>
        <v>0</v>
      </c>
      <c r="H151" s="468">
        <f t="shared" si="60"/>
        <v>141</v>
      </c>
      <c r="I151" s="469">
        <f t="shared" ca="1" si="71"/>
        <v>20574</v>
      </c>
      <c r="J151" s="470" t="str">
        <f ca="1">IF(N(I151)&gt;0,VLOOKUP(I151,Hraci!$A$1:$I$1500,2,0),IF(TYPE(INDIRECT(ADDRESS(ROW() + $A$9-9 + (ROW()-11)*4,2,1,1,"Internet")))&gt;1,INDIRECT(ADDRESS(ROW() + $A$9-9 + (ROW()-11)*4,2,1,1,"Internet"))," "))</f>
        <v>Jarouš</v>
      </c>
      <c r="K151" s="471" t="str">
        <f ca="1">IF(N(I151)&gt;0,VLOOKUP(I151,Hraci!$A$1:$I$1500,3,0)," ")</f>
        <v>Vítek</v>
      </c>
      <c r="L151" s="471" t="str">
        <f ca="1">IF(N(I151)&gt;0,VLOOKUP(I151,Hraci!$A$1:$I$1500,5,0),IF(TYPE(INDIRECT(ADDRESS(ROW() + $A$9-9 + (ROW()-11)*4,3,1,1,"Internet")))&gt;1,INDIRECT(ADDRESS(ROW() + $A$9-9 + (ROW()-11)*4,3,1,1,"Internet"))," "))</f>
        <v>PC Sokol PP Hr. Králové</v>
      </c>
      <c r="M151" s="472">
        <f ca="1">IF(N(I151)=0,9999,VLOOKUP(I151,Hraci!$A$1:$I$1500,8,0))</f>
        <v>459</v>
      </c>
      <c r="N151" s="473">
        <f ca="1">IF(N(I151)=0,0,VLOOKUP(I151,Hraci!$A$1:$I$1500,9,0))</f>
        <v>1.2190000000000001</v>
      </c>
      <c r="O151" s="469" t="str">
        <f t="shared" ca="1" si="72"/>
        <v/>
      </c>
      <c r="P151" s="470" t="str">
        <f ca="1">IF(N(O151)&gt;0,VLOOKUP(O151,Hraci!$A$1:$I$1500,2,0),IF(TYPE(INDIRECT(ADDRESS(ROW() + $A$9-8 + (ROW()-11)*4,2,1,1,"Internet")))&gt;1,INDIRECT(ADDRESS(ROW() + $A$9-8 + (ROW()-11)*4,2,1,1,"Internet"))," "))</f>
        <v xml:space="preserve"> </v>
      </c>
      <c r="Q151" s="471" t="str">
        <f ca="1">IF(N(O151)&gt;0,VLOOKUP(O151,Hraci!$A$1:$I$1500,3,0)," ")</f>
        <v xml:space="preserve"> </v>
      </c>
      <c r="R151" s="471" t="str">
        <f ca="1">IF(N(O151)&gt;0,VLOOKUP(O151,Hraci!$A$1:$I$1500,5,0),IF(TYPE(INDIRECT(ADDRESS(ROW() + $A$9-8 + (ROW()-11)*4,3,1,1,"Internet")))&gt;1,INDIRECT(ADDRESS(ROW() + $A$9-8 + (ROW()-11)*4,3,1,1,"Internet"))," "))</f>
        <v xml:space="preserve"> </v>
      </c>
      <c r="S151" s="472">
        <f ca="1">IF(N(O151)=0,9999,VLOOKUP(O151,Hraci!$A$1:$I$1500,8,0))</f>
        <v>9999</v>
      </c>
      <c r="T151" s="473">
        <f ca="1">IF(N(O151)=0,0,VLOOKUP(O151,Hraci!$A$1:$I$1500,9,0))</f>
        <v>0</v>
      </c>
      <c r="U151" s="469" t="str">
        <f t="shared" ca="1" si="73"/>
        <v/>
      </c>
      <c r="V151" s="470" t="str">
        <f ca="1">IF(N(U151)&gt;0,VLOOKUP(U151,Hraci!$A$1:$I$1500,2,0),IF(TYPE(INDIRECT(ADDRESS(ROW() + $A$9-7 + (ROW()-11)*4,2,1,1,"Internet")))&gt;1,INDIRECT(ADDRESS(ROW() + $A$9-7 + (ROW()-11)*4,2,1,1,"Internet"))," "))</f>
        <v xml:space="preserve"> </v>
      </c>
      <c r="W151" s="471" t="str">
        <f ca="1">IF(N(U151)&gt;0,VLOOKUP(U151,Hraci!$A$1:$I$1500,3,0)," ")</f>
        <v xml:space="preserve"> </v>
      </c>
      <c r="X151" s="471" t="str">
        <f ca="1">IF(N(U151)&gt;0,VLOOKUP(U151,Hraci!$A$1:$I$1500,5,0),IF(TYPE(INDIRECT(ADDRESS(ROW() + $A$9-7 + (ROW()-11)*4,3,1,1,"Internet")))&gt;1,INDIRECT(ADDRESS(ROW() + $A$9-7 + (ROW()-11)*4,3,1,1,"Internet"))," "))</f>
        <v xml:space="preserve"> </v>
      </c>
      <c r="Y151" s="472">
        <f ca="1">IF(N(U151)=0,9999,VLOOKUP(U151,Hraci!$A$1:$I$1500,8,0))</f>
        <v>9999</v>
      </c>
      <c r="Z151" s="473">
        <f ca="1">IF(N(U151)=0,0,VLOOKUP(U151,Hraci!$A$1:$I$1500,9,0))</f>
        <v>0</v>
      </c>
      <c r="AA151" s="469" t="str">
        <f t="shared" ca="1" si="74"/>
        <v/>
      </c>
      <c r="AB151" s="470" t="str">
        <f ca="1">IF(N(AA151)&gt;0,VLOOKUP(AA151,Hraci!$A$1:$I$1500,2,0)," ")</f>
        <v xml:space="preserve"> </v>
      </c>
      <c r="AC151" s="471" t="str">
        <f ca="1">IF(N(AA151)&gt;0,VLOOKUP(AA151,Hraci!$A$1:$I$1500,3,0)," ")</f>
        <v xml:space="preserve"> </v>
      </c>
      <c r="AD151" s="471" t="str">
        <f ca="1">IF(N(AA151)&gt;0,VLOOKUP(AA151,Hraci!$A$1:$I$1500,5,0)," ")</f>
        <v xml:space="preserve"> </v>
      </c>
      <c r="AE151" s="472">
        <f ca="1">IF(N(AA151)=0,9999,VLOOKUP(AA151,Hraci!$A$1:$I$1500,8,0))</f>
        <v>9999</v>
      </c>
      <c r="AF151" s="473">
        <f ca="1">IF(N(AA151)=0,0,VLOOKUP(AA151,Hraci!$A$1:$I$1500,9,0))</f>
        <v>0</v>
      </c>
      <c r="AG151" s="474"/>
      <c r="AH151" s="480">
        <v>143</v>
      </c>
      <c r="AI151" s="475">
        <f ca="1">IF(N($AH151)&gt;0,VLOOKUP($AH151,Body!$A$4:$F$259,5,0),"")</f>
        <v>20</v>
      </c>
      <c r="AJ151" s="476">
        <f ca="1">IF(N($AH151)&gt;0,VLOOKUP($AH151,Body!$A$4:$F$259,6,0),"")</f>
        <v>0</v>
      </c>
      <c r="AK151" s="475">
        <f ca="1">IF(N($AH151)&gt;0,VLOOKUP($AH151,Body!$A$4:$F$259,2,0),"")</f>
        <v>0</v>
      </c>
      <c r="AL151" s="477" t="str">
        <f t="shared" ca="1" si="61"/>
        <v>141 PC Sokol PP Hr. Králové - Jarouš Vítek</v>
      </c>
      <c r="AM151" s="478">
        <f t="shared" ca="1" si="62"/>
        <v>1.2190000000000001</v>
      </c>
      <c r="AN151" s="408">
        <f ca="1">IF(OR(TYPE(I151)&gt;1,TYPE(MATCH(I151,I152:I$267,0))&gt;1),0,MATCH(I151,I152:I$267,0))+IF(OR(TYPE(I151)&gt;1,TYPE(MATCH(I151,O$11:O$267,0))&gt;1),0,MATCH(I151,O$11:O$267,0))+IF(OR(TYPE(I151)&gt;1,TYPE(MATCH(I151,U$11:U$267,0))&gt;1),0,MATCH(I151,U$11:U$267,0))+IF(OR(TYPE(I151)&gt;1,TYPE(MATCH(I151,AA$11:AA$267,0))&gt;1),0,MATCH(I151,AA$11:AA$267,0))</f>
        <v>0</v>
      </c>
      <c r="AO151" s="408">
        <f ca="1">IF(OR(TYPE(O151)&gt;1,TYPE(MATCH(O151,I$11:I$267,0))&gt;1),0,MATCH(O151,I$11:I$267,0))+IF(OR(TYPE(O151)&gt;1,TYPE(MATCH(O151,O152:O$267,0))&gt;1),0,MATCH(O151,O152:O$267,0))+IF(OR(TYPE(O151)&gt;1,TYPE(MATCH(O151,U$11:U$267,0))&gt;1),0,MATCH(O151,U$11:U$267,0))+IF(OR(TYPE(O151)&gt;1,TYPE(MATCH(O151,AA$11:AA$267,0))&gt;1),0,MATCH(O151,AA$11:AA$267,0))</f>
        <v>0</v>
      </c>
      <c r="AP151" s="408">
        <f ca="1">IF(OR(TYPE(U151)&gt;1,TYPE(MATCH(U151,I$11:I$267,0))&gt;1),0,MATCH(U151,I$11:I$267,0))+IF(OR(TYPE(U151)&gt;1,TYPE(MATCH(U151,O$11:O$267,0))&gt;1),0,MATCH(U151,O$11:O$267,0))+IF(OR(TYPE(U151)&gt;1,TYPE(MATCH(U151,U152:U$267,0))&gt;1),0,MATCH(U151,U152:U$267,0))+IF(OR(TYPE(U151)&gt;1,TYPE(MATCH(U151,AA$11:AA$267,0))&gt;1),0,MATCH(U151,AA$11:AA$267,0))</f>
        <v>0</v>
      </c>
      <c r="AQ151" s="408">
        <f ca="1">IF(OR(TYPE(AA151)&gt;1,TYPE(MATCH(AA151,I$11:I$267,0))&gt;1),0,MATCH(AA151,I$11:I$267,0))+IF(OR(TYPE(AA151)&gt;1,TYPE(MATCH(AA151,O$11:O$267,0))&gt;1),0,MATCH(AA151,O$11:O$267,0))+IF(OR(TYPE(AA151)&gt;1,TYPE(MATCH(AA151,U$11:U$267,0))&gt;1),0,MATCH(U151,U$11:U$267,0))+IF(OR(TYPE(AA151)&gt;1,TYPE(MATCH(AA151,AA152:AA$267,0))&gt;1),0,MATCH(AA151,AA152:AA$267,0))</f>
        <v>0</v>
      </c>
      <c r="AR151" s="408">
        <f t="shared" ca="1" si="75"/>
        <v>0</v>
      </c>
      <c r="BF151" s="408">
        <f t="shared" si="76"/>
        <v>141</v>
      </c>
    </row>
    <row r="152" spans="1:58" ht="14.25">
      <c r="A152" s="430">
        <f t="shared" ca="1" si="65"/>
        <v>1</v>
      </c>
      <c r="B152" s="430">
        <f t="shared" ca="1" si="66"/>
        <v>1</v>
      </c>
      <c r="C152" s="430">
        <f t="shared" ca="1" si="67"/>
        <v>0.93799999999999994</v>
      </c>
      <c r="D152" s="430">
        <f t="shared" ca="1" si="68"/>
        <v>20529</v>
      </c>
      <c r="E152" s="430">
        <f t="shared" ca="1" si="69"/>
        <v>531</v>
      </c>
      <c r="F152" s="431" t="str">
        <f t="shared" ca="1" si="63"/>
        <v>01000000000000000000135299</v>
      </c>
      <c r="G152" s="467" t="b">
        <f t="shared" ca="1" si="70"/>
        <v>0</v>
      </c>
      <c r="H152" s="468">
        <f t="shared" si="60"/>
        <v>142</v>
      </c>
      <c r="I152" s="469">
        <f t="shared" ca="1" si="71"/>
        <v>18042</v>
      </c>
      <c r="J152" s="470" t="str">
        <f ca="1">IF(N(I152)&gt;0,VLOOKUP(I152,Hraci!$A$1:$I$1500,2,0),IF(TYPE(INDIRECT(ADDRESS(ROW() + $A$9-9 + (ROW()-11)*4,2,1,1,"Internet")))&gt;1,INDIRECT(ADDRESS(ROW() + $A$9-9 + (ROW()-11)*4,2,1,1,"Internet"))," "))</f>
        <v>Rousek</v>
      </c>
      <c r="K152" s="471" t="str">
        <f ca="1">IF(N(I152)&gt;0,VLOOKUP(I152,Hraci!$A$1:$I$1500,3,0)," ")</f>
        <v>Simon</v>
      </c>
      <c r="L152" s="471" t="str">
        <f ca="1">IF(N(I152)&gt;0,VLOOKUP(I152,Hraci!$A$1:$I$1500,5,0),IF(TYPE(INDIRECT(ADDRESS(ROW() + $A$9-9 + (ROW()-11)*4,3,1,1,"Internet")))&gt;1,INDIRECT(ADDRESS(ROW() + $A$9-9 + (ROW()-11)*4,3,1,1,"Internet"))," "))</f>
        <v>PEK Stolín</v>
      </c>
      <c r="M152" s="472">
        <f ca="1">IF(N(I152)=0,9999,VLOOKUP(I152,Hraci!$A$1:$I$1500,8,0))</f>
        <v>531</v>
      </c>
      <c r="N152" s="473">
        <f ca="1">IF(N(I152)=0,0,VLOOKUP(I152,Hraci!$A$1:$I$1500,9,0))</f>
        <v>0.93799999999999994</v>
      </c>
      <c r="O152" s="469" t="str">
        <f t="shared" ca="1" si="72"/>
        <v/>
      </c>
      <c r="P152" s="470" t="str">
        <f ca="1">IF(N(O152)&gt;0,VLOOKUP(O152,Hraci!$A$1:$I$1500,2,0),IF(TYPE(INDIRECT(ADDRESS(ROW() + $A$9-8 + (ROW()-11)*4,2,1,1,"Internet")))&gt;1,INDIRECT(ADDRESS(ROW() + $A$9-8 + (ROW()-11)*4,2,1,1,"Internet"))," "))</f>
        <v xml:space="preserve"> </v>
      </c>
      <c r="Q152" s="471" t="str">
        <f ca="1">IF(N(O152)&gt;0,VLOOKUP(O152,Hraci!$A$1:$I$1500,3,0)," ")</f>
        <v xml:space="preserve"> </v>
      </c>
      <c r="R152" s="471" t="str">
        <f ca="1">IF(N(O152)&gt;0,VLOOKUP(O152,Hraci!$A$1:$I$1500,5,0),IF(TYPE(INDIRECT(ADDRESS(ROW() + $A$9-8 + (ROW()-11)*4,3,1,1,"Internet")))&gt;1,INDIRECT(ADDRESS(ROW() + $A$9-8 + (ROW()-11)*4,3,1,1,"Internet"))," "))</f>
        <v xml:space="preserve"> </v>
      </c>
      <c r="S152" s="472">
        <f ca="1">IF(N(O152)=0,9999,VLOOKUP(O152,Hraci!$A$1:$I$1500,8,0))</f>
        <v>9999</v>
      </c>
      <c r="T152" s="473">
        <f ca="1">IF(N(O152)=0,0,VLOOKUP(O152,Hraci!$A$1:$I$1500,9,0))</f>
        <v>0</v>
      </c>
      <c r="U152" s="469" t="str">
        <f t="shared" ca="1" si="73"/>
        <v/>
      </c>
      <c r="V152" s="470" t="str">
        <f ca="1">IF(N(U152)&gt;0,VLOOKUP(U152,Hraci!$A$1:$I$1500,2,0),IF(TYPE(INDIRECT(ADDRESS(ROW() + $A$9-7 + (ROW()-11)*4,2,1,1,"Internet")))&gt;1,INDIRECT(ADDRESS(ROW() + $A$9-7 + (ROW()-11)*4,2,1,1,"Internet"))," "))</f>
        <v xml:space="preserve"> </v>
      </c>
      <c r="W152" s="471" t="str">
        <f ca="1">IF(N(U152)&gt;0,VLOOKUP(U152,Hraci!$A$1:$I$1500,3,0)," ")</f>
        <v xml:space="preserve"> </v>
      </c>
      <c r="X152" s="471" t="str">
        <f ca="1">IF(N(U152)&gt;0,VLOOKUP(U152,Hraci!$A$1:$I$1500,5,0),IF(TYPE(INDIRECT(ADDRESS(ROW() + $A$9-7 + (ROW()-11)*4,3,1,1,"Internet")))&gt;1,INDIRECT(ADDRESS(ROW() + $A$9-7 + (ROW()-11)*4,3,1,1,"Internet"))," "))</f>
        <v xml:space="preserve"> </v>
      </c>
      <c r="Y152" s="472">
        <f ca="1">IF(N(U152)=0,9999,VLOOKUP(U152,Hraci!$A$1:$I$1500,8,0))</f>
        <v>9999</v>
      </c>
      <c r="Z152" s="473">
        <f ca="1">IF(N(U152)=0,0,VLOOKUP(U152,Hraci!$A$1:$I$1500,9,0))</f>
        <v>0</v>
      </c>
      <c r="AA152" s="469" t="str">
        <f t="shared" ca="1" si="74"/>
        <v/>
      </c>
      <c r="AB152" s="470" t="str">
        <f ca="1">IF(N(AA152)&gt;0,VLOOKUP(AA152,Hraci!$A$1:$I$1500,2,0)," ")</f>
        <v xml:space="preserve"> </v>
      </c>
      <c r="AC152" s="471" t="str">
        <f ca="1">IF(N(AA152)&gt;0,VLOOKUP(AA152,Hraci!$A$1:$I$1500,3,0)," ")</f>
        <v xml:space="preserve"> </v>
      </c>
      <c r="AD152" s="471" t="str">
        <f ca="1">IF(N(AA152)&gt;0,VLOOKUP(AA152,Hraci!$A$1:$I$1500,5,0)," ")</f>
        <v xml:space="preserve"> </v>
      </c>
      <c r="AE152" s="472">
        <f ca="1">IF(N(AA152)=0,9999,VLOOKUP(AA152,Hraci!$A$1:$I$1500,8,0))</f>
        <v>9999</v>
      </c>
      <c r="AF152" s="473">
        <f ca="1">IF(N(AA152)=0,0,VLOOKUP(AA152,Hraci!$A$1:$I$1500,9,0))</f>
        <v>0</v>
      </c>
      <c r="AG152" s="474"/>
      <c r="AH152" s="480">
        <v>143</v>
      </c>
      <c r="AI152" s="475">
        <f ca="1">IF(N($AH152)&gt;0,VLOOKUP($AH152,Body!$A$4:$F$259,5,0),"")</f>
        <v>20</v>
      </c>
      <c r="AJ152" s="476">
        <f ca="1">IF(N($AH152)&gt;0,VLOOKUP($AH152,Body!$A$4:$F$259,6,0),"")</f>
        <v>0</v>
      </c>
      <c r="AK152" s="475">
        <f ca="1">IF(N($AH152)&gt;0,VLOOKUP($AH152,Body!$A$4:$F$259,2,0),"")</f>
        <v>0</v>
      </c>
      <c r="AL152" s="477" t="str">
        <f t="shared" ca="1" si="61"/>
        <v>142 PEK Stolín - Rousek Simon</v>
      </c>
      <c r="AM152" s="478">
        <f t="shared" ca="1" si="62"/>
        <v>0.93799999999999994</v>
      </c>
      <c r="AN152" s="408">
        <f ca="1">IF(OR(TYPE(I152)&gt;1,TYPE(MATCH(I152,I153:I$267,0))&gt;1),0,MATCH(I152,I153:I$267,0))+IF(OR(TYPE(I152)&gt;1,TYPE(MATCH(I152,O$11:O$267,0))&gt;1),0,MATCH(I152,O$11:O$267,0))+IF(OR(TYPE(I152)&gt;1,TYPE(MATCH(I152,U$11:U$267,0))&gt;1),0,MATCH(I152,U$11:U$267,0))+IF(OR(TYPE(I152)&gt;1,TYPE(MATCH(I152,AA$11:AA$267,0))&gt;1),0,MATCH(I152,AA$11:AA$267,0))</f>
        <v>0</v>
      </c>
      <c r="AO152" s="408">
        <f ca="1">IF(OR(TYPE(O152)&gt;1,TYPE(MATCH(O152,I$11:I$267,0))&gt;1),0,MATCH(O152,I$11:I$267,0))+IF(OR(TYPE(O152)&gt;1,TYPE(MATCH(O152,O153:O$267,0))&gt;1),0,MATCH(O152,O153:O$267,0))+IF(OR(TYPE(O152)&gt;1,TYPE(MATCH(O152,U$11:U$267,0))&gt;1),0,MATCH(O152,U$11:U$267,0))+IF(OR(TYPE(O152)&gt;1,TYPE(MATCH(O152,AA$11:AA$267,0))&gt;1),0,MATCH(O152,AA$11:AA$267,0))</f>
        <v>0</v>
      </c>
      <c r="AP152" s="408">
        <f ca="1">IF(OR(TYPE(U152)&gt;1,TYPE(MATCH(U152,I$11:I$267,0))&gt;1),0,MATCH(U152,I$11:I$267,0))+IF(OR(TYPE(U152)&gt;1,TYPE(MATCH(U152,O$11:O$267,0))&gt;1),0,MATCH(U152,O$11:O$267,0))+IF(OR(TYPE(U152)&gt;1,TYPE(MATCH(U152,U153:U$267,0))&gt;1),0,MATCH(U152,U153:U$267,0))+IF(OR(TYPE(U152)&gt;1,TYPE(MATCH(U152,AA$11:AA$267,0))&gt;1),0,MATCH(U152,AA$11:AA$267,0))</f>
        <v>0</v>
      </c>
      <c r="AQ152" s="408">
        <f ca="1">IF(OR(TYPE(AA152)&gt;1,TYPE(MATCH(AA152,I$11:I$267,0))&gt;1),0,MATCH(AA152,I$11:I$267,0))+IF(OR(TYPE(AA152)&gt;1,TYPE(MATCH(AA152,O$11:O$267,0))&gt;1),0,MATCH(AA152,O$11:O$267,0))+IF(OR(TYPE(AA152)&gt;1,TYPE(MATCH(AA152,U$11:U$267,0))&gt;1),0,MATCH(U152,U$11:U$267,0))+IF(OR(TYPE(AA152)&gt;1,TYPE(MATCH(AA152,AA153:AA$267,0))&gt;1),0,MATCH(AA152,AA153:AA$267,0))</f>
        <v>0</v>
      </c>
      <c r="AR152" s="408">
        <f t="shared" ca="1" si="75"/>
        <v>0</v>
      </c>
      <c r="BF152" s="408">
        <f t="shared" si="76"/>
        <v>142</v>
      </c>
    </row>
    <row r="153" spans="1:58" ht="14.25">
      <c r="A153" s="430">
        <f t="shared" ca="1" si="65"/>
        <v>1</v>
      </c>
      <c r="B153" s="430">
        <f t="shared" ca="1" si="66"/>
        <v>1</v>
      </c>
      <c r="C153" s="430">
        <f t="shared" ca="1" si="67"/>
        <v>0.93799999999999994</v>
      </c>
      <c r="D153" s="430">
        <f t="shared" ca="1" si="68"/>
        <v>20528</v>
      </c>
      <c r="E153" s="430">
        <f t="shared" ca="1" si="69"/>
        <v>530</v>
      </c>
      <c r="F153" s="431" t="str">
        <f t="shared" ca="1" si="63"/>
        <v>01000000000000000000898085</v>
      </c>
      <c r="G153" s="467" t="b">
        <f t="shared" ca="1" si="70"/>
        <v>0</v>
      </c>
      <c r="H153" s="468">
        <f t="shared" si="60"/>
        <v>143</v>
      </c>
      <c r="I153" s="469">
        <f t="shared" ca="1" si="71"/>
        <v>18106</v>
      </c>
      <c r="J153" s="470" t="str">
        <f ca="1">IF(N(I153)&gt;0,VLOOKUP(I153,Hraci!$A$1:$I$1500,2,0),IF(TYPE(INDIRECT(ADDRESS(ROW() + $A$9-9 + (ROW()-11)*4,2,1,1,"Internet")))&gt;1,INDIRECT(ADDRESS(ROW() + $A$9-9 + (ROW()-11)*4,2,1,1,"Internet"))," "))</f>
        <v>Geisler</v>
      </c>
      <c r="K153" s="471" t="str">
        <f ca="1">IF(N(I153)&gt;0,VLOOKUP(I153,Hraci!$A$1:$I$1500,3,0)," ")</f>
        <v>Dan</v>
      </c>
      <c r="L153" s="471" t="str">
        <f ca="1">IF(N(I153)&gt;0,VLOOKUP(I153,Hraci!$A$1:$I$1500,5,0),IF(TYPE(INDIRECT(ADDRESS(ROW() + $A$9-9 + (ROW()-11)*4,3,1,1,"Internet")))&gt;1,INDIRECT(ADDRESS(ROW() + $A$9-9 + (ROW()-11)*4,3,1,1,"Internet"))," "))</f>
        <v>PEK Stolín</v>
      </c>
      <c r="M153" s="472">
        <f ca="1">IF(N(I153)=0,9999,VLOOKUP(I153,Hraci!$A$1:$I$1500,8,0))</f>
        <v>530</v>
      </c>
      <c r="N153" s="473">
        <f ca="1">IF(N(I153)=0,0,VLOOKUP(I153,Hraci!$A$1:$I$1500,9,0))</f>
        <v>0.93799999999999994</v>
      </c>
      <c r="O153" s="469" t="str">
        <f t="shared" ca="1" si="72"/>
        <v/>
      </c>
      <c r="P153" s="470" t="str">
        <f ca="1">IF(N(O153)&gt;0,VLOOKUP(O153,Hraci!$A$1:$I$1500,2,0),IF(TYPE(INDIRECT(ADDRESS(ROW() + $A$9-8 + (ROW()-11)*4,2,1,1,"Internet")))&gt;1,INDIRECT(ADDRESS(ROW() + $A$9-8 + (ROW()-11)*4,2,1,1,"Internet"))," "))</f>
        <v xml:space="preserve"> </v>
      </c>
      <c r="Q153" s="471" t="str">
        <f ca="1">IF(N(O153)&gt;0,VLOOKUP(O153,Hraci!$A$1:$I$1500,3,0)," ")</f>
        <v xml:space="preserve"> </v>
      </c>
      <c r="R153" s="471" t="str">
        <f ca="1">IF(N(O153)&gt;0,VLOOKUP(O153,Hraci!$A$1:$I$1500,5,0),IF(TYPE(INDIRECT(ADDRESS(ROW() + $A$9-8 + (ROW()-11)*4,3,1,1,"Internet")))&gt;1,INDIRECT(ADDRESS(ROW() + $A$9-8 + (ROW()-11)*4,3,1,1,"Internet"))," "))</f>
        <v xml:space="preserve"> </v>
      </c>
      <c r="S153" s="472">
        <f ca="1">IF(N(O153)=0,9999,VLOOKUP(O153,Hraci!$A$1:$I$1500,8,0))</f>
        <v>9999</v>
      </c>
      <c r="T153" s="473">
        <f ca="1">IF(N(O153)=0,0,VLOOKUP(O153,Hraci!$A$1:$I$1500,9,0))</f>
        <v>0</v>
      </c>
      <c r="U153" s="469" t="str">
        <f t="shared" ca="1" si="73"/>
        <v/>
      </c>
      <c r="V153" s="470" t="str">
        <f ca="1">IF(N(U153)&gt;0,VLOOKUP(U153,Hraci!$A$1:$I$1500,2,0),IF(TYPE(INDIRECT(ADDRESS(ROW() + $A$9-7 + (ROW()-11)*4,2,1,1,"Internet")))&gt;1,INDIRECT(ADDRESS(ROW() + $A$9-7 + (ROW()-11)*4,2,1,1,"Internet"))," "))</f>
        <v xml:space="preserve"> </v>
      </c>
      <c r="W153" s="471" t="str">
        <f ca="1">IF(N(U153)&gt;0,VLOOKUP(U153,Hraci!$A$1:$I$1500,3,0)," ")</f>
        <v xml:space="preserve"> </v>
      </c>
      <c r="X153" s="471" t="str">
        <f ca="1">IF(N(U153)&gt;0,VLOOKUP(U153,Hraci!$A$1:$I$1500,5,0),IF(TYPE(INDIRECT(ADDRESS(ROW() + $A$9-7 + (ROW()-11)*4,3,1,1,"Internet")))&gt;1,INDIRECT(ADDRESS(ROW() + $A$9-7 + (ROW()-11)*4,3,1,1,"Internet"))," "))</f>
        <v xml:space="preserve"> </v>
      </c>
      <c r="Y153" s="472">
        <f ca="1">IF(N(U153)=0,9999,VLOOKUP(U153,Hraci!$A$1:$I$1500,8,0))</f>
        <v>9999</v>
      </c>
      <c r="Z153" s="473">
        <f ca="1">IF(N(U153)=0,0,VLOOKUP(U153,Hraci!$A$1:$I$1500,9,0))</f>
        <v>0</v>
      </c>
      <c r="AA153" s="469" t="str">
        <f t="shared" ca="1" si="74"/>
        <v/>
      </c>
      <c r="AB153" s="470" t="str">
        <f ca="1">IF(N(AA153)&gt;0,VLOOKUP(AA153,Hraci!$A$1:$I$1500,2,0)," ")</f>
        <v xml:space="preserve"> </v>
      </c>
      <c r="AC153" s="471" t="str">
        <f ca="1">IF(N(AA153)&gt;0,VLOOKUP(AA153,Hraci!$A$1:$I$1500,3,0)," ")</f>
        <v xml:space="preserve"> </v>
      </c>
      <c r="AD153" s="471" t="str">
        <f ca="1">IF(N(AA153)&gt;0,VLOOKUP(AA153,Hraci!$A$1:$I$1500,5,0)," ")</f>
        <v xml:space="preserve"> </v>
      </c>
      <c r="AE153" s="472">
        <f ca="1">IF(N(AA153)=0,9999,VLOOKUP(AA153,Hraci!$A$1:$I$1500,8,0))</f>
        <v>9999</v>
      </c>
      <c r="AF153" s="473">
        <f ca="1">IF(N(AA153)=0,0,VLOOKUP(AA153,Hraci!$A$1:$I$1500,9,0))</f>
        <v>0</v>
      </c>
      <c r="AG153" s="474"/>
      <c r="AH153" s="480">
        <v>129</v>
      </c>
      <c r="AI153" s="475">
        <f ca="1">IF(N($AH153)&gt;0,VLOOKUP($AH153,Body!$A$4:$F$259,5,0),"")</f>
        <v>553.40650000000005</v>
      </c>
      <c r="AJ153" s="476">
        <f ca="1">IF(N($AH153)&gt;0,VLOOKUP($AH153,Body!$A$4:$F$259,6,0),"")</f>
        <v>200</v>
      </c>
      <c r="AK153" s="475">
        <f ca="1">IF(N($AH153)&gt;0,VLOOKUP($AH153,Body!$A$4:$F$259,2,0),"")</f>
        <v>8</v>
      </c>
      <c r="AL153" s="477" t="str">
        <f t="shared" ca="1" si="61"/>
        <v>143 PEK Stolín - Geisler Dan</v>
      </c>
      <c r="AM153" s="478">
        <f t="shared" ca="1" si="62"/>
        <v>0.93799999999999994</v>
      </c>
      <c r="AN153" s="408">
        <f ca="1">IF(OR(TYPE(I153)&gt;1,TYPE(MATCH(I153,I154:I$267,0))&gt;1),0,MATCH(I153,I154:I$267,0))+IF(OR(TYPE(I153)&gt;1,TYPE(MATCH(I153,O$11:O$267,0))&gt;1),0,MATCH(I153,O$11:O$267,0))+IF(OR(TYPE(I153)&gt;1,TYPE(MATCH(I153,U$11:U$267,0))&gt;1),0,MATCH(I153,U$11:U$267,0))+IF(OR(TYPE(I153)&gt;1,TYPE(MATCH(I153,AA$11:AA$267,0))&gt;1),0,MATCH(I153,AA$11:AA$267,0))</f>
        <v>0</v>
      </c>
      <c r="AO153" s="408">
        <f ca="1">IF(OR(TYPE(O153)&gt;1,TYPE(MATCH(O153,I$11:I$267,0))&gt;1),0,MATCH(O153,I$11:I$267,0))+IF(OR(TYPE(O153)&gt;1,TYPE(MATCH(O153,O154:O$267,0))&gt;1),0,MATCH(O153,O154:O$267,0))+IF(OR(TYPE(O153)&gt;1,TYPE(MATCH(O153,U$11:U$267,0))&gt;1),0,MATCH(O153,U$11:U$267,0))+IF(OR(TYPE(O153)&gt;1,TYPE(MATCH(O153,AA$11:AA$267,0))&gt;1),0,MATCH(O153,AA$11:AA$267,0))</f>
        <v>0</v>
      </c>
      <c r="AP153" s="408">
        <f ca="1">IF(OR(TYPE(U153)&gt;1,TYPE(MATCH(U153,I$11:I$267,0))&gt;1),0,MATCH(U153,I$11:I$267,0))+IF(OR(TYPE(U153)&gt;1,TYPE(MATCH(U153,O$11:O$267,0))&gt;1),0,MATCH(U153,O$11:O$267,0))+IF(OR(TYPE(U153)&gt;1,TYPE(MATCH(U153,U154:U$267,0))&gt;1),0,MATCH(U153,U154:U$267,0))+IF(OR(TYPE(U153)&gt;1,TYPE(MATCH(U153,AA$11:AA$267,0))&gt;1),0,MATCH(U153,AA$11:AA$267,0))</f>
        <v>0</v>
      </c>
      <c r="AQ153" s="408">
        <f ca="1">IF(OR(TYPE(AA153)&gt;1,TYPE(MATCH(AA153,I$11:I$267,0))&gt;1),0,MATCH(AA153,I$11:I$267,0))+IF(OR(TYPE(AA153)&gt;1,TYPE(MATCH(AA153,O$11:O$267,0))&gt;1),0,MATCH(AA153,O$11:O$267,0))+IF(OR(TYPE(AA153)&gt;1,TYPE(MATCH(AA153,U$11:U$267,0))&gt;1),0,MATCH(U153,U$11:U$267,0))+IF(OR(TYPE(AA153)&gt;1,TYPE(MATCH(AA153,AA154:AA$267,0))&gt;1),0,MATCH(AA153,AA154:AA$267,0))</f>
        <v>0</v>
      </c>
      <c r="AR153" s="408">
        <f t="shared" ca="1" si="75"/>
        <v>0</v>
      </c>
      <c r="BF153" s="408">
        <f t="shared" si="76"/>
        <v>143</v>
      </c>
    </row>
    <row r="154" spans="1:58" ht="14.25">
      <c r="A154" s="400">
        <f t="shared" ca="1" si="65"/>
        <v>0</v>
      </c>
      <c r="B154" s="400">
        <f t="shared" ca="1" si="66"/>
        <v>0</v>
      </c>
      <c r="C154" s="400">
        <f t="shared" ca="1" si="67"/>
        <v>0</v>
      </c>
      <c r="D154" s="400">
        <f t="shared" ca="1" si="68"/>
        <v>99999</v>
      </c>
      <c r="E154" s="430">
        <f t="shared" ca="1" si="69"/>
        <v>9999</v>
      </c>
      <c r="F154" s="431" t="str">
        <f t="shared" ca="1" si="63"/>
        <v>00000000000000000000755459</v>
      </c>
      <c r="G154" s="467" t="b">
        <f t="shared" ca="1" si="70"/>
        <v>1</v>
      </c>
      <c r="H154" s="468">
        <f t="shared" si="60"/>
        <v>144</v>
      </c>
      <c r="I154" s="469" t="str">
        <f t="shared" ca="1" si="71"/>
        <v/>
      </c>
      <c r="J154" s="470" t="str">
        <f ca="1">IF(N(I154)&gt;0,VLOOKUP(I154,Hraci!$A$1:$I$1500,2,0),IF(TYPE(INDIRECT(ADDRESS(ROW() + $A$9-9 + (ROW()-11)*4,2,1,1,"Internet")))&gt;1,INDIRECT(ADDRESS(ROW() + $A$9-9 + (ROW()-11)*4,2,1,1,"Internet"))," "))</f>
        <v xml:space="preserve"> </v>
      </c>
      <c r="K154" s="471" t="str">
        <f ca="1">IF(N(I154)&gt;0,VLOOKUP(I154,Hraci!$A$1:$I$1500,3,0)," ")</f>
        <v xml:space="preserve"> </v>
      </c>
      <c r="L154" s="471" t="str">
        <f ca="1">IF(N(I154)&gt;0,VLOOKUP(I154,Hraci!$A$1:$I$1500,5,0),IF(TYPE(INDIRECT(ADDRESS(ROW() + $A$9-9 + (ROW()-11)*4,3,1,1,"Internet")))&gt;1,INDIRECT(ADDRESS(ROW() + $A$9-9 + (ROW()-11)*4,3,1,1,"Internet"))," "))</f>
        <v xml:space="preserve"> </v>
      </c>
      <c r="M154" s="472">
        <f ca="1">IF(N(I154)=0,9999,VLOOKUP(I154,Hraci!$A$1:$I$1500,8,0))</f>
        <v>9999</v>
      </c>
      <c r="N154" s="473">
        <f ca="1">IF(N(I154)=0,0,VLOOKUP(I154,Hraci!$A$1:$I$1500,9,0))</f>
        <v>0</v>
      </c>
      <c r="O154" s="469" t="str">
        <f t="shared" ca="1" si="72"/>
        <v/>
      </c>
      <c r="P154" s="470" t="str">
        <f ca="1">IF(N(O154)&gt;0,VLOOKUP(O154,Hraci!$A$1:$I$1500,2,0),IF(TYPE(INDIRECT(ADDRESS(ROW() + $A$9-8 + (ROW()-11)*4,2,1,1,"Internet")))&gt;1,INDIRECT(ADDRESS(ROW() + $A$9-8 + (ROW()-11)*4,2,1,1,"Internet"))," "))</f>
        <v xml:space="preserve"> </v>
      </c>
      <c r="Q154" s="471" t="str">
        <f ca="1">IF(N(O154)&gt;0,VLOOKUP(O154,Hraci!$A$1:$I$1500,3,0)," ")</f>
        <v xml:space="preserve"> </v>
      </c>
      <c r="R154" s="471" t="str">
        <f ca="1">IF(N(O154)&gt;0,VLOOKUP(O154,Hraci!$A$1:$I$1500,5,0),IF(TYPE(INDIRECT(ADDRESS(ROW() + $A$9-8 + (ROW()-11)*4,3,1,1,"Internet")))&gt;1,INDIRECT(ADDRESS(ROW() + $A$9-8 + (ROW()-11)*4,3,1,1,"Internet"))," "))</f>
        <v xml:space="preserve"> </v>
      </c>
      <c r="S154" s="472">
        <f ca="1">IF(N(O154)=0,9999,VLOOKUP(O154,Hraci!$A$1:$I$1500,8,0))</f>
        <v>9999</v>
      </c>
      <c r="T154" s="473">
        <f ca="1">IF(N(O154)=0,0,VLOOKUP(O154,Hraci!$A$1:$I$1500,9,0))</f>
        <v>0</v>
      </c>
      <c r="U154" s="469" t="str">
        <f t="shared" ca="1" si="73"/>
        <v/>
      </c>
      <c r="V154" s="470" t="str">
        <f ca="1">IF(N(U154)&gt;0,VLOOKUP(U154,Hraci!$A$1:$I$1500,2,0),IF(TYPE(INDIRECT(ADDRESS(ROW() + $A$9-7 + (ROW()-11)*4,2,1,1,"Internet")))&gt;1,INDIRECT(ADDRESS(ROW() + $A$9-7 + (ROW()-11)*4,2,1,1,"Internet"))," "))</f>
        <v xml:space="preserve"> </v>
      </c>
      <c r="W154" s="471" t="str">
        <f ca="1">IF(N(U154)&gt;0,VLOOKUP(U154,Hraci!$A$1:$I$1500,3,0)," ")</f>
        <v xml:space="preserve"> </v>
      </c>
      <c r="X154" s="471" t="str">
        <f ca="1">IF(N(U154)&gt;0,VLOOKUP(U154,Hraci!$A$1:$I$1500,5,0),IF(TYPE(INDIRECT(ADDRESS(ROW() + $A$9-7 + (ROW()-11)*4,3,1,1,"Internet")))&gt;1,INDIRECT(ADDRESS(ROW() + $A$9-7 + (ROW()-11)*4,3,1,1,"Internet"))," "))</f>
        <v xml:space="preserve"> </v>
      </c>
      <c r="Y154" s="472">
        <f ca="1">IF(N(U154)=0,9999,VLOOKUP(U154,Hraci!$A$1:$I$1500,8,0))</f>
        <v>9999</v>
      </c>
      <c r="Z154" s="473">
        <f ca="1">IF(N(U154)=0,0,VLOOKUP(U154,Hraci!$A$1:$I$1500,9,0))</f>
        <v>0</v>
      </c>
      <c r="AA154" s="469" t="str">
        <f t="shared" ca="1" si="74"/>
        <v/>
      </c>
      <c r="AB154" s="470" t="str">
        <f ca="1">IF(N(AA154)&gt;0,VLOOKUP(AA154,Hraci!$A$1:$I$1500,2,0)," ")</f>
        <v xml:space="preserve"> </v>
      </c>
      <c r="AC154" s="471" t="str">
        <f ca="1">IF(N(AA154)&gt;0,VLOOKUP(AA154,Hraci!$A$1:$I$1500,3,0)," ")</f>
        <v xml:space="preserve"> </v>
      </c>
      <c r="AD154" s="471" t="str">
        <f ca="1">IF(N(AA154)&gt;0,VLOOKUP(AA154,Hraci!$A$1:$I$1500,5,0)," ")</f>
        <v xml:space="preserve"> </v>
      </c>
      <c r="AE154" s="472">
        <f ca="1">IF(N(AA154)=0,9999,VLOOKUP(AA154,Hraci!$A$1:$I$1500,8,0))</f>
        <v>9999</v>
      </c>
      <c r="AF154" s="473">
        <f ca="1">IF(N(AA154)=0,0,VLOOKUP(AA154,Hraci!$A$1:$I$1500,9,0))</f>
        <v>0</v>
      </c>
      <c r="AG154" s="474"/>
      <c r="AH154" s="480">
        <f ca="1">IF(TYPE(VLOOKUP(H154,Nasazení!$A$3:$E$258,5,0))&lt;4,VLOOKUP(H154,Nasazení!$A$3:$E$258,5,0),0)</f>
        <v>0</v>
      </c>
      <c r="AI154" s="475" t="str">
        <f ca="1">IF(N($AH154)&gt;0,VLOOKUP($AH154,Body!$A$4:$F$259,5,0),"")</f>
        <v/>
      </c>
      <c r="AJ154" s="476" t="str">
        <f ca="1">IF(N($AH154)&gt;0,VLOOKUP($AH154,Body!$A$4:$F$259,6,0),"")</f>
        <v/>
      </c>
      <c r="AK154" s="475" t="str">
        <f ca="1">IF(N($AH154)&gt;0,VLOOKUP($AH154,Body!$A$4:$F$259,2,0),"")</f>
        <v/>
      </c>
      <c r="AL154" s="477" t="str">
        <f t="shared" ca="1" si="61"/>
        <v/>
      </c>
      <c r="AM154" s="478">
        <f t="shared" ca="1" si="62"/>
        <v>0</v>
      </c>
      <c r="AN154" s="408">
        <f ca="1">IF(OR(TYPE(I154)&gt;1,TYPE(MATCH(I154,I155:I$267,0))&gt;1),0,MATCH(I154,I155:I$267,0))+IF(OR(TYPE(I154)&gt;1,TYPE(MATCH(I154,O$11:O$267,0))&gt;1),0,MATCH(I154,O$11:O$267,0))+IF(OR(TYPE(I154)&gt;1,TYPE(MATCH(I154,U$11:U$267,0))&gt;1),0,MATCH(I154,U$11:U$267,0))+IF(OR(TYPE(I154)&gt;1,TYPE(MATCH(I154,AA$11:AA$267,0))&gt;1),0,MATCH(I154,AA$11:AA$267,0))</f>
        <v>0</v>
      </c>
      <c r="AO154" s="408">
        <f ca="1">IF(OR(TYPE(O154)&gt;1,TYPE(MATCH(O154,I$11:I$267,0))&gt;1),0,MATCH(O154,I$11:I$267,0))+IF(OR(TYPE(O154)&gt;1,TYPE(MATCH(O154,O155:O$267,0))&gt;1),0,MATCH(O154,O155:O$267,0))+IF(OR(TYPE(O154)&gt;1,TYPE(MATCH(O154,U$11:U$267,0))&gt;1),0,MATCH(O154,U$11:U$267,0))+IF(OR(TYPE(O154)&gt;1,TYPE(MATCH(O154,AA$11:AA$267,0))&gt;1),0,MATCH(O154,AA$11:AA$267,0))</f>
        <v>0</v>
      </c>
      <c r="AP154" s="408">
        <f ca="1">IF(OR(TYPE(U154)&gt;1,TYPE(MATCH(U154,I$11:I$267,0))&gt;1),0,MATCH(U154,I$11:I$267,0))+IF(OR(TYPE(U154)&gt;1,TYPE(MATCH(U154,O$11:O$267,0))&gt;1),0,MATCH(U154,O$11:O$267,0))+IF(OR(TYPE(U154)&gt;1,TYPE(MATCH(U154,U155:U$267,0))&gt;1),0,MATCH(U154,U155:U$267,0))+IF(OR(TYPE(U154)&gt;1,TYPE(MATCH(U154,AA$11:AA$267,0))&gt;1),0,MATCH(U154,AA$11:AA$267,0))</f>
        <v>0</v>
      </c>
      <c r="AQ154" s="408">
        <f ca="1">IF(OR(TYPE(AA154)&gt;1,TYPE(MATCH(AA154,I$11:I$267,0))&gt;1),0,MATCH(AA154,I$11:I$267,0))+IF(OR(TYPE(AA154)&gt;1,TYPE(MATCH(AA154,O$11:O$267,0))&gt;1),0,MATCH(AA154,O$11:O$267,0))+IF(OR(TYPE(AA154)&gt;1,TYPE(MATCH(AA154,U$11:U$267,0))&gt;1),0,MATCH(U154,U$11:U$267,0))+IF(OR(TYPE(AA154)&gt;1,TYPE(MATCH(AA154,AA155:AA$267,0))&gt;1),0,MATCH(AA154,AA155:AA$267,0))</f>
        <v>0</v>
      </c>
      <c r="AR154" s="408">
        <f t="shared" ca="1" si="75"/>
        <v>0</v>
      </c>
      <c r="BF154" s="408">
        <f t="shared" si="76"/>
        <v>144</v>
      </c>
    </row>
    <row r="155" spans="1:58" ht="14.25">
      <c r="A155" s="430">
        <f t="shared" ca="1" si="65"/>
        <v>0</v>
      </c>
      <c r="B155" s="430">
        <f t="shared" ca="1" si="66"/>
        <v>0</v>
      </c>
      <c r="C155" s="430">
        <f t="shared" ca="1" si="67"/>
        <v>0</v>
      </c>
      <c r="D155" s="430">
        <f t="shared" ca="1" si="68"/>
        <v>99999</v>
      </c>
      <c r="E155" s="430">
        <f t="shared" ca="1" si="69"/>
        <v>9999</v>
      </c>
      <c r="F155" s="431" t="str">
        <f t="shared" ca="1" si="63"/>
        <v>00000000000000000000725678</v>
      </c>
      <c r="G155" s="467" t="b">
        <f t="shared" ca="1" si="70"/>
        <v>1</v>
      </c>
      <c r="H155" s="468">
        <f t="shared" si="60"/>
        <v>145</v>
      </c>
      <c r="I155" s="469" t="str">
        <f t="shared" ca="1" si="71"/>
        <v/>
      </c>
      <c r="J155" s="470" t="str">
        <f ca="1">IF(N(I155)&gt;0,VLOOKUP(I155,Hraci!$A$1:$I$1500,2,0),IF(TYPE(INDIRECT(ADDRESS(ROW() + $A$9-9 + (ROW()-11)*4,2,1,1,"Internet")))&gt;1,INDIRECT(ADDRESS(ROW() + $A$9-9 + (ROW()-11)*4,2,1,1,"Internet"))," "))</f>
        <v xml:space="preserve"> </v>
      </c>
      <c r="K155" s="471" t="str">
        <f ca="1">IF(N(I155)&gt;0,VLOOKUP(I155,Hraci!$A$1:$I$1500,3,0)," ")</f>
        <v xml:space="preserve"> </v>
      </c>
      <c r="L155" s="471" t="str">
        <f ca="1">IF(N(I155)&gt;0,VLOOKUP(I155,Hraci!$A$1:$I$1500,5,0),IF(TYPE(INDIRECT(ADDRESS(ROW() + $A$9-9 + (ROW()-11)*4,3,1,1,"Internet")))&gt;1,INDIRECT(ADDRESS(ROW() + $A$9-9 + (ROW()-11)*4,3,1,1,"Internet"))," "))</f>
        <v xml:space="preserve"> </v>
      </c>
      <c r="M155" s="472">
        <f ca="1">IF(N(I155)=0,9999,VLOOKUP(I155,Hraci!$A$1:$I$1500,8,0))</f>
        <v>9999</v>
      </c>
      <c r="N155" s="473">
        <f ca="1">IF(N(I155)=0,0,VLOOKUP(I155,Hraci!$A$1:$I$1500,9,0))</f>
        <v>0</v>
      </c>
      <c r="O155" s="469" t="str">
        <f t="shared" ca="1" si="72"/>
        <v/>
      </c>
      <c r="P155" s="470" t="str">
        <f ca="1">IF(N(O155)&gt;0,VLOOKUP(O155,Hraci!$A$1:$I$1500,2,0),IF(TYPE(INDIRECT(ADDRESS(ROW() + $A$9-8 + (ROW()-11)*4,2,1,1,"Internet")))&gt;1,INDIRECT(ADDRESS(ROW() + $A$9-8 + (ROW()-11)*4,2,1,1,"Internet"))," "))</f>
        <v xml:space="preserve"> </v>
      </c>
      <c r="Q155" s="471" t="str">
        <f ca="1">IF(N(O155)&gt;0,VLOOKUP(O155,Hraci!$A$1:$I$1500,3,0)," ")</f>
        <v xml:space="preserve"> </v>
      </c>
      <c r="R155" s="471" t="str">
        <f ca="1">IF(N(O155)&gt;0,VLOOKUP(O155,Hraci!$A$1:$I$1500,5,0),IF(TYPE(INDIRECT(ADDRESS(ROW() + $A$9-8 + (ROW()-11)*4,3,1,1,"Internet")))&gt;1,INDIRECT(ADDRESS(ROW() + $A$9-8 + (ROW()-11)*4,3,1,1,"Internet"))," "))</f>
        <v xml:space="preserve"> </v>
      </c>
      <c r="S155" s="472">
        <f ca="1">IF(N(O155)=0,9999,VLOOKUP(O155,Hraci!$A$1:$I$1500,8,0))</f>
        <v>9999</v>
      </c>
      <c r="T155" s="473">
        <f ca="1">IF(N(O155)=0,0,VLOOKUP(O155,Hraci!$A$1:$I$1500,9,0))</f>
        <v>0</v>
      </c>
      <c r="U155" s="469" t="str">
        <f t="shared" ca="1" si="73"/>
        <v/>
      </c>
      <c r="V155" s="470" t="str">
        <f ca="1">IF(N(U155)&gt;0,VLOOKUP(U155,Hraci!$A$1:$I$1500,2,0),IF(TYPE(INDIRECT(ADDRESS(ROW() + $A$9-7 + (ROW()-11)*4,2,1,1,"Internet")))&gt;1,INDIRECT(ADDRESS(ROW() + $A$9-7 + (ROW()-11)*4,2,1,1,"Internet"))," "))</f>
        <v xml:space="preserve"> </v>
      </c>
      <c r="W155" s="471" t="str">
        <f ca="1">IF(N(U155)&gt;0,VLOOKUP(U155,Hraci!$A$1:$I$1500,3,0)," ")</f>
        <v xml:space="preserve"> </v>
      </c>
      <c r="X155" s="471" t="str">
        <f ca="1">IF(N(U155)&gt;0,VLOOKUP(U155,Hraci!$A$1:$I$1500,5,0),IF(TYPE(INDIRECT(ADDRESS(ROW() + $A$9-7 + (ROW()-11)*4,3,1,1,"Internet")))&gt;1,INDIRECT(ADDRESS(ROW() + $A$9-7 + (ROW()-11)*4,3,1,1,"Internet"))," "))</f>
        <v xml:space="preserve"> </v>
      </c>
      <c r="Y155" s="472">
        <f ca="1">IF(N(U155)=0,9999,VLOOKUP(U155,Hraci!$A$1:$I$1500,8,0))</f>
        <v>9999</v>
      </c>
      <c r="Z155" s="473">
        <f ca="1">IF(N(U155)=0,0,VLOOKUP(U155,Hraci!$A$1:$I$1500,9,0))</f>
        <v>0</v>
      </c>
      <c r="AA155" s="469" t="str">
        <f t="shared" ca="1" si="74"/>
        <v/>
      </c>
      <c r="AB155" s="470" t="str">
        <f ca="1">IF(N(AA155)&gt;0,VLOOKUP(AA155,Hraci!$A$1:$I$1500,2,0)," ")</f>
        <v xml:space="preserve"> </v>
      </c>
      <c r="AC155" s="471" t="str">
        <f ca="1">IF(N(AA155)&gt;0,VLOOKUP(AA155,Hraci!$A$1:$I$1500,3,0)," ")</f>
        <v xml:space="preserve"> </v>
      </c>
      <c r="AD155" s="471" t="str">
        <f ca="1">IF(N(AA155)&gt;0,VLOOKUP(AA155,Hraci!$A$1:$I$1500,5,0)," ")</f>
        <v xml:space="preserve"> </v>
      </c>
      <c r="AE155" s="472">
        <f ca="1">IF(N(AA155)=0,9999,VLOOKUP(AA155,Hraci!$A$1:$I$1500,8,0))</f>
        <v>9999</v>
      </c>
      <c r="AF155" s="473">
        <f ca="1">IF(N(AA155)=0,0,VLOOKUP(AA155,Hraci!$A$1:$I$1500,9,0))</f>
        <v>0</v>
      </c>
      <c r="AG155" s="474"/>
      <c r="AH155" s="480">
        <f ca="1">IF(TYPE(VLOOKUP(H155,Nasazení!$A$3:$E$258,5,0))&lt;4,VLOOKUP(H155,Nasazení!$A$3:$E$258,5,0),0)</f>
        <v>0</v>
      </c>
      <c r="AI155" s="475" t="str">
        <f ca="1">IF(N($AH155)&gt;0,VLOOKUP($AH155,Body!$A$4:$F$259,5,0),"")</f>
        <v/>
      </c>
      <c r="AJ155" s="476" t="str">
        <f ca="1">IF(N($AH155)&gt;0,VLOOKUP($AH155,Body!$A$4:$F$259,6,0),"")</f>
        <v/>
      </c>
      <c r="AK155" s="475" t="str">
        <f ca="1">IF(N($AH155)&gt;0,VLOOKUP($AH155,Body!$A$4:$F$259,2,0),"")</f>
        <v/>
      </c>
      <c r="AL155" s="477" t="str">
        <f t="shared" ca="1" si="61"/>
        <v/>
      </c>
      <c r="AM155" s="478">
        <f t="shared" ca="1" si="62"/>
        <v>0</v>
      </c>
      <c r="AN155" s="408">
        <f ca="1">IF(OR(TYPE(I155)&gt;1,TYPE(MATCH(I155,I156:I$267,0))&gt;1),0,MATCH(I155,I156:I$267,0))+IF(OR(TYPE(I155)&gt;1,TYPE(MATCH(I155,O$11:O$267,0))&gt;1),0,MATCH(I155,O$11:O$267,0))+IF(OR(TYPE(I155)&gt;1,TYPE(MATCH(I155,U$11:U$267,0))&gt;1),0,MATCH(I155,U$11:U$267,0))+IF(OR(TYPE(I155)&gt;1,TYPE(MATCH(I155,AA$11:AA$267,0))&gt;1),0,MATCH(I155,AA$11:AA$267,0))</f>
        <v>0</v>
      </c>
      <c r="AO155" s="408">
        <f ca="1">IF(OR(TYPE(O155)&gt;1,TYPE(MATCH(O155,I$11:I$267,0))&gt;1),0,MATCH(O155,I$11:I$267,0))+IF(OR(TYPE(O155)&gt;1,TYPE(MATCH(O155,O156:O$267,0))&gt;1),0,MATCH(O155,O156:O$267,0))+IF(OR(TYPE(O155)&gt;1,TYPE(MATCH(O155,U$11:U$267,0))&gt;1),0,MATCH(O155,U$11:U$267,0))+IF(OR(TYPE(O155)&gt;1,TYPE(MATCH(O155,AA$11:AA$267,0))&gt;1),0,MATCH(O155,AA$11:AA$267,0))</f>
        <v>0</v>
      </c>
      <c r="AP155" s="408">
        <f ca="1">IF(OR(TYPE(U155)&gt;1,TYPE(MATCH(U155,I$11:I$267,0))&gt;1),0,MATCH(U155,I$11:I$267,0))+IF(OR(TYPE(U155)&gt;1,TYPE(MATCH(U155,O$11:O$267,0))&gt;1),0,MATCH(U155,O$11:O$267,0))+IF(OR(TYPE(U155)&gt;1,TYPE(MATCH(U155,U156:U$267,0))&gt;1),0,MATCH(U155,U156:U$267,0))+IF(OR(TYPE(U155)&gt;1,TYPE(MATCH(U155,AA$11:AA$267,0))&gt;1),0,MATCH(U155,AA$11:AA$267,0))</f>
        <v>0</v>
      </c>
      <c r="AQ155" s="408">
        <f ca="1">IF(OR(TYPE(AA155)&gt;1,TYPE(MATCH(AA155,I$11:I$267,0))&gt;1),0,MATCH(AA155,I$11:I$267,0))+IF(OR(TYPE(AA155)&gt;1,TYPE(MATCH(AA155,O$11:O$267,0))&gt;1),0,MATCH(AA155,O$11:O$267,0))+IF(OR(TYPE(AA155)&gt;1,TYPE(MATCH(AA155,U$11:U$267,0))&gt;1),0,MATCH(U155,U$11:U$267,0))+IF(OR(TYPE(AA155)&gt;1,TYPE(MATCH(AA155,AA156:AA$267,0))&gt;1),0,MATCH(AA155,AA156:AA$267,0))</f>
        <v>0</v>
      </c>
      <c r="AR155" s="408">
        <f t="shared" ca="1" si="75"/>
        <v>0</v>
      </c>
      <c r="BF155" s="408">
        <f t="shared" si="76"/>
        <v>145</v>
      </c>
    </row>
    <row r="156" spans="1:58" ht="14.25">
      <c r="A156" s="430">
        <f t="shared" ca="1" si="65"/>
        <v>0</v>
      </c>
      <c r="B156" s="430">
        <f t="shared" ca="1" si="66"/>
        <v>0</v>
      </c>
      <c r="C156" s="430">
        <f t="shared" ca="1" si="67"/>
        <v>0</v>
      </c>
      <c r="D156" s="430">
        <f t="shared" ca="1" si="68"/>
        <v>99999</v>
      </c>
      <c r="E156" s="430">
        <f t="shared" ca="1" si="69"/>
        <v>9999</v>
      </c>
      <c r="F156" s="431" t="str">
        <f t="shared" ca="1" si="63"/>
        <v>00000000000000000000208814</v>
      </c>
      <c r="G156" s="467" t="b">
        <f t="shared" ca="1" si="70"/>
        <v>1</v>
      </c>
      <c r="H156" s="468">
        <f t="shared" si="60"/>
        <v>146</v>
      </c>
      <c r="I156" s="469" t="str">
        <f t="shared" ca="1" si="71"/>
        <v/>
      </c>
      <c r="J156" s="470" t="str">
        <f ca="1">IF(N(I156)&gt;0,VLOOKUP(I156,Hraci!$A$1:$I$1500,2,0),IF(TYPE(INDIRECT(ADDRESS(ROW() + $A$9-9 + (ROW()-11)*4,2,1,1,"Internet")))&gt;1,INDIRECT(ADDRESS(ROW() + $A$9-9 + (ROW()-11)*4,2,1,1,"Internet"))," "))</f>
        <v xml:space="preserve"> </v>
      </c>
      <c r="K156" s="471" t="str">
        <f ca="1">IF(N(I156)&gt;0,VLOOKUP(I156,Hraci!$A$1:$I$1500,3,0)," ")</f>
        <v xml:space="preserve"> </v>
      </c>
      <c r="L156" s="471" t="str">
        <f ca="1">IF(N(I156)&gt;0,VLOOKUP(I156,Hraci!$A$1:$I$1500,5,0),IF(TYPE(INDIRECT(ADDRESS(ROW() + $A$9-9 + (ROW()-11)*4,3,1,1,"Internet")))&gt;1,INDIRECT(ADDRESS(ROW() + $A$9-9 + (ROW()-11)*4,3,1,1,"Internet"))," "))</f>
        <v xml:space="preserve"> </v>
      </c>
      <c r="M156" s="472">
        <f ca="1">IF(N(I156)=0,9999,VLOOKUP(I156,Hraci!$A$1:$I$1500,8,0))</f>
        <v>9999</v>
      </c>
      <c r="N156" s="473">
        <f ca="1">IF(N(I156)=0,0,VLOOKUP(I156,Hraci!$A$1:$I$1500,9,0))</f>
        <v>0</v>
      </c>
      <c r="O156" s="469" t="str">
        <f t="shared" ca="1" si="72"/>
        <v/>
      </c>
      <c r="P156" s="470" t="str">
        <f ca="1">IF(N(O156)&gt;0,VLOOKUP(O156,Hraci!$A$1:$I$1500,2,0),IF(TYPE(INDIRECT(ADDRESS(ROW() + $A$9-8 + (ROW()-11)*4,2,1,1,"Internet")))&gt;1,INDIRECT(ADDRESS(ROW() + $A$9-8 + (ROW()-11)*4,2,1,1,"Internet"))," "))</f>
        <v xml:space="preserve"> </v>
      </c>
      <c r="Q156" s="471" t="str">
        <f ca="1">IF(N(O156)&gt;0,VLOOKUP(O156,Hraci!$A$1:$I$1500,3,0)," ")</f>
        <v xml:space="preserve"> </v>
      </c>
      <c r="R156" s="471" t="str">
        <f ca="1">IF(N(O156)&gt;0,VLOOKUP(O156,Hraci!$A$1:$I$1500,5,0),IF(TYPE(INDIRECT(ADDRESS(ROW() + $A$9-8 + (ROW()-11)*4,3,1,1,"Internet")))&gt;1,INDIRECT(ADDRESS(ROW() + $A$9-8 + (ROW()-11)*4,3,1,1,"Internet"))," "))</f>
        <v xml:space="preserve"> </v>
      </c>
      <c r="S156" s="472">
        <f ca="1">IF(N(O156)=0,9999,VLOOKUP(O156,Hraci!$A$1:$I$1500,8,0))</f>
        <v>9999</v>
      </c>
      <c r="T156" s="473">
        <f ca="1">IF(N(O156)=0,0,VLOOKUP(O156,Hraci!$A$1:$I$1500,9,0))</f>
        <v>0</v>
      </c>
      <c r="U156" s="469" t="str">
        <f t="shared" ca="1" si="73"/>
        <v/>
      </c>
      <c r="V156" s="470" t="str">
        <f ca="1">IF(N(U156)&gt;0,VLOOKUP(U156,Hraci!$A$1:$I$1500,2,0),IF(TYPE(INDIRECT(ADDRESS(ROW() + $A$9-7 + (ROW()-11)*4,2,1,1,"Internet")))&gt;1,INDIRECT(ADDRESS(ROW() + $A$9-7 + (ROW()-11)*4,2,1,1,"Internet"))," "))</f>
        <v xml:space="preserve"> </v>
      </c>
      <c r="W156" s="471" t="str">
        <f ca="1">IF(N(U156)&gt;0,VLOOKUP(U156,Hraci!$A$1:$I$1500,3,0)," ")</f>
        <v xml:space="preserve"> </v>
      </c>
      <c r="X156" s="471" t="str">
        <f ca="1">IF(N(U156)&gt;0,VLOOKUP(U156,Hraci!$A$1:$I$1500,5,0),IF(TYPE(INDIRECT(ADDRESS(ROW() + $A$9-7 + (ROW()-11)*4,3,1,1,"Internet")))&gt;1,INDIRECT(ADDRESS(ROW() + $A$9-7 + (ROW()-11)*4,3,1,1,"Internet"))," "))</f>
        <v xml:space="preserve"> </v>
      </c>
      <c r="Y156" s="472">
        <f ca="1">IF(N(U156)=0,9999,VLOOKUP(U156,Hraci!$A$1:$I$1500,8,0))</f>
        <v>9999</v>
      </c>
      <c r="Z156" s="473">
        <f ca="1">IF(N(U156)=0,0,VLOOKUP(U156,Hraci!$A$1:$I$1500,9,0))</f>
        <v>0</v>
      </c>
      <c r="AA156" s="469" t="str">
        <f t="shared" ca="1" si="74"/>
        <v/>
      </c>
      <c r="AB156" s="470" t="str">
        <f ca="1">IF(N(AA156)&gt;0,VLOOKUP(AA156,Hraci!$A$1:$I$1500,2,0)," ")</f>
        <v xml:space="preserve"> </v>
      </c>
      <c r="AC156" s="471" t="str">
        <f ca="1">IF(N(AA156)&gt;0,VLOOKUP(AA156,Hraci!$A$1:$I$1500,3,0)," ")</f>
        <v xml:space="preserve"> </v>
      </c>
      <c r="AD156" s="471" t="str">
        <f ca="1">IF(N(AA156)&gt;0,VLOOKUP(AA156,Hraci!$A$1:$I$1500,5,0)," ")</f>
        <v xml:space="preserve"> </v>
      </c>
      <c r="AE156" s="472">
        <f ca="1">IF(N(AA156)=0,9999,VLOOKUP(AA156,Hraci!$A$1:$I$1500,8,0))</f>
        <v>9999</v>
      </c>
      <c r="AF156" s="473">
        <f ca="1">IF(N(AA156)=0,0,VLOOKUP(AA156,Hraci!$A$1:$I$1500,9,0))</f>
        <v>0</v>
      </c>
      <c r="AG156" s="474"/>
      <c r="AH156" s="480">
        <f ca="1">IF(TYPE(VLOOKUP(H156,Nasazení!$A$3:$E$258,5,0))&lt;4,VLOOKUP(H156,Nasazení!$A$3:$E$258,5,0),0)</f>
        <v>0</v>
      </c>
      <c r="AI156" s="475" t="str">
        <f ca="1">IF(N($AH156)&gt;0,VLOOKUP($AH156,Body!$A$4:$F$259,5,0),"")</f>
        <v/>
      </c>
      <c r="AJ156" s="476" t="str">
        <f ca="1">IF(N($AH156)&gt;0,VLOOKUP($AH156,Body!$A$4:$F$259,6,0),"")</f>
        <v/>
      </c>
      <c r="AK156" s="475" t="str">
        <f ca="1">IF(N($AH156)&gt;0,VLOOKUP($AH156,Body!$A$4:$F$259,2,0),"")</f>
        <v/>
      </c>
      <c r="AL156" s="477" t="str">
        <f t="shared" ca="1" si="61"/>
        <v/>
      </c>
      <c r="AM156" s="478">
        <f t="shared" ca="1" si="62"/>
        <v>0</v>
      </c>
      <c r="AN156" s="408">
        <f ca="1">IF(OR(TYPE(I156)&gt;1,TYPE(MATCH(I156,I157:I$267,0))&gt;1),0,MATCH(I156,I157:I$267,0))+IF(OR(TYPE(I156)&gt;1,TYPE(MATCH(I156,O$11:O$267,0))&gt;1),0,MATCH(I156,O$11:O$267,0))+IF(OR(TYPE(I156)&gt;1,TYPE(MATCH(I156,U$11:U$267,0))&gt;1),0,MATCH(I156,U$11:U$267,0))+IF(OR(TYPE(I156)&gt;1,TYPE(MATCH(I156,AA$11:AA$267,0))&gt;1),0,MATCH(I156,AA$11:AA$267,0))</f>
        <v>0</v>
      </c>
      <c r="AO156" s="408">
        <f ca="1">IF(OR(TYPE(O156)&gt;1,TYPE(MATCH(O156,I$11:I$267,0))&gt;1),0,MATCH(O156,I$11:I$267,0))+IF(OR(TYPE(O156)&gt;1,TYPE(MATCH(O156,O157:O$267,0))&gt;1),0,MATCH(O156,O157:O$267,0))+IF(OR(TYPE(O156)&gt;1,TYPE(MATCH(O156,U$11:U$267,0))&gt;1),0,MATCH(O156,U$11:U$267,0))+IF(OR(TYPE(O156)&gt;1,TYPE(MATCH(O156,AA$11:AA$267,0))&gt;1),0,MATCH(O156,AA$11:AA$267,0))</f>
        <v>0</v>
      </c>
      <c r="AP156" s="408">
        <f ca="1">IF(OR(TYPE(U156)&gt;1,TYPE(MATCH(U156,I$11:I$267,0))&gt;1),0,MATCH(U156,I$11:I$267,0))+IF(OR(TYPE(U156)&gt;1,TYPE(MATCH(U156,O$11:O$267,0))&gt;1),0,MATCH(U156,O$11:O$267,0))+IF(OR(TYPE(U156)&gt;1,TYPE(MATCH(U156,U157:U$267,0))&gt;1),0,MATCH(U156,U157:U$267,0))+IF(OR(TYPE(U156)&gt;1,TYPE(MATCH(U156,AA$11:AA$267,0))&gt;1),0,MATCH(U156,AA$11:AA$267,0))</f>
        <v>0</v>
      </c>
      <c r="AQ156" s="408">
        <f ca="1">IF(OR(TYPE(AA156)&gt;1,TYPE(MATCH(AA156,I$11:I$267,0))&gt;1),0,MATCH(AA156,I$11:I$267,0))+IF(OR(TYPE(AA156)&gt;1,TYPE(MATCH(AA156,O$11:O$267,0))&gt;1),0,MATCH(AA156,O$11:O$267,0))+IF(OR(TYPE(AA156)&gt;1,TYPE(MATCH(AA156,U$11:U$267,0))&gt;1),0,MATCH(U156,U$11:U$267,0))+IF(OR(TYPE(AA156)&gt;1,TYPE(MATCH(AA156,AA157:AA$267,0))&gt;1),0,MATCH(AA156,AA157:AA$267,0))</f>
        <v>0</v>
      </c>
      <c r="AR156" s="408">
        <f t="shared" ca="1" si="75"/>
        <v>0</v>
      </c>
      <c r="BF156" s="408">
        <f t="shared" si="76"/>
        <v>146</v>
      </c>
    </row>
    <row r="157" spans="1:58" ht="14.25">
      <c r="A157" s="430">
        <f t="shared" ca="1" si="65"/>
        <v>0</v>
      </c>
      <c r="B157" s="430">
        <f t="shared" ca="1" si="66"/>
        <v>0</v>
      </c>
      <c r="C157" s="430">
        <f t="shared" ca="1" si="67"/>
        <v>0</v>
      </c>
      <c r="D157" s="430">
        <f t="shared" ca="1" si="68"/>
        <v>99999</v>
      </c>
      <c r="E157" s="430">
        <f t="shared" ca="1" si="69"/>
        <v>9999</v>
      </c>
      <c r="F157" s="431" t="str">
        <f t="shared" ca="1" si="63"/>
        <v>00000000000000000000543410</v>
      </c>
      <c r="G157" s="467" t="b">
        <f t="shared" ca="1" si="70"/>
        <v>1</v>
      </c>
      <c r="H157" s="468">
        <f t="shared" si="60"/>
        <v>147</v>
      </c>
      <c r="I157" s="469" t="str">
        <f t="shared" ca="1" si="71"/>
        <v/>
      </c>
      <c r="J157" s="470" t="str">
        <f ca="1">IF(N(I157)&gt;0,VLOOKUP(I157,Hraci!$A$1:$I$1500,2,0),IF(TYPE(INDIRECT(ADDRESS(ROW() + $A$9-9 + (ROW()-11)*4,2,1,1,"Internet")))&gt;1,INDIRECT(ADDRESS(ROW() + $A$9-9 + (ROW()-11)*4,2,1,1,"Internet"))," "))</f>
        <v xml:space="preserve"> </v>
      </c>
      <c r="K157" s="471" t="str">
        <f ca="1">IF(N(I157)&gt;0,VLOOKUP(I157,Hraci!$A$1:$I$1500,3,0)," ")</f>
        <v xml:space="preserve"> </v>
      </c>
      <c r="L157" s="471" t="str">
        <f ca="1">IF(N(I157)&gt;0,VLOOKUP(I157,Hraci!$A$1:$I$1500,5,0),IF(TYPE(INDIRECT(ADDRESS(ROW() + $A$9-9 + (ROW()-11)*4,3,1,1,"Internet")))&gt;1,INDIRECT(ADDRESS(ROW() + $A$9-9 + (ROW()-11)*4,3,1,1,"Internet"))," "))</f>
        <v xml:space="preserve"> </v>
      </c>
      <c r="M157" s="472">
        <f ca="1">IF(N(I157)=0,9999,VLOOKUP(I157,Hraci!$A$1:$I$1500,8,0))</f>
        <v>9999</v>
      </c>
      <c r="N157" s="473">
        <f ca="1">IF(N(I157)=0,0,VLOOKUP(I157,Hraci!$A$1:$I$1500,9,0))</f>
        <v>0</v>
      </c>
      <c r="O157" s="469" t="str">
        <f t="shared" ca="1" si="72"/>
        <v/>
      </c>
      <c r="P157" s="470" t="str">
        <f ca="1">IF(N(O157)&gt;0,VLOOKUP(O157,Hraci!$A$1:$I$1500,2,0),IF(TYPE(INDIRECT(ADDRESS(ROW() + $A$9-8 + (ROW()-11)*4,2,1,1,"Internet")))&gt;1,INDIRECT(ADDRESS(ROW() + $A$9-8 + (ROW()-11)*4,2,1,1,"Internet"))," "))</f>
        <v xml:space="preserve"> </v>
      </c>
      <c r="Q157" s="471" t="str">
        <f ca="1">IF(N(O157)&gt;0,VLOOKUP(O157,Hraci!$A$1:$I$1500,3,0)," ")</f>
        <v xml:space="preserve"> </v>
      </c>
      <c r="R157" s="471" t="str">
        <f ca="1">IF(N(O157)&gt;0,VLOOKUP(O157,Hraci!$A$1:$I$1500,5,0),IF(TYPE(INDIRECT(ADDRESS(ROW() + $A$9-8 + (ROW()-11)*4,3,1,1,"Internet")))&gt;1,INDIRECT(ADDRESS(ROW() + $A$9-8 + (ROW()-11)*4,3,1,1,"Internet"))," "))</f>
        <v xml:space="preserve"> </v>
      </c>
      <c r="S157" s="472">
        <f ca="1">IF(N(O157)=0,9999,VLOOKUP(O157,Hraci!$A$1:$I$1500,8,0))</f>
        <v>9999</v>
      </c>
      <c r="T157" s="473">
        <f ca="1">IF(N(O157)=0,0,VLOOKUP(O157,Hraci!$A$1:$I$1500,9,0))</f>
        <v>0</v>
      </c>
      <c r="U157" s="469" t="str">
        <f t="shared" ca="1" si="73"/>
        <v/>
      </c>
      <c r="V157" s="470" t="str">
        <f ca="1">IF(N(U157)&gt;0,VLOOKUP(U157,Hraci!$A$1:$I$1500,2,0),IF(TYPE(INDIRECT(ADDRESS(ROW() + $A$9-7 + (ROW()-11)*4,2,1,1,"Internet")))&gt;1,INDIRECT(ADDRESS(ROW() + $A$9-7 + (ROW()-11)*4,2,1,1,"Internet"))," "))</f>
        <v xml:space="preserve"> </v>
      </c>
      <c r="W157" s="471" t="str">
        <f ca="1">IF(N(U157)&gt;0,VLOOKUP(U157,Hraci!$A$1:$I$1500,3,0)," ")</f>
        <v xml:space="preserve"> </v>
      </c>
      <c r="X157" s="471" t="str">
        <f ca="1">IF(N(U157)&gt;0,VLOOKUP(U157,Hraci!$A$1:$I$1500,5,0),IF(TYPE(INDIRECT(ADDRESS(ROW() + $A$9-7 + (ROW()-11)*4,3,1,1,"Internet")))&gt;1,INDIRECT(ADDRESS(ROW() + $A$9-7 + (ROW()-11)*4,3,1,1,"Internet"))," "))</f>
        <v xml:space="preserve"> </v>
      </c>
      <c r="Y157" s="472">
        <f ca="1">IF(N(U157)=0,9999,VLOOKUP(U157,Hraci!$A$1:$I$1500,8,0))</f>
        <v>9999</v>
      </c>
      <c r="Z157" s="473">
        <f ca="1">IF(N(U157)=0,0,VLOOKUP(U157,Hraci!$A$1:$I$1500,9,0))</f>
        <v>0</v>
      </c>
      <c r="AA157" s="469" t="str">
        <f t="shared" ca="1" si="74"/>
        <v/>
      </c>
      <c r="AB157" s="470" t="str">
        <f ca="1">IF(N(AA157)&gt;0,VLOOKUP(AA157,Hraci!$A$1:$I$1500,2,0)," ")</f>
        <v xml:space="preserve"> </v>
      </c>
      <c r="AC157" s="471" t="str">
        <f ca="1">IF(N(AA157)&gt;0,VLOOKUP(AA157,Hraci!$A$1:$I$1500,3,0)," ")</f>
        <v xml:space="preserve"> </v>
      </c>
      <c r="AD157" s="471" t="str">
        <f ca="1">IF(N(AA157)&gt;0,VLOOKUP(AA157,Hraci!$A$1:$I$1500,5,0)," ")</f>
        <v xml:space="preserve"> </v>
      </c>
      <c r="AE157" s="472">
        <f ca="1">IF(N(AA157)=0,9999,VLOOKUP(AA157,Hraci!$A$1:$I$1500,8,0))</f>
        <v>9999</v>
      </c>
      <c r="AF157" s="473">
        <f ca="1">IF(N(AA157)=0,0,VLOOKUP(AA157,Hraci!$A$1:$I$1500,9,0))</f>
        <v>0</v>
      </c>
      <c r="AG157" s="474"/>
      <c r="AH157" s="480">
        <f ca="1">IF(TYPE(VLOOKUP(H157,Nasazení!$A$3:$E$258,5,0))&lt;4,VLOOKUP(H157,Nasazení!$A$3:$E$258,5,0),0)</f>
        <v>0</v>
      </c>
      <c r="AI157" s="475" t="str">
        <f ca="1">IF(N($AH157)&gt;0,VLOOKUP($AH157,Body!$A$4:$F$259,5,0),"")</f>
        <v/>
      </c>
      <c r="AJ157" s="476" t="str">
        <f ca="1">IF(N($AH157)&gt;0,VLOOKUP($AH157,Body!$A$4:$F$259,6,0),"")</f>
        <v/>
      </c>
      <c r="AK157" s="475" t="str">
        <f ca="1">IF(N($AH157)&gt;0,VLOOKUP($AH157,Body!$A$4:$F$259,2,0),"")</f>
        <v/>
      </c>
      <c r="AL157" s="477" t="str">
        <f t="shared" ca="1" si="61"/>
        <v/>
      </c>
      <c r="AM157" s="478">
        <f t="shared" ca="1" si="62"/>
        <v>0</v>
      </c>
      <c r="AN157" s="408">
        <f ca="1">IF(OR(TYPE(I157)&gt;1,TYPE(MATCH(I157,I158:I$267,0))&gt;1),0,MATCH(I157,I158:I$267,0))+IF(OR(TYPE(I157)&gt;1,TYPE(MATCH(I157,O$11:O$267,0))&gt;1),0,MATCH(I157,O$11:O$267,0))+IF(OR(TYPE(I157)&gt;1,TYPE(MATCH(I157,U$11:U$267,0))&gt;1),0,MATCH(I157,U$11:U$267,0))+IF(OR(TYPE(I157)&gt;1,TYPE(MATCH(I157,AA$11:AA$267,0))&gt;1),0,MATCH(I157,AA$11:AA$267,0))</f>
        <v>0</v>
      </c>
      <c r="AO157" s="408">
        <f ca="1">IF(OR(TYPE(O157)&gt;1,TYPE(MATCH(O157,I$11:I$267,0))&gt;1),0,MATCH(O157,I$11:I$267,0))+IF(OR(TYPE(O157)&gt;1,TYPE(MATCH(O157,O158:O$267,0))&gt;1),0,MATCH(O157,O158:O$267,0))+IF(OR(TYPE(O157)&gt;1,TYPE(MATCH(O157,U$11:U$267,0))&gt;1),0,MATCH(O157,U$11:U$267,0))+IF(OR(TYPE(O157)&gt;1,TYPE(MATCH(O157,AA$11:AA$267,0))&gt;1),0,MATCH(O157,AA$11:AA$267,0))</f>
        <v>0</v>
      </c>
      <c r="AP157" s="408">
        <f ca="1">IF(OR(TYPE(U157)&gt;1,TYPE(MATCH(U157,I$11:I$267,0))&gt;1),0,MATCH(U157,I$11:I$267,0))+IF(OR(TYPE(U157)&gt;1,TYPE(MATCH(U157,O$11:O$267,0))&gt;1),0,MATCH(U157,O$11:O$267,0))+IF(OR(TYPE(U157)&gt;1,TYPE(MATCH(U157,U158:U$267,0))&gt;1),0,MATCH(U157,U158:U$267,0))+IF(OR(TYPE(U157)&gt;1,TYPE(MATCH(U157,AA$11:AA$267,0))&gt;1),0,MATCH(U157,AA$11:AA$267,0))</f>
        <v>0</v>
      </c>
      <c r="AQ157" s="408">
        <f ca="1">IF(OR(TYPE(AA157)&gt;1,TYPE(MATCH(AA157,I$11:I$267,0))&gt;1),0,MATCH(AA157,I$11:I$267,0))+IF(OR(TYPE(AA157)&gt;1,TYPE(MATCH(AA157,O$11:O$267,0))&gt;1),0,MATCH(AA157,O$11:O$267,0))+IF(OR(TYPE(AA157)&gt;1,TYPE(MATCH(AA157,U$11:U$267,0))&gt;1),0,MATCH(U157,U$11:U$267,0))+IF(OR(TYPE(AA157)&gt;1,TYPE(MATCH(AA157,AA158:AA$267,0))&gt;1),0,MATCH(AA157,AA158:AA$267,0))</f>
        <v>0</v>
      </c>
      <c r="AR157" s="408">
        <f t="shared" ca="1" si="75"/>
        <v>0</v>
      </c>
      <c r="BF157" s="408">
        <f t="shared" si="76"/>
        <v>147</v>
      </c>
    </row>
    <row r="158" spans="1:58" ht="14.25">
      <c r="A158" s="430">
        <f t="shared" ca="1" si="65"/>
        <v>0</v>
      </c>
      <c r="B158" s="430">
        <f t="shared" ca="1" si="66"/>
        <v>0</v>
      </c>
      <c r="C158" s="430">
        <f t="shared" ca="1" si="67"/>
        <v>0</v>
      </c>
      <c r="D158" s="430">
        <f t="shared" ca="1" si="68"/>
        <v>99999</v>
      </c>
      <c r="E158" s="430">
        <f t="shared" ca="1" si="69"/>
        <v>9999</v>
      </c>
      <c r="F158" s="431" t="str">
        <f t="shared" ca="1" si="63"/>
        <v>00000000000000000000918765</v>
      </c>
      <c r="G158" s="467" t="b">
        <f t="shared" ca="1" si="70"/>
        <v>1</v>
      </c>
      <c r="H158" s="468">
        <f t="shared" si="60"/>
        <v>148</v>
      </c>
      <c r="I158" s="469" t="str">
        <f t="shared" ca="1" si="71"/>
        <v/>
      </c>
      <c r="J158" s="470" t="str">
        <f ca="1">IF(N(I158)&gt;0,VLOOKUP(I158,Hraci!$A$1:$I$1500,2,0),IF(TYPE(INDIRECT(ADDRESS(ROW() + $A$9-9 + (ROW()-11)*4,2,1,1,"Internet")))&gt;1,INDIRECT(ADDRESS(ROW() + $A$9-9 + (ROW()-11)*4,2,1,1,"Internet"))," "))</f>
        <v xml:space="preserve"> </v>
      </c>
      <c r="K158" s="471" t="str">
        <f ca="1">IF(N(I158)&gt;0,VLOOKUP(I158,Hraci!$A$1:$I$1500,3,0)," ")</f>
        <v xml:space="preserve"> </v>
      </c>
      <c r="L158" s="471" t="str">
        <f ca="1">IF(N(I158)&gt;0,VLOOKUP(I158,Hraci!$A$1:$I$1500,5,0),IF(TYPE(INDIRECT(ADDRESS(ROW() + $A$9-9 + (ROW()-11)*4,3,1,1,"Internet")))&gt;1,INDIRECT(ADDRESS(ROW() + $A$9-9 + (ROW()-11)*4,3,1,1,"Internet"))," "))</f>
        <v xml:space="preserve"> </v>
      </c>
      <c r="M158" s="472">
        <f ca="1">IF(N(I158)=0,9999,VLOOKUP(I158,Hraci!$A$1:$I$1500,8,0))</f>
        <v>9999</v>
      </c>
      <c r="N158" s="473">
        <f ca="1">IF(N(I158)=0,0,VLOOKUP(I158,Hraci!$A$1:$I$1500,9,0))</f>
        <v>0</v>
      </c>
      <c r="O158" s="469" t="str">
        <f t="shared" ca="1" si="72"/>
        <v/>
      </c>
      <c r="P158" s="470" t="str">
        <f ca="1">IF(N(O158)&gt;0,VLOOKUP(O158,Hraci!$A$1:$I$1500,2,0),IF(TYPE(INDIRECT(ADDRESS(ROW() + $A$9-8 + (ROW()-11)*4,2,1,1,"Internet")))&gt;1,INDIRECT(ADDRESS(ROW() + $A$9-8 + (ROW()-11)*4,2,1,1,"Internet"))," "))</f>
        <v xml:space="preserve"> </v>
      </c>
      <c r="Q158" s="471" t="str">
        <f ca="1">IF(N(O158)&gt;0,VLOOKUP(O158,Hraci!$A$1:$I$1500,3,0)," ")</f>
        <v xml:space="preserve"> </v>
      </c>
      <c r="R158" s="471" t="str">
        <f ca="1">IF(N(O158)&gt;0,VLOOKUP(O158,Hraci!$A$1:$I$1500,5,0),IF(TYPE(INDIRECT(ADDRESS(ROW() + $A$9-8 + (ROW()-11)*4,3,1,1,"Internet")))&gt;1,INDIRECT(ADDRESS(ROW() + $A$9-8 + (ROW()-11)*4,3,1,1,"Internet"))," "))</f>
        <v xml:space="preserve"> </v>
      </c>
      <c r="S158" s="472">
        <f ca="1">IF(N(O158)=0,9999,VLOOKUP(O158,Hraci!$A$1:$I$1500,8,0))</f>
        <v>9999</v>
      </c>
      <c r="T158" s="473">
        <f ca="1">IF(N(O158)=0,0,VLOOKUP(O158,Hraci!$A$1:$I$1500,9,0))</f>
        <v>0</v>
      </c>
      <c r="U158" s="469" t="str">
        <f t="shared" ca="1" si="73"/>
        <v/>
      </c>
      <c r="V158" s="470" t="str">
        <f ca="1">IF(N(U158)&gt;0,VLOOKUP(U158,Hraci!$A$1:$I$1500,2,0),IF(TYPE(INDIRECT(ADDRESS(ROW() + $A$9-7 + (ROW()-11)*4,2,1,1,"Internet")))&gt;1,INDIRECT(ADDRESS(ROW() + $A$9-7 + (ROW()-11)*4,2,1,1,"Internet"))," "))</f>
        <v xml:space="preserve"> </v>
      </c>
      <c r="W158" s="471" t="str">
        <f ca="1">IF(N(U158)&gt;0,VLOOKUP(U158,Hraci!$A$1:$I$1500,3,0)," ")</f>
        <v xml:space="preserve"> </v>
      </c>
      <c r="X158" s="471" t="str">
        <f ca="1">IF(N(U158)&gt;0,VLOOKUP(U158,Hraci!$A$1:$I$1500,5,0),IF(TYPE(INDIRECT(ADDRESS(ROW() + $A$9-7 + (ROW()-11)*4,3,1,1,"Internet")))&gt;1,INDIRECT(ADDRESS(ROW() + $A$9-7 + (ROW()-11)*4,3,1,1,"Internet"))," "))</f>
        <v xml:space="preserve"> </v>
      </c>
      <c r="Y158" s="472">
        <f ca="1">IF(N(U158)=0,9999,VLOOKUP(U158,Hraci!$A$1:$I$1500,8,0))</f>
        <v>9999</v>
      </c>
      <c r="Z158" s="473">
        <f ca="1">IF(N(U158)=0,0,VLOOKUP(U158,Hraci!$A$1:$I$1500,9,0))</f>
        <v>0</v>
      </c>
      <c r="AA158" s="469" t="str">
        <f t="shared" ca="1" si="74"/>
        <v/>
      </c>
      <c r="AB158" s="470" t="str">
        <f ca="1">IF(N(AA158)&gt;0,VLOOKUP(AA158,Hraci!$A$1:$I$1500,2,0)," ")</f>
        <v xml:space="preserve"> </v>
      </c>
      <c r="AC158" s="471" t="str">
        <f ca="1">IF(N(AA158)&gt;0,VLOOKUP(AA158,Hraci!$A$1:$I$1500,3,0)," ")</f>
        <v xml:space="preserve"> </v>
      </c>
      <c r="AD158" s="471" t="str">
        <f ca="1">IF(N(AA158)&gt;0,VLOOKUP(AA158,Hraci!$A$1:$I$1500,5,0)," ")</f>
        <v xml:space="preserve"> </v>
      </c>
      <c r="AE158" s="472">
        <f ca="1">IF(N(AA158)=0,9999,VLOOKUP(AA158,Hraci!$A$1:$I$1500,8,0))</f>
        <v>9999</v>
      </c>
      <c r="AF158" s="473">
        <f ca="1">IF(N(AA158)=0,0,VLOOKUP(AA158,Hraci!$A$1:$I$1500,9,0))</f>
        <v>0</v>
      </c>
      <c r="AG158" s="474"/>
      <c r="AH158" s="480">
        <f ca="1">IF(TYPE(VLOOKUP(H158,Nasazení!$A$3:$E$258,5,0))&lt;4,VLOOKUP(H158,Nasazení!$A$3:$E$258,5,0),0)</f>
        <v>0</v>
      </c>
      <c r="AI158" s="475" t="str">
        <f ca="1">IF(N($AH158)&gt;0,VLOOKUP($AH158,Body!$A$4:$F$259,5,0),"")</f>
        <v/>
      </c>
      <c r="AJ158" s="476" t="str">
        <f ca="1">IF(N($AH158)&gt;0,VLOOKUP($AH158,Body!$A$4:$F$259,6,0),"")</f>
        <v/>
      </c>
      <c r="AK158" s="475" t="str">
        <f ca="1">IF(N($AH158)&gt;0,VLOOKUP($AH158,Body!$A$4:$F$259,2,0),"")</f>
        <v/>
      </c>
      <c r="AL158" s="477" t="str">
        <f t="shared" ca="1" si="61"/>
        <v/>
      </c>
      <c r="AM158" s="478">
        <f t="shared" ca="1" si="62"/>
        <v>0</v>
      </c>
      <c r="AN158" s="408">
        <f ca="1">IF(OR(TYPE(I158)&gt;1,TYPE(MATCH(I158,I159:I$267,0))&gt;1),0,MATCH(I158,I159:I$267,0))+IF(OR(TYPE(I158)&gt;1,TYPE(MATCH(I158,O$11:O$267,0))&gt;1),0,MATCH(I158,O$11:O$267,0))+IF(OR(TYPE(I158)&gt;1,TYPE(MATCH(I158,U$11:U$267,0))&gt;1),0,MATCH(I158,U$11:U$267,0))+IF(OR(TYPE(I158)&gt;1,TYPE(MATCH(I158,AA$11:AA$267,0))&gt;1),0,MATCH(I158,AA$11:AA$267,0))</f>
        <v>0</v>
      </c>
      <c r="AO158" s="408">
        <f ca="1">IF(OR(TYPE(O158)&gt;1,TYPE(MATCH(O158,I$11:I$267,0))&gt;1),0,MATCH(O158,I$11:I$267,0))+IF(OR(TYPE(O158)&gt;1,TYPE(MATCH(O158,O159:O$267,0))&gt;1),0,MATCH(O158,O159:O$267,0))+IF(OR(TYPE(O158)&gt;1,TYPE(MATCH(O158,U$11:U$267,0))&gt;1),0,MATCH(O158,U$11:U$267,0))+IF(OR(TYPE(O158)&gt;1,TYPE(MATCH(O158,AA$11:AA$267,0))&gt;1),0,MATCH(O158,AA$11:AA$267,0))</f>
        <v>0</v>
      </c>
      <c r="AP158" s="408">
        <f ca="1">IF(OR(TYPE(U158)&gt;1,TYPE(MATCH(U158,I$11:I$267,0))&gt;1),0,MATCH(U158,I$11:I$267,0))+IF(OR(TYPE(U158)&gt;1,TYPE(MATCH(U158,O$11:O$267,0))&gt;1),0,MATCH(U158,O$11:O$267,0))+IF(OR(TYPE(U158)&gt;1,TYPE(MATCH(U158,U159:U$267,0))&gt;1),0,MATCH(U158,U159:U$267,0))+IF(OR(TYPE(U158)&gt;1,TYPE(MATCH(U158,AA$11:AA$267,0))&gt;1),0,MATCH(U158,AA$11:AA$267,0))</f>
        <v>0</v>
      </c>
      <c r="AQ158" s="408">
        <f ca="1">IF(OR(TYPE(AA158)&gt;1,TYPE(MATCH(AA158,I$11:I$267,0))&gt;1),0,MATCH(AA158,I$11:I$267,0))+IF(OR(TYPE(AA158)&gt;1,TYPE(MATCH(AA158,O$11:O$267,0))&gt;1),0,MATCH(AA158,O$11:O$267,0))+IF(OR(TYPE(AA158)&gt;1,TYPE(MATCH(AA158,U$11:U$267,0))&gt;1),0,MATCH(U158,U$11:U$267,0))+IF(OR(TYPE(AA158)&gt;1,TYPE(MATCH(AA158,AA159:AA$267,0))&gt;1),0,MATCH(AA158,AA159:AA$267,0))</f>
        <v>0</v>
      </c>
      <c r="AR158" s="408">
        <f t="shared" ca="1" si="75"/>
        <v>0</v>
      </c>
      <c r="BF158" s="408">
        <f t="shared" si="76"/>
        <v>148</v>
      </c>
    </row>
    <row r="159" spans="1:58" ht="14.25">
      <c r="A159" s="430">
        <f t="shared" ca="1" si="65"/>
        <v>0</v>
      </c>
      <c r="B159" s="430">
        <f t="shared" ca="1" si="66"/>
        <v>0</v>
      </c>
      <c r="C159" s="430">
        <f t="shared" ca="1" si="67"/>
        <v>0</v>
      </c>
      <c r="D159" s="430">
        <f t="shared" ca="1" si="68"/>
        <v>99999</v>
      </c>
      <c r="E159" s="430">
        <f t="shared" ca="1" si="69"/>
        <v>9999</v>
      </c>
      <c r="F159" s="431" t="str">
        <f t="shared" ca="1" si="63"/>
        <v>00000000000000000000565522</v>
      </c>
      <c r="G159" s="467" t="b">
        <f t="shared" ca="1" si="70"/>
        <v>1</v>
      </c>
      <c r="H159" s="468">
        <f t="shared" si="60"/>
        <v>149</v>
      </c>
      <c r="I159" s="469" t="str">
        <f t="shared" ca="1" si="71"/>
        <v/>
      </c>
      <c r="J159" s="470" t="str">
        <f ca="1">IF(N(I159)&gt;0,VLOOKUP(I159,Hraci!$A$1:$I$1500,2,0),IF(TYPE(INDIRECT(ADDRESS(ROW() + $A$9-9 + (ROW()-11)*4,2,1,1,"Internet")))&gt;1,INDIRECT(ADDRESS(ROW() + $A$9-9 + (ROW()-11)*4,2,1,1,"Internet"))," "))</f>
        <v xml:space="preserve"> </v>
      </c>
      <c r="K159" s="471" t="str">
        <f ca="1">IF(N(I159)&gt;0,VLOOKUP(I159,Hraci!$A$1:$I$1500,3,0)," ")</f>
        <v xml:space="preserve"> </v>
      </c>
      <c r="L159" s="471" t="str">
        <f ca="1">IF(N(I159)&gt;0,VLOOKUP(I159,Hraci!$A$1:$I$1500,5,0),IF(TYPE(INDIRECT(ADDRESS(ROW() + $A$9-9 + (ROW()-11)*4,3,1,1,"Internet")))&gt;1,INDIRECT(ADDRESS(ROW() + $A$9-9 + (ROW()-11)*4,3,1,1,"Internet"))," "))</f>
        <v xml:space="preserve"> </v>
      </c>
      <c r="M159" s="472">
        <f ca="1">IF(N(I159)=0,9999,VLOOKUP(I159,Hraci!$A$1:$I$1500,8,0))</f>
        <v>9999</v>
      </c>
      <c r="N159" s="473">
        <f ca="1">IF(N(I159)=0,0,VLOOKUP(I159,Hraci!$A$1:$I$1500,9,0))</f>
        <v>0</v>
      </c>
      <c r="O159" s="469" t="str">
        <f t="shared" ca="1" si="72"/>
        <v/>
      </c>
      <c r="P159" s="470" t="str">
        <f ca="1">IF(N(O159)&gt;0,VLOOKUP(O159,Hraci!$A$1:$I$1500,2,0),IF(TYPE(INDIRECT(ADDRESS(ROW() + $A$9-8 + (ROW()-11)*4,2,1,1,"Internet")))&gt;1,INDIRECT(ADDRESS(ROW() + $A$9-8 + (ROW()-11)*4,2,1,1,"Internet"))," "))</f>
        <v xml:space="preserve"> </v>
      </c>
      <c r="Q159" s="471" t="str">
        <f ca="1">IF(N(O159)&gt;0,VLOOKUP(O159,Hraci!$A$1:$I$1500,3,0)," ")</f>
        <v xml:space="preserve"> </v>
      </c>
      <c r="R159" s="471" t="str">
        <f ca="1">IF(N(O159)&gt;0,VLOOKUP(O159,Hraci!$A$1:$I$1500,5,0),IF(TYPE(INDIRECT(ADDRESS(ROW() + $A$9-8 + (ROW()-11)*4,3,1,1,"Internet")))&gt;1,INDIRECT(ADDRESS(ROW() + $A$9-8 + (ROW()-11)*4,3,1,1,"Internet"))," "))</f>
        <v xml:space="preserve"> </v>
      </c>
      <c r="S159" s="472">
        <f ca="1">IF(N(O159)=0,9999,VLOOKUP(O159,Hraci!$A$1:$I$1500,8,0))</f>
        <v>9999</v>
      </c>
      <c r="T159" s="473">
        <f ca="1">IF(N(O159)=0,0,VLOOKUP(O159,Hraci!$A$1:$I$1500,9,0))</f>
        <v>0</v>
      </c>
      <c r="U159" s="469" t="str">
        <f t="shared" ca="1" si="73"/>
        <v/>
      </c>
      <c r="V159" s="470" t="str">
        <f ca="1">IF(N(U159)&gt;0,VLOOKUP(U159,Hraci!$A$1:$I$1500,2,0),IF(TYPE(INDIRECT(ADDRESS(ROW() + $A$9-7 + (ROW()-11)*4,2,1,1,"Internet")))&gt;1,INDIRECT(ADDRESS(ROW() + $A$9-7 + (ROW()-11)*4,2,1,1,"Internet"))," "))</f>
        <v xml:space="preserve"> </v>
      </c>
      <c r="W159" s="471" t="str">
        <f ca="1">IF(N(U159)&gt;0,VLOOKUP(U159,Hraci!$A$1:$I$1500,3,0)," ")</f>
        <v xml:space="preserve"> </v>
      </c>
      <c r="X159" s="471" t="str">
        <f ca="1">IF(N(U159)&gt;0,VLOOKUP(U159,Hraci!$A$1:$I$1500,5,0),IF(TYPE(INDIRECT(ADDRESS(ROW() + $A$9-7 + (ROW()-11)*4,3,1,1,"Internet")))&gt;1,INDIRECT(ADDRESS(ROW() + $A$9-7 + (ROW()-11)*4,3,1,1,"Internet"))," "))</f>
        <v xml:space="preserve"> </v>
      </c>
      <c r="Y159" s="472">
        <f ca="1">IF(N(U159)=0,9999,VLOOKUP(U159,Hraci!$A$1:$I$1500,8,0))</f>
        <v>9999</v>
      </c>
      <c r="Z159" s="473">
        <f ca="1">IF(N(U159)=0,0,VLOOKUP(U159,Hraci!$A$1:$I$1500,9,0))</f>
        <v>0</v>
      </c>
      <c r="AA159" s="469" t="str">
        <f t="shared" ca="1" si="74"/>
        <v/>
      </c>
      <c r="AB159" s="470" t="str">
        <f ca="1">IF(N(AA159)&gt;0,VLOOKUP(AA159,Hraci!$A$1:$I$1500,2,0)," ")</f>
        <v xml:space="preserve"> </v>
      </c>
      <c r="AC159" s="471" t="str">
        <f ca="1">IF(N(AA159)&gt;0,VLOOKUP(AA159,Hraci!$A$1:$I$1500,3,0)," ")</f>
        <v xml:space="preserve"> </v>
      </c>
      <c r="AD159" s="471" t="str">
        <f ca="1">IF(N(AA159)&gt;0,VLOOKUP(AA159,Hraci!$A$1:$I$1500,5,0)," ")</f>
        <v xml:space="preserve"> </v>
      </c>
      <c r="AE159" s="472">
        <f ca="1">IF(N(AA159)=0,9999,VLOOKUP(AA159,Hraci!$A$1:$I$1500,8,0))</f>
        <v>9999</v>
      </c>
      <c r="AF159" s="473">
        <f ca="1">IF(N(AA159)=0,0,VLOOKUP(AA159,Hraci!$A$1:$I$1500,9,0))</f>
        <v>0</v>
      </c>
      <c r="AG159" s="474"/>
      <c r="AH159" s="480">
        <f ca="1">IF(TYPE(VLOOKUP(H159,Nasazení!$A$3:$E$258,5,0))&lt;4,VLOOKUP(H159,Nasazení!$A$3:$E$258,5,0),0)</f>
        <v>0</v>
      </c>
      <c r="AI159" s="475" t="str">
        <f ca="1">IF(N($AH159)&gt;0,VLOOKUP($AH159,Body!$A$4:$F$259,5,0),"")</f>
        <v/>
      </c>
      <c r="AJ159" s="476" t="str">
        <f ca="1">IF(N($AH159)&gt;0,VLOOKUP($AH159,Body!$A$4:$F$259,6,0),"")</f>
        <v/>
      </c>
      <c r="AK159" s="475" t="str">
        <f ca="1">IF(N($AH159)&gt;0,VLOOKUP($AH159,Body!$A$4:$F$259,2,0),"")</f>
        <v/>
      </c>
      <c r="AL159" s="477" t="str">
        <f t="shared" ca="1" si="61"/>
        <v/>
      </c>
      <c r="AM159" s="478">
        <f t="shared" ca="1" si="62"/>
        <v>0</v>
      </c>
      <c r="AN159" s="408">
        <f ca="1">IF(OR(TYPE(I159)&gt;1,TYPE(MATCH(I159,I160:I$267,0))&gt;1),0,MATCH(I159,I160:I$267,0))+IF(OR(TYPE(I159)&gt;1,TYPE(MATCH(I159,O$11:O$267,0))&gt;1),0,MATCH(I159,O$11:O$267,0))+IF(OR(TYPE(I159)&gt;1,TYPE(MATCH(I159,U$11:U$267,0))&gt;1),0,MATCH(I159,U$11:U$267,0))+IF(OR(TYPE(I159)&gt;1,TYPE(MATCH(I159,AA$11:AA$267,0))&gt;1),0,MATCH(I159,AA$11:AA$267,0))</f>
        <v>0</v>
      </c>
      <c r="AO159" s="408">
        <f ca="1">IF(OR(TYPE(O159)&gt;1,TYPE(MATCH(O159,I$11:I$267,0))&gt;1),0,MATCH(O159,I$11:I$267,0))+IF(OR(TYPE(O159)&gt;1,TYPE(MATCH(O159,O160:O$267,0))&gt;1),0,MATCH(O159,O160:O$267,0))+IF(OR(TYPE(O159)&gt;1,TYPE(MATCH(O159,U$11:U$267,0))&gt;1),0,MATCH(O159,U$11:U$267,0))+IF(OR(TYPE(O159)&gt;1,TYPE(MATCH(O159,AA$11:AA$267,0))&gt;1),0,MATCH(O159,AA$11:AA$267,0))</f>
        <v>0</v>
      </c>
      <c r="AP159" s="408">
        <f ca="1">IF(OR(TYPE(U159)&gt;1,TYPE(MATCH(U159,I$11:I$267,0))&gt;1),0,MATCH(U159,I$11:I$267,0))+IF(OR(TYPE(U159)&gt;1,TYPE(MATCH(U159,O$11:O$267,0))&gt;1),0,MATCH(U159,O$11:O$267,0))+IF(OR(TYPE(U159)&gt;1,TYPE(MATCH(U159,U160:U$267,0))&gt;1),0,MATCH(U159,U160:U$267,0))+IF(OR(TYPE(U159)&gt;1,TYPE(MATCH(U159,AA$11:AA$267,0))&gt;1),0,MATCH(U159,AA$11:AA$267,0))</f>
        <v>0</v>
      </c>
      <c r="AQ159" s="408">
        <f ca="1">IF(OR(TYPE(AA159)&gt;1,TYPE(MATCH(AA159,I$11:I$267,0))&gt;1),0,MATCH(AA159,I$11:I$267,0))+IF(OR(TYPE(AA159)&gt;1,TYPE(MATCH(AA159,O$11:O$267,0))&gt;1),0,MATCH(AA159,O$11:O$267,0))+IF(OR(TYPE(AA159)&gt;1,TYPE(MATCH(AA159,U$11:U$267,0))&gt;1),0,MATCH(U159,U$11:U$267,0))+IF(OR(TYPE(AA159)&gt;1,TYPE(MATCH(AA159,AA160:AA$267,0))&gt;1),0,MATCH(AA159,AA160:AA$267,0))</f>
        <v>0</v>
      </c>
      <c r="AR159" s="408">
        <f t="shared" ca="1" si="75"/>
        <v>0</v>
      </c>
      <c r="BF159" s="408">
        <f t="shared" si="76"/>
        <v>149</v>
      </c>
    </row>
    <row r="160" spans="1:58" ht="14.25">
      <c r="A160" s="430">
        <f t="shared" ca="1" si="65"/>
        <v>0</v>
      </c>
      <c r="B160" s="430">
        <f t="shared" ca="1" si="66"/>
        <v>0</v>
      </c>
      <c r="C160" s="430">
        <f t="shared" ca="1" si="67"/>
        <v>0</v>
      </c>
      <c r="D160" s="430">
        <f t="shared" ca="1" si="68"/>
        <v>99999</v>
      </c>
      <c r="E160" s="430">
        <f t="shared" ca="1" si="69"/>
        <v>9999</v>
      </c>
      <c r="F160" s="431" t="str">
        <f t="shared" ca="1" si="63"/>
        <v>00000000000000000000077757</v>
      </c>
      <c r="G160" s="467" t="b">
        <f t="shared" ca="1" si="70"/>
        <v>1</v>
      </c>
      <c r="H160" s="468">
        <f t="shared" si="60"/>
        <v>150</v>
      </c>
      <c r="I160" s="469" t="str">
        <f t="shared" ca="1" si="71"/>
        <v/>
      </c>
      <c r="J160" s="470" t="str">
        <f ca="1">IF(N(I160)&gt;0,VLOOKUP(I160,Hraci!$A$1:$I$1500,2,0),IF(TYPE(INDIRECT(ADDRESS(ROW() + $A$9-9 + (ROW()-11)*4,2,1,1,"Internet")))&gt;1,INDIRECT(ADDRESS(ROW() + $A$9-9 + (ROW()-11)*4,2,1,1,"Internet"))," "))</f>
        <v xml:space="preserve"> </v>
      </c>
      <c r="K160" s="471" t="str">
        <f ca="1">IF(N(I160)&gt;0,VLOOKUP(I160,Hraci!$A$1:$I$1500,3,0)," ")</f>
        <v xml:space="preserve"> </v>
      </c>
      <c r="L160" s="471" t="str">
        <f ca="1">IF(N(I160)&gt;0,VLOOKUP(I160,Hraci!$A$1:$I$1500,5,0),IF(TYPE(INDIRECT(ADDRESS(ROW() + $A$9-9 + (ROW()-11)*4,3,1,1,"Internet")))&gt;1,INDIRECT(ADDRESS(ROW() + $A$9-9 + (ROW()-11)*4,3,1,1,"Internet"))," "))</f>
        <v xml:space="preserve"> </v>
      </c>
      <c r="M160" s="472">
        <f ca="1">IF(N(I160)=0,9999,VLOOKUP(I160,Hraci!$A$1:$I$1500,8,0))</f>
        <v>9999</v>
      </c>
      <c r="N160" s="473">
        <f ca="1">IF(N(I160)=0,0,VLOOKUP(I160,Hraci!$A$1:$I$1500,9,0))</f>
        <v>0</v>
      </c>
      <c r="O160" s="469" t="str">
        <f t="shared" ca="1" si="72"/>
        <v/>
      </c>
      <c r="P160" s="470" t="str">
        <f ca="1">IF(N(O160)&gt;0,VLOOKUP(O160,Hraci!$A$1:$I$1500,2,0),IF(TYPE(INDIRECT(ADDRESS(ROW() + $A$9-8 + (ROW()-11)*4,2,1,1,"Internet")))&gt;1,INDIRECT(ADDRESS(ROW() + $A$9-8 + (ROW()-11)*4,2,1,1,"Internet"))," "))</f>
        <v xml:space="preserve"> </v>
      </c>
      <c r="Q160" s="471" t="str">
        <f ca="1">IF(N(O160)&gt;0,VLOOKUP(O160,Hraci!$A$1:$I$1500,3,0)," ")</f>
        <v xml:space="preserve"> </v>
      </c>
      <c r="R160" s="471" t="str">
        <f ca="1">IF(N(O160)&gt;0,VLOOKUP(O160,Hraci!$A$1:$I$1500,5,0),IF(TYPE(INDIRECT(ADDRESS(ROW() + $A$9-8 + (ROW()-11)*4,3,1,1,"Internet")))&gt;1,INDIRECT(ADDRESS(ROW() + $A$9-8 + (ROW()-11)*4,3,1,1,"Internet"))," "))</f>
        <v xml:space="preserve"> </v>
      </c>
      <c r="S160" s="472">
        <f ca="1">IF(N(O160)=0,9999,VLOOKUP(O160,Hraci!$A$1:$I$1500,8,0))</f>
        <v>9999</v>
      </c>
      <c r="T160" s="473">
        <f ca="1">IF(N(O160)=0,0,VLOOKUP(O160,Hraci!$A$1:$I$1500,9,0))</f>
        <v>0</v>
      </c>
      <c r="U160" s="469" t="str">
        <f t="shared" ca="1" si="73"/>
        <v/>
      </c>
      <c r="V160" s="470" t="str">
        <f ca="1">IF(N(U160)&gt;0,VLOOKUP(U160,Hraci!$A$1:$I$1500,2,0),IF(TYPE(INDIRECT(ADDRESS(ROW() + $A$9-7 + (ROW()-11)*4,2,1,1,"Internet")))&gt;1,INDIRECT(ADDRESS(ROW() + $A$9-7 + (ROW()-11)*4,2,1,1,"Internet"))," "))</f>
        <v xml:space="preserve"> </v>
      </c>
      <c r="W160" s="471" t="str">
        <f ca="1">IF(N(U160)&gt;0,VLOOKUP(U160,Hraci!$A$1:$I$1500,3,0)," ")</f>
        <v xml:space="preserve"> </v>
      </c>
      <c r="X160" s="471" t="str">
        <f ca="1">IF(N(U160)&gt;0,VLOOKUP(U160,Hraci!$A$1:$I$1500,5,0),IF(TYPE(INDIRECT(ADDRESS(ROW() + $A$9-7 + (ROW()-11)*4,3,1,1,"Internet")))&gt;1,INDIRECT(ADDRESS(ROW() + $A$9-7 + (ROW()-11)*4,3,1,1,"Internet"))," "))</f>
        <v xml:space="preserve"> </v>
      </c>
      <c r="Y160" s="472">
        <f ca="1">IF(N(U160)=0,9999,VLOOKUP(U160,Hraci!$A$1:$I$1500,8,0))</f>
        <v>9999</v>
      </c>
      <c r="Z160" s="473">
        <f ca="1">IF(N(U160)=0,0,VLOOKUP(U160,Hraci!$A$1:$I$1500,9,0))</f>
        <v>0</v>
      </c>
      <c r="AA160" s="469" t="str">
        <f t="shared" ca="1" si="74"/>
        <v/>
      </c>
      <c r="AB160" s="470" t="str">
        <f ca="1">IF(N(AA160)&gt;0,VLOOKUP(AA160,Hraci!$A$1:$I$1500,2,0)," ")</f>
        <v xml:space="preserve"> </v>
      </c>
      <c r="AC160" s="471" t="str">
        <f ca="1">IF(N(AA160)&gt;0,VLOOKUP(AA160,Hraci!$A$1:$I$1500,3,0)," ")</f>
        <v xml:space="preserve"> </v>
      </c>
      <c r="AD160" s="471" t="str">
        <f ca="1">IF(N(AA160)&gt;0,VLOOKUP(AA160,Hraci!$A$1:$I$1500,5,0)," ")</f>
        <v xml:space="preserve"> </v>
      </c>
      <c r="AE160" s="472">
        <f ca="1">IF(N(AA160)=0,9999,VLOOKUP(AA160,Hraci!$A$1:$I$1500,8,0))</f>
        <v>9999</v>
      </c>
      <c r="AF160" s="473">
        <f ca="1">IF(N(AA160)=0,0,VLOOKUP(AA160,Hraci!$A$1:$I$1500,9,0))</f>
        <v>0</v>
      </c>
      <c r="AG160" s="474"/>
      <c r="AH160" s="480">
        <f ca="1">IF(TYPE(VLOOKUP(H160,Nasazení!$A$3:$E$258,5,0))&lt;4,VLOOKUP(H160,Nasazení!$A$3:$E$258,5,0),0)</f>
        <v>0</v>
      </c>
      <c r="AI160" s="475" t="str">
        <f ca="1">IF(N($AH160)&gt;0,VLOOKUP($AH160,Body!$A$4:$F$259,5,0),"")</f>
        <v/>
      </c>
      <c r="AJ160" s="476" t="str">
        <f ca="1">IF(N($AH160)&gt;0,VLOOKUP($AH160,Body!$A$4:$F$259,6,0),"")</f>
        <v/>
      </c>
      <c r="AK160" s="475" t="str">
        <f ca="1">IF(N($AH160)&gt;0,VLOOKUP($AH160,Body!$A$4:$F$259,2,0),"")</f>
        <v/>
      </c>
      <c r="AL160" s="477" t="str">
        <f t="shared" ca="1" si="61"/>
        <v/>
      </c>
      <c r="AM160" s="478">
        <f t="shared" ca="1" si="62"/>
        <v>0</v>
      </c>
      <c r="AN160" s="408">
        <f ca="1">IF(OR(TYPE(I160)&gt;1,TYPE(MATCH(I160,I161:I$267,0))&gt;1),0,MATCH(I160,I161:I$267,0))+IF(OR(TYPE(I160)&gt;1,TYPE(MATCH(I160,O$11:O$267,0))&gt;1),0,MATCH(I160,O$11:O$267,0))+IF(OR(TYPE(I160)&gt;1,TYPE(MATCH(I160,U$11:U$267,0))&gt;1),0,MATCH(I160,U$11:U$267,0))+IF(OR(TYPE(I160)&gt;1,TYPE(MATCH(I160,AA$11:AA$267,0))&gt;1),0,MATCH(I160,AA$11:AA$267,0))</f>
        <v>0</v>
      </c>
      <c r="AO160" s="408">
        <f ca="1">IF(OR(TYPE(O160)&gt;1,TYPE(MATCH(O160,I$11:I$267,0))&gt;1),0,MATCH(O160,I$11:I$267,0))+IF(OR(TYPE(O160)&gt;1,TYPE(MATCH(O160,O161:O$267,0))&gt;1),0,MATCH(O160,O161:O$267,0))+IF(OR(TYPE(O160)&gt;1,TYPE(MATCH(O160,U$11:U$267,0))&gt;1),0,MATCH(O160,U$11:U$267,0))+IF(OR(TYPE(O160)&gt;1,TYPE(MATCH(O160,AA$11:AA$267,0))&gt;1),0,MATCH(O160,AA$11:AA$267,0))</f>
        <v>0</v>
      </c>
      <c r="AP160" s="408">
        <f ca="1">IF(OR(TYPE(U160)&gt;1,TYPE(MATCH(U160,I$11:I$267,0))&gt;1),0,MATCH(U160,I$11:I$267,0))+IF(OR(TYPE(U160)&gt;1,TYPE(MATCH(U160,O$11:O$267,0))&gt;1),0,MATCH(U160,O$11:O$267,0))+IF(OR(TYPE(U160)&gt;1,TYPE(MATCH(U160,U161:U$267,0))&gt;1),0,MATCH(U160,U161:U$267,0))+IF(OR(TYPE(U160)&gt;1,TYPE(MATCH(U160,AA$11:AA$267,0))&gt;1),0,MATCH(U160,AA$11:AA$267,0))</f>
        <v>0</v>
      </c>
      <c r="AQ160" s="408">
        <f ca="1">IF(OR(TYPE(AA160)&gt;1,TYPE(MATCH(AA160,I$11:I$267,0))&gt;1),0,MATCH(AA160,I$11:I$267,0))+IF(OR(TYPE(AA160)&gt;1,TYPE(MATCH(AA160,O$11:O$267,0))&gt;1),0,MATCH(AA160,O$11:O$267,0))+IF(OR(TYPE(AA160)&gt;1,TYPE(MATCH(AA160,U$11:U$267,0))&gt;1),0,MATCH(U160,U$11:U$267,0))+IF(OR(TYPE(AA160)&gt;1,TYPE(MATCH(AA160,AA161:AA$267,0))&gt;1),0,MATCH(AA160,AA161:AA$267,0))</f>
        <v>0</v>
      </c>
      <c r="AR160" s="408">
        <f t="shared" ca="1" si="75"/>
        <v>0</v>
      </c>
      <c r="BF160" s="408">
        <f t="shared" si="76"/>
        <v>150</v>
      </c>
    </row>
    <row r="161" spans="1:58" ht="14.25">
      <c r="A161" s="430">
        <f t="shared" ca="1" si="65"/>
        <v>0</v>
      </c>
      <c r="B161" s="430">
        <f t="shared" ca="1" si="66"/>
        <v>0</v>
      </c>
      <c r="C161" s="430">
        <f t="shared" ca="1" si="67"/>
        <v>0</v>
      </c>
      <c r="D161" s="430">
        <f t="shared" ca="1" si="68"/>
        <v>99999</v>
      </c>
      <c r="E161" s="430">
        <f t="shared" ca="1" si="69"/>
        <v>9999</v>
      </c>
      <c r="F161" s="431" t="str">
        <f t="shared" ca="1" si="63"/>
        <v>00000000000000000000505463</v>
      </c>
      <c r="G161" s="467" t="b">
        <f t="shared" ca="1" si="70"/>
        <v>1</v>
      </c>
      <c r="H161" s="468">
        <f t="shared" si="60"/>
        <v>151</v>
      </c>
      <c r="I161" s="469" t="str">
        <f t="shared" ca="1" si="71"/>
        <v/>
      </c>
      <c r="J161" s="470" t="str">
        <f ca="1">IF(N(I161)&gt;0,VLOOKUP(I161,Hraci!$A$1:$I$1500,2,0),IF(TYPE(INDIRECT(ADDRESS(ROW() + $A$9-9 + (ROW()-11)*4,2,1,1,"Internet")))&gt;1,INDIRECT(ADDRESS(ROW() + $A$9-9 + (ROW()-11)*4,2,1,1,"Internet"))," "))</f>
        <v xml:space="preserve"> </v>
      </c>
      <c r="K161" s="471" t="str">
        <f ca="1">IF(N(I161)&gt;0,VLOOKUP(I161,Hraci!$A$1:$I$1500,3,0)," ")</f>
        <v xml:space="preserve"> </v>
      </c>
      <c r="L161" s="471" t="str">
        <f ca="1">IF(N(I161)&gt;0,VLOOKUP(I161,Hraci!$A$1:$I$1500,5,0),IF(TYPE(INDIRECT(ADDRESS(ROW() + $A$9-9 + (ROW()-11)*4,3,1,1,"Internet")))&gt;1,INDIRECT(ADDRESS(ROW() + $A$9-9 + (ROW()-11)*4,3,1,1,"Internet"))," "))</f>
        <v xml:space="preserve"> </v>
      </c>
      <c r="M161" s="472">
        <f ca="1">IF(N(I161)=0,9999,VLOOKUP(I161,Hraci!$A$1:$I$1500,8,0))</f>
        <v>9999</v>
      </c>
      <c r="N161" s="473">
        <f ca="1">IF(N(I161)=0,0,VLOOKUP(I161,Hraci!$A$1:$I$1500,9,0))</f>
        <v>0</v>
      </c>
      <c r="O161" s="469" t="str">
        <f t="shared" ca="1" si="72"/>
        <v/>
      </c>
      <c r="P161" s="470" t="str">
        <f ca="1">IF(N(O161)&gt;0,VLOOKUP(O161,Hraci!$A$1:$I$1500,2,0),IF(TYPE(INDIRECT(ADDRESS(ROW() + $A$9-8 + (ROW()-11)*4,2,1,1,"Internet")))&gt;1,INDIRECT(ADDRESS(ROW() + $A$9-8 + (ROW()-11)*4,2,1,1,"Internet"))," "))</f>
        <v xml:space="preserve"> </v>
      </c>
      <c r="Q161" s="471" t="str">
        <f ca="1">IF(N(O161)&gt;0,VLOOKUP(O161,Hraci!$A$1:$I$1500,3,0)," ")</f>
        <v xml:space="preserve"> </v>
      </c>
      <c r="R161" s="471" t="str">
        <f ca="1">IF(N(O161)&gt;0,VLOOKUP(O161,Hraci!$A$1:$I$1500,5,0),IF(TYPE(INDIRECT(ADDRESS(ROW() + $A$9-8 + (ROW()-11)*4,3,1,1,"Internet")))&gt;1,INDIRECT(ADDRESS(ROW() + $A$9-8 + (ROW()-11)*4,3,1,1,"Internet"))," "))</f>
        <v xml:space="preserve"> </v>
      </c>
      <c r="S161" s="472">
        <f ca="1">IF(N(O161)=0,9999,VLOOKUP(O161,Hraci!$A$1:$I$1500,8,0))</f>
        <v>9999</v>
      </c>
      <c r="T161" s="473">
        <f ca="1">IF(N(O161)=0,0,VLOOKUP(O161,Hraci!$A$1:$I$1500,9,0))</f>
        <v>0</v>
      </c>
      <c r="U161" s="469" t="str">
        <f t="shared" ca="1" si="73"/>
        <v/>
      </c>
      <c r="V161" s="470" t="str">
        <f ca="1">IF(N(U161)&gt;0,VLOOKUP(U161,Hraci!$A$1:$I$1500,2,0),IF(TYPE(INDIRECT(ADDRESS(ROW() + $A$9-7 + (ROW()-11)*4,2,1,1,"Internet")))&gt;1,INDIRECT(ADDRESS(ROW() + $A$9-7 + (ROW()-11)*4,2,1,1,"Internet"))," "))</f>
        <v xml:space="preserve"> </v>
      </c>
      <c r="W161" s="471" t="str">
        <f ca="1">IF(N(U161)&gt;0,VLOOKUP(U161,Hraci!$A$1:$I$1500,3,0)," ")</f>
        <v xml:space="preserve"> </v>
      </c>
      <c r="X161" s="471" t="str">
        <f ca="1">IF(N(U161)&gt;0,VLOOKUP(U161,Hraci!$A$1:$I$1500,5,0),IF(TYPE(INDIRECT(ADDRESS(ROW() + $A$9-7 + (ROW()-11)*4,3,1,1,"Internet")))&gt;1,INDIRECT(ADDRESS(ROW() + $A$9-7 + (ROW()-11)*4,3,1,1,"Internet"))," "))</f>
        <v xml:space="preserve"> </v>
      </c>
      <c r="Y161" s="472">
        <f ca="1">IF(N(U161)=0,9999,VLOOKUP(U161,Hraci!$A$1:$I$1500,8,0))</f>
        <v>9999</v>
      </c>
      <c r="Z161" s="473">
        <f ca="1">IF(N(U161)=0,0,VLOOKUP(U161,Hraci!$A$1:$I$1500,9,0))</f>
        <v>0</v>
      </c>
      <c r="AA161" s="469" t="str">
        <f t="shared" ca="1" si="74"/>
        <v/>
      </c>
      <c r="AB161" s="470" t="str">
        <f ca="1">IF(N(AA161)&gt;0,VLOOKUP(AA161,Hraci!$A$1:$I$1500,2,0)," ")</f>
        <v xml:space="preserve"> </v>
      </c>
      <c r="AC161" s="471" t="str">
        <f ca="1">IF(N(AA161)&gt;0,VLOOKUP(AA161,Hraci!$A$1:$I$1500,3,0)," ")</f>
        <v xml:space="preserve"> </v>
      </c>
      <c r="AD161" s="471" t="str">
        <f ca="1">IF(N(AA161)&gt;0,VLOOKUP(AA161,Hraci!$A$1:$I$1500,5,0)," ")</f>
        <v xml:space="preserve"> </v>
      </c>
      <c r="AE161" s="472">
        <f ca="1">IF(N(AA161)=0,9999,VLOOKUP(AA161,Hraci!$A$1:$I$1500,8,0))</f>
        <v>9999</v>
      </c>
      <c r="AF161" s="473">
        <f ca="1">IF(N(AA161)=0,0,VLOOKUP(AA161,Hraci!$A$1:$I$1500,9,0))</f>
        <v>0</v>
      </c>
      <c r="AG161" s="474"/>
      <c r="AH161" s="480">
        <f ca="1">IF(TYPE(VLOOKUP(H161,Nasazení!$A$3:$E$258,5,0))&lt;4,VLOOKUP(H161,Nasazení!$A$3:$E$258,5,0),0)</f>
        <v>0</v>
      </c>
      <c r="AI161" s="475" t="str">
        <f ca="1">IF(N($AH161)&gt;0,VLOOKUP($AH161,Body!$A$4:$F$259,5,0),"")</f>
        <v/>
      </c>
      <c r="AJ161" s="476" t="str">
        <f ca="1">IF(N($AH161)&gt;0,VLOOKUP($AH161,Body!$A$4:$F$259,6,0),"")</f>
        <v/>
      </c>
      <c r="AK161" s="475" t="str">
        <f ca="1">IF(N($AH161)&gt;0,VLOOKUP($AH161,Body!$A$4:$F$259,2,0),"")</f>
        <v/>
      </c>
      <c r="AL161" s="477" t="str">
        <f t="shared" ca="1" si="61"/>
        <v/>
      </c>
      <c r="AM161" s="478">
        <f t="shared" ca="1" si="62"/>
        <v>0</v>
      </c>
      <c r="AN161" s="408">
        <f ca="1">IF(OR(TYPE(I161)&gt;1,TYPE(MATCH(I161,I162:I$267,0))&gt;1),0,MATCH(I161,I162:I$267,0))+IF(OR(TYPE(I161)&gt;1,TYPE(MATCH(I161,O$11:O$267,0))&gt;1),0,MATCH(I161,O$11:O$267,0))+IF(OR(TYPE(I161)&gt;1,TYPE(MATCH(I161,U$11:U$267,0))&gt;1),0,MATCH(I161,U$11:U$267,0))+IF(OR(TYPE(I161)&gt;1,TYPE(MATCH(I161,AA$11:AA$267,0))&gt;1),0,MATCH(I161,AA$11:AA$267,0))</f>
        <v>0</v>
      </c>
      <c r="AO161" s="408">
        <f ca="1">IF(OR(TYPE(O161)&gt;1,TYPE(MATCH(O161,I$11:I$267,0))&gt;1),0,MATCH(O161,I$11:I$267,0))+IF(OR(TYPE(O161)&gt;1,TYPE(MATCH(O161,O162:O$267,0))&gt;1),0,MATCH(O161,O162:O$267,0))+IF(OR(TYPE(O161)&gt;1,TYPE(MATCH(O161,U$11:U$267,0))&gt;1),0,MATCH(O161,U$11:U$267,0))+IF(OR(TYPE(O161)&gt;1,TYPE(MATCH(O161,AA$11:AA$267,0))&gt;1),0,MATCH(O161,AA$11:AA$267,0))</f>
        <v>0</v>
      </c>
      <c r="AP161" s="408">
        <f ca="1">IF(OR(TYPE(U161)&gt;1,TYPE(MATCH(U161,I$11:I$267,0))&gt;1),0,MATCH(U161,I$11:I$267,0))+IF(OR(TYPE(U161)&gt;1,TYPE(MATCH(U161,O$11:O$267,0))&gt;1),0,MATCH(U161,O$11:O$267,0))+IF(OR(TYPE(U161)&gt;1,TYPE(MATCH(U161,U162:U$267,0))&gt;1),0,MATCH(U161,U162:U$267,0))+IF(OR(TYPE(U161)&gt;1,TYPE(MATCH(U161,AA$11:AA$267,0))&gt;1),0,MATCH(U161,AA$11:AA$267,0))</f>
        <v>0</v>
      </c>
      <c r="AQ161" s="408">
        <f ca="1">IF(OR(TYPE(AA161)&gt;1,TYPE(MATCH(AA161,I$11:I$267,0))&gt;1),0,MATCH(AA161,I$11:I$267,0))+IF(OR(TYPE(AA161)&gt;1,TYPE(MATCH(AA161,O$11:O$267,0))&gt;1),0,MATCH(AA161,O$11:O$267,0))+IF(OR(TYPE(AA161)&gt;1,TYPE(MATCH(AA161,U$11:U$267,0))&gt;1),0,MATCH(U161,U$11:U$267,0))+IF(OR(TYPE(AA161)&gt;1,TYPE(MATCH(AA161,AA162:AA$267,0))&gt;1),0,MATCH(AA161,AA162:AA$267,0))</f>
        <v>0</v>
      </c>
      <c r="AR161" s="408">
        <f t="shared" ca="1" si="75"/>
        <v>0</v>
      </c>
      <c r="BF161" s="408">
        <f t="shared" si="76"/>
        <v>151</v>
      </c>
    </row>
    <row r="162" spans="1:58" ht="14.25">
      <c r="A162" s="430">
        <f t="shared" ca="1" si="65"/>
        <v>0</v>
      </c>
      <c r="B162" s="430">
        <f t="shared" ca="1" si="66"/>
        <v>0</v>
      </c>
      <c r="C162" s="430">
        <f t="shared" ca="1" si="67"/>
        <v>0</v>
      </c>
      <c r="D162" s="430">
        <f t="shared" ca="1" si="68"/>
        <v>99999</v>
      </c>
      <c r="E162" s="430">
        <f t="shared" ca="1" si="69"/>
        <v>9999</v>
      </c>
      <c r="F162" s="431" t="str">
        <f t="shared" ca="1" si="63"/>
        <v>00000000000000000000943682</v>
      </c>
      <c r="G162" s="467" t="b">
        <f t="shared" ca="1" si="70"/>
        <v>1</v>
      </c>
      <c r="H162" s="468">
        <f t="shared" si="60"/>
        <v>152</v>
      </c>
      <c r="I162" s="469" t="str">
        <f t="shared" ca="1" si="71"/>
        <v/>
      </c>
      <c r="J162" s="470" t="str">
        <f ca="1">IF(N(I162)&gt;0,VLOOKUP(I162,Hraci!$A$1:$I$1500,2,0),IF(TYPE(INDIRECT(ADDRESS(ROW() + $A$9-9 + (ROW()-11)*4,2,1,1,"Internet")))&gt;1,INDIRECT(ADDRESS(ROW() + $A$9-9 + (ROW()-11)*4,2,1,1,"Internet"))," "))</f>
        <v xml:space="preserve"> </v>
      </c>
      <c r="K162" s="471" t="str">
        <f ca="1">IF(N(I162)&gt;0,VLOOKUP(I162,Hraci!$A$1:$I$1500,3,0)," ")</f>
        <v xml:space="preserve"> </v>
      </c>
      <c r="L162" s="471" t="str">
        <f ca="1">IF(N(I162)&gt;0,VLOOKUP(I162,Hraci!$A$1:$I$1500,5,0),IF(TYPE(INDIRECT(ADDRESS(ROW() + $A$9-9 + (ROW()-11)*4,3,1,1,"Internet")))&gt;1,INDIRECT(ADDRESS(ROW() + $A$9-9 + (ROW()-11)*4,3,1,1,"Internet"))," "))</f>
        <v xml:space="preserve"> </v>
      </c>
      <c r="M162" s="472">
        <f ca="1">IF(N(I162)=0,9999,VLOOKUP(I162,Hraci!$A$1:$I$1500,8,0))</f>
        <v>9999</v>
      </c>
      <c r="N162" s="473">
        <f ca="1">IF(N(I162)=0,0,VLOOKUP(I162,Hraci!$A$1:$I$1500,9,0))</f>
        <v>0</v>
      </c>
      <c r="O162" s="469" t="str">
        <f t="shared" ca="1" si="72"/>
        <v/>
      </c>
      <c r="P162" s="470" t="str">
        <f ca="1">IF(N(O162)&gt;0,VLOOKUP(O162,Hraci!$A$1:$I$1500,2,0),IF(TYPE(INDIRECT(ADDRESS(ROW() + $A$9-8 + (ROW()-11)*4,2,1,1,"Internet")))&gt;1,INDIRECT(ADDRESS(ROW() + $A$9-8 + (ROW()-11)*4,2,1,1,"Internet"))," "))</f>
        <v xml:space="preserve"> </v>
      </c>
      <c r="Q162" s="471" t="str">
        <f ca="1">IF(N(O162)&gt;0,VLOOKUP(O162,Hraci!$A$1:$I$1500,3,0)," ")</f>
        <v xml:space="preserve"> </v>
      </c>
      <c r="R162" s="471" t="str">
        <f ca="1">IF(N(O162)&gt;0,VLOOKUP(O162,Hraci!$A$1:$I$1500,5,0),IF(TYPE(INDIRECT(ADDRESS(ROW() + $A$9-8 + (ROW()-11)*4,3,1,1,"Internet")))&gt;1,INDIRECT(ADDRESS(ROW() + $A$9-8 + (ROW()-11)*4,3,1,1,"Internet"))," "))</f>
        <v xml:space="preserve"> </v>
      </c>
      <c r="S162" s="472">
        <f ca="1">IF(N(O162)=0,9999,VLOOKUP(O162,Hraci!$A$1:$I$1500,8,0))</f>
        <v>9999</v>
      </c>
      <c r="T162" s="473">
        <f ca="1">IF(N(O162)=0,0,VLOOKUP(O162,Hraci!$A$1:$I$1500,9,0))</f>
        <v>0</v>
      </c>
      <c r="U162" s="469" t="str">
        <f t="shared" ca="1" si="73"/>
        <v/>
      </c>
      <c r="V162" s="470" t="str">
        <f ca="1">IF(N(U162)&gt;0,VLOOKUP(U162,Hraci!$A$1:$I$1500,2,0),IF(TYPE(INDIRECT(ADDRESS(ROW() + $A$9-7 + (ROW()-11)*4,2,1,1,"Internet")))&gt;1,INDIRECT(ADDRESS(ROW() + $A$9-7 + (ROW()-11)*4,2,1,1,"Internet"))," "))</f>
        <v xml:space="preserve"> </v>
      </c>
      <c r="W162" s="471" t="str">
        <f ca="1">IF(N(U162)&gt;0,VLOOKUP(U162,Hraci!$A$1:$I$1500,3,0)," ")</f>
        <v xml:space="preserve"> </v>
      </c>
      <c r="X162" s="471" t="str">
        <f ca="1">IF(N(U162)&gt;0,VLOOKUP(U162,Hraci!$A$1:$I$1500,5,0),IF(TYPE(INDIRECT(ADDRESS(ROW() + $A$9-7 + (ROW()-11)*4,3,1,1,"Internet")))&gt;1,INDIRECT(ADDRESS(ROW() + $A$9-7 + (ROW()-11)*4,3,1,1,"Internet"))," "))</f>
        <v xml:space="preserve"> </v>
      </c>
      <c r="Y162" s="472">
        <f ca="1">IF(N(U162)=0,9999,VLOOKUP(U162,Hraci!$A$1:$I$1500,8,0))</f>
        <v>9999</v>
      </c>
      <c r="Z162" s="473">
        <f ca="1">IF(N(U162)=0,0,VLOOKUP(U162,Hraci!$A$1:$I$1500,9,0))</f>
        <v>0</v>
      </c>
      <c r="AA162" s="469" t="str">
        <f t="shared" ca="1" si="74"/>
        <v/>
      </c>
      <c r="AB162" s="470" t="str">
        <f ca="1">IF(N(AA162)&gt;0,VLOOKUP(AA162,Hraci!$A$1:$I$1500,2,0)," ")</f>
        <v xml:space="preserve"> </v>
      </c>
      <c r="AC162" s="471" t="str">
        <f ca="1">IF(N(AA162)&gt;0,VLOOKUP(AA162,Hraci!$A$1:$I$1500,3,0)," ")</f>
        <v xml:space="preserve"> </v>
      </c>
      <c r="AD162" s="471" t="str">
        <f ca="1">IF(N(AA162)&gt;0,VLOOKUP(AA162,Hraci!$A$1:$I$1500,5,0)," ")</f>
        <v xml:space="preserve"> </v>
      </c>
      <c r="AE162" s="472">
        <f ca="1">IF(N(AA162)=0,9999,VLOOKUP(AA162,Hraci!$A$1:$I$1500,8,0))</f>
        <v>9999</v>
      </c>
      <c r="AF162" s="473">
        <f ca="1">IF(N(AA162)=0,0,VLOOKUP(AA162,Hraci!$A$1:$I$1500,9,0))</f>
        <v>0</v>
      </c>
      <c r="AG162" s="474"/>
      <c r="AH162" s="480">
        <f ca="1">IF(TYPE(VLOOKUP(H162,Nasazení!$A$3:$E$258,5,0))&lt;4,VLOOKUP(H162,Nasazení!$A$3:$E$258,5,0),0)</f>
        <v>0</v>
      </c>
      <c r="AI162" s="475" t="str">
        <f ca="1">IF(N($AH162)&gt;0,VLOOKUP($AH162,Body!$A$4:$F$259,5,0),"")</f>
        <v/>
      </c>
      <c r="AJ162" s="476" t="str">
        <f ca="1">IF(N($AH162)&gt;0,VLOOKUP($AH162,Body!$A$4:$F$259,6,0),"")</f>
        <v/>
      </c>
      <c r="AK162" s="475" t="str">
        <f ca="1">IF(N($AH162)&gt;0,VLOOKUP($AH162,Body!$A$4:$F$259,2,0),"")</f>
        <v/>
      </c>
      <c r="AL162" s="477" t="str">
        <f t="shared" ca="1" si="61"/>
        <v/>
      </c>
      <c r="AM162" s="478">
        <f t="shared" ca="1" si="62"/>
        <v>0</v>
      </c>
      <c r="AN162" s="408">
        <f ca="1">IF(OR(TYPE(I162)&gt;1,TYPE(MATCH(I162,I163:I$267,0))&gt;1),0,MATCH(I162,I163:I$267,0))+IF(OR(TYPE(I162)&gt;1,TYPE(MATCH(I162,O$11:O$267,0))&gt;1),0,MATCH(I162,O$11:O$267,0))+IF(OR(TYPE(I162)&gt;1,TYPE(MATCH(I162,U$11:U$267,0))&gt;1),0,MATCH(I162,U$11:U$267,0))+IF(OR(TYPE(I162)&gt;1,TYPE(MATCH(I162,AA$11:AA$267,0))&gt;1),0,MATCH(I162,AA$11:AA$267,0))</f>
        <v>0</v>
      </c>
      <c r="AO162" s="408">
        <f ca="1">IF(OR(TYPE(O162)&gt;1,TYPE(MATCH(O162,I$11:I$267,0))&gt;1),0,MATCH(O162,I$11:I$267,0))+IF(OR(TYPE(O162)&gt;1,TYPE(MATCH(O162,O163:O$267,0))&gt;1),0,MATCH(O162,O163:O$267,0))+IF(OR(TYPE(O162)&gt;1,TYPE(MATCH(O162,U$11:U$267,0))&gt;1),0,MATCH(O162,U$11:U$267,0))+IF(OR(TYPE(O162)&gt;1,TYPE(MATCH(O162,AA$11:AA$267,0))&gt;1),0,MATCH(O162,AA$11:AA$267,0))</f>
        <v>0</v>
      </c>
      <c r="AP162" s="408">
        <f ca="1">IF(OR(TYPE(U162)&gt;1,TYPE(MATCH(U162,I$11:I$267,0))&gt;1),0,MATCH(U162,I$11:I$267,0))+IF(OR(TYPE(U162)&gt;1,TYPE(MATCH(U162,O$11:O$267,0))&gt;1),0,MATCH(U162,O$11:O$267,0))+IF(OR(TYPE(U162)&gt;1,TYPE(MATCH(U162,U163:U$267,0))&gt;1),0,MATCH(U162,U163:U$267,0))+IF(OR(TYPE(U162)&gt;1,TYPE(MATCH(U162,AA$11:AA$267,0))&gt;1),0,MATCH(U162,AA$11:AA$267,0))</f>
        <v>0</v>
      </c>
      <c r="AQ162" s="408">
        <f ca="1">IF(OR(TYPE(AA162)&gt;1,TYPE(MATCH(AA162,I$11:I$267,0))&gt;1),0,MATCH(AA162,I$11:I$267,0))+IF(OR(TYPE(AA162)&gt;1,TYPE(MATCH(AA162,O$11:O$267,0))&gt;1),0,MATCH(AA162,O$11:O$267,0))+IF(OR(TYPE(AA162)&gt;1,TYPE(MATCH(AA162,U$11:U$267,0))&gt;1),0,MATCH(U162,U$11:U$267,0))+IF(OR(TYPE(AA162)&gt;1,TYPE(MATCH(AA162,AA163:AA$267,0))&gt;1),0,MATCH(AA162,AA163:AA$267,0))</f>
        <v>0</v>
      </c>
      <c r="AR162" s="408">
        <f t="shared" ca="1" si="75"/>
        <v>0</v>
      </c>
      <c r="BF162" s="408">
        <f t="shared" si="76"/>
        <v>152</v>
      </c>
    </row>
    <row r="163" spans="1:58" ht="14.25">
      <c r="A163" s="430">
        <f t="shared" ca="1" si="65"/>
        <v>0</v>
      </c>
      <c r="B163" s="430">
        <f t="shared" ca="1" si="66"/>
        <v>0</v>
      </c>
      <c r="C163" s="430">
        <f t="shared" ca="1" si="67"/>
        <v>0</v>
      </c>
      <c r="D163" s="430">
        <f t="shared" ca="1" si="68"/>
        <v>99999</v>
      </c>
      <c r="E163" s="430">
        <f t="shared" ca="1" si="69"/>
        <v>9999</v>
      </c>
      <c r="F163" s="431" t="str">
        <f t="shared" ca="1" si="63"/>
        <v>00000000000000000000458373</v>
      </c>
      <c r="G163" s="467" t="b">
        <f t="shared" ca="1" si="70"/>
        <v>1</v>
      </c>
      <c r="H163" s="468">
        <f t="shared" si="60"/>
        <v>153</v>
      </c>
      <c r="I163" s="469" t="str">
        <f t="shared" ca="1" si="71"/>
        <v/>
      </c>
      <c r="J163" s="470" t="str">
        <f ca="1">IF(N(I163)&gt;0,VLOOKUP(I163,Hraci!$A$1:$I$1500,2,0),IF(TYPE(INDIRECT(ADDRESS(ROW() + $A$9-9 + (ROW()-11)*4,2,1,1,"Internet")))&gt;1,INDIRECT(ADDRESS(ROW() + $A$9-9 + (ROW()-11)*4,2,1,1,"Internet"))," "))</f>
        <v xml:space="preserve"> </v>
      </c>
      <c r="K163" s="471" t="str">
        <f ca="1">IF(N(I163)&gt;0,VLOOKUP(I163,Hraci!$A$1:$I$1500,3,0)," ")</f>
        <v xml:space="preserve"> </v>
      </c>
      <c r="L163" s="471" t="str">
        <f ca="1">IF(N(I163)&gt;0,VLOOKUP(I163,Hraci!$A$1:$I$1500,5,0),IF(TYPE(INDIRECT(ADDRESS(ROW() + $A$9-9 + (ROW()-11)*4,3,1,1,"Internet")))&gt;1,INDIRECT(ADDRESS(ROW() + $A$9-9 + (ROW()-11)*4,3,1,1,"Internet"))," "))</f>
        <v xml:space="preserve"> </v>
      </c>
      <c r="M163" s="472">
        <f ca="1">IF(N(I163)=0,9999,VLOOKUP(I163,Hraci!$A$1:$I$1500,8,0))</f>
        <v>9999</v>
      </c>
      <c r="N163" s="473">
        <f ca="1">IF(N(I163)=0,0,VLOOKUP(I163,Hraci!$A$1:$I$1500,9,0))</f>
        <v>0</v>
      </c>
      <c r="O163" s="469" t="str">
        <f t="shared" ca="1" si="72"/>
        <v/>
      </c>
      <c r="P163" s="470" t="str">
        <f ca="1">IF(N(O163)&gt;0,VLOOKUP(O163,Hraci!$A$1:$I$1500,2,0),IF(TYPE(INDIRECT(ADDRESS(ROW() + $A$9-8 + (ROW()-11)*4,2,1,1,"Internet")))&gt;1,INDIRECT(ADDRESS(ROW() + $A$9-8 + (ROW()-11)*4,2,1,1,"Internet"))," "))</f>
        <v xml:space="preserve"> </v>
      </c>
      <c r="Q163" s="471" t="str">
        <f ca="1">IF(N(O163)&gt;0,VLOOKUP(O163,Hraci!$A$1:$I$1500,3,0)," ")</f>
        <v xml:space="preserve"> </v>
      </c>
      <c r="R163" s="471" t="str">
        <f ca="1">IF(N(O163)&gt;0,VLOOKUP(O163,Hraci!$A$1:$I$1500,5,0),IF(TYPE(INDIRECT(ADDRESS(ROW() + $A$9-8 + (ROW()-11)*4,3,1,1,"Internet")))&gt;1,INDIRECT(ADDRESS(ROW() + $A$9-8 + (ROW()-11)*4,3,1,1,"Internet"))," "))</f>
        <v xml:space="preserve"> </v>
      </c>
      <c r="S163" s="472">
        <f ca="1">IF(N(O163)=0,9999,VLOOKUP(O163,Hraci!$A$1:$I$1500,8,0))</f>
        <v>9999</v>
      </c>
      <c r="T163" s="473">
        <f ca="1">IF(N(O163)=0,0,VLOOKUP(O163,Hraci!$A$1:$I$1500,9,0))</f>
        <v>0</v>
      </c>
      <c r="U163" s="469" t="str">
        <f t="shared" ca="1" si="73"/>
        <v/>
      </c>
      <c r="V163" s="470" t="str">
        <f ca="1">IF(N(U163)&gt;0,VLOOKUP(U163,Hraci!$A$1:$I$1500,2,0),IF(TYPE(INDIRECT(ADDRESS(ROW() + $A$9-7 + (ROW()-11)*4,2,1,1,"Internet")))&gt;1,INDIRECT(ADDRESS(ROW() + $A$9-7 + (ROW()-11)*4,2,1,1,"Internet"))," "))</f>
        <v xml:space="preserve"> </v>
      </c>
      <c r="W163" s="471" t="str">
        <f ca="1">IF(N(U163)&gt;0,VLOOKUP(U163,Hraci!$A$1:$I$1500,3,0)," ")</f>
        <v xml:space="preserve"> </v>
      </c>
      <c r="X163" s="471" t="str">
        <f ca="1">IF(N(U163)&gt;0,VLOOKUP(U163,Hraci!$A$1:$I$1500,5,0),IF(TYPE(INDIRECT(ADDRESS(ROW() + $A$9-7 + (ROW()-11)*4,3,1,1,"Internet")))&gt;1,INDIRECT(ADDRESS(ROW() + $A$9-7 + (ROW()-11)*4,3,1,1,"Internet"))," "))</f>
        <v xml:space="preserve"> </v>
      </c>
      <c r="Y163" s="472">
        <f ca="1">IF(N(U163)=0,9999,VLOOKUP(U163,Hraci!$A$1:$I$1500,8,0))</f>
        <v>9999</v>
      </c>
      <c r="Z163" s="473">
        <f ca="1">IF(N(U163)=0,0,VLOOKUP(U163,Hraci!$A$1:$I$1500,9,0))</f>
        <v>0</v>
      </c>
      <c r="AA163" s="469" t="str">
        <f t="shared" ca="1" si="74"/>
        <v/>
      </c>
      <c r="AB163" s="470" t="str">
        <f ca="1">IF(N(AA163)&gt;0,VLOOKUP(AA163,Hraci!$A$1:$I$1500,2,0)," ")</f>
        <v xml:space="preserve"> </v>
      </c>
      <c r="AC163" s="471" t="str">
        <f ca="1">IF(N(AA163)&gt;0,VLOOKUP(AA163,Hraci!$A$1:$I$1500,3,0)," ")</f>
        <v xml:space="preserve"> </v>
      </c>
      <c r="AD163" s="471" t="str">
        <f ca="1">IF(N(AA163)&gt;0,VLOOKUP(AA163,Hraci!$A$1:$I$1500,5,0)," ")</f>
        <v xml:space="preserve"> </v>
      </c>
      <c r="AE163" s="472">
        <f ca="1">IF(N(AA163)=0,9999,VLOOKUP(AA163,Hraci!$A$1:$I$1500,8,0))</f>
        <v>9999</v>
      </c>
      <c r="AF163" s="473">
        <f ca="1">IF(N(AA163)=0,0,VLOOKUP(AA163,Hraci!$A$1:$I$1500,9,0))</f>
        <v>0</v>
      </c>
      <c r="AG163" s="474"/>
      <c r="AH163" s="480">
        <f ca="1">IF(TYPE(VLOOKUP(H163,Nasazení!$A$3:$E$258,5,0))&lt;4,VLOOKUP(H163,Nasazení!$A$3:$E$258,5,0),0)</f>
        <v>0</v>
      </c>
      <c r="AI163" s="475" t="str">
        <f ca="1">IF(N($AH163)&gt;0,VLOOKUP($AH163,Body!$A$4:$F$259,5,0),"")</f>
        <v/>
      </c>
      <c r="AJ163" s="476" t="str">
        <f ca="1">IF(N($AH163)&gt;0,VLOOKUP($AH163,Body!$A$4:$F$259,6,0),"")</f>
        <v/>
      </c>
      <c r="AK163" s="475" t="str">
        <f ca="1">IF(N($AH163)&gt;0,VLOOKUP($AH163,Body!$A$4:$F$259,2,0),"")</f>
        <v/>
      </c>
      <c r="AL163" s="477" t="str">
        <f t="shared" ca="1" si="61"/>
        <v/>
      </c>
      <c r="AM163" s="478">
        <f t="shared" ca="1" si="62"/>
        <v>0</v>
      </c>
      <c r="AN163" s="408">
        <f ca="1">IF(OR(TYPE(I163)&gt;1,TYPE(MATCH(I163,I164:I$267,0))&gt;1),0,MATCH(I163,I164:I$267,0))+IF(OR(TYPE(I163)&gt;1,TYPE(MATCH(I163,O$11:O$267,0))&gt;1),0,MATCH(I163,O$11:O$267,0))+IF(OR(TYPE(I163)&gt;1,TYPE(MATCH(I163,U$11:U$267,0))&gt;1),0,MATCH(I163,U$11:U$267,0))+IF(OR(TYPE(I163)&gt;1,TYPE(MATCH(I163,AA$11:AA$267,0))&gt;1),0,MATCH(I163,AA$11:AA$267,0))</f>
        <v>0</v>
      </c>
      <c r="AO163" s="408">
        <f ca="1">IF(OR(TYPE(O163)&gt;1,TYPE(MATCH(O163,I$11:I$267,0))&gt;1),0,MATCH(O163,I$11:I$267,0))+IF(OR(TYPE(O163)&gt;1,TYPE(MATCH(O163,O164:O$267,0))&gt;1),0,MATCH(O163,O164:O$267,0))+IF(OR(TYPE(O163)&gt;1,TYPE(MATCH(O163,U$11:U$267,0))&gt;1),0,MATCH(O163,U$11:U$267,0))+IF(OR(TYPE(O163)&gt;1,TYPE(MATCH(O163,AA$11:AA$267,0))&gt;1),0,MATCH(O163,AA$11:AA$267,0))</f>
        <v>0</v>
      </c>
      <c r="AP163" s="408">
        <f ca="1">IF(OR(TYPE(U163)&gt;1,TYPE(MATCH(U163,I$11:I$267,0))&gt;1),0,MATCH(U163,I$11:I$267,0))+IF(OR(TYPE(U163)&gt;1,TYPE(MATCH(U163,O$11:O$267,0))&gt;1),0,MATCH(U163,O$11:O$267,0))+IF(OR(TYPE(U163)&gt;1,TYPE(MATCH(U163,U164:U$267,0))&gt;1),0,MATCH(U163,U164:U$267,0))+IF(OR(TYPE(U163)&gt;1,TYPE(MATCH(U163,AA$11:AA$267,0))&gt;1),0,MATCH(U163,AA$11:AA$267,0))</f>
        <v>0</v>
      </c>
      <c r="AQ163" s="408">
        <f ca="1">IF(OR(TYPE(AA163)&gt;1,TYPE(MATCH(AA163,I$11:I$267,0))&gt;1),0,MATCH(AA163,I$11:I$267,0))+IF(OR(TYPE(AA163)&gt;1,TYPE(MATCH(AA163,O$11:O$267,0))&gt;1),0,MATCH(AA163,O$11:O$267,0))+IF(OR(TYPE(AA163)&gt;1,TYPE(MATCH(AA163,U$11:U$267,0))&gt;1),0,MATCH(U163,U$11:U$267,0))+IF(OR(TYPE(AA163)&gt;1,TYPE(MATCH(AA163,AA164:AA$267,0))&gt;1),0,MATCH(AA163,AA164:AA$267,0))</f>
        <v>0</v>
      </c>
      <c r="AR163" s="408">
        <f t="shared" ca="1" si="75"/>
        <v>0</v>
      </c>
      <c r="BF163" s="408">
        <f t="shared" si="76"/>
        <v>153</v>
      </c>
    </row>
    <row r="164" spans="1:58" ht="14.25">
      <c r="A164" s="430">
        <f t="shared" ca="1" si="65"/>
        <v>0</v>
      </c>
      <c r="B164" s="430">
        <f t="shared" ca="1" si="66"/>
        <v>0</v>
      </c>
      <c r="C164" s="430">
        <f t="shared" ca="1" si="67"/>
        <v>0</v>
      </c>
      <c r="D164" s="430">
        <f t="shared" ca="1" si="68"/>
        <v>99999</v>
      </c>
      <c r="E164" s="430">
        <f t="shared" ca="1" si="69"/>
        <v>9999</v>
      </c>
      <c r="F164" s="431" t="str">
        <f t="shared" ca="1" si="63"/>
        <v>00000000000000000000567553</v>
      </c>
      <c r="G164" s="467" t="b">
        <f t="shared" ca="1" si="70"/>
        <v>1</v>
      </c>
      <c r="H164" s="468">
        <f t="shared" si="60"/>
        <v>154</v>
      </c>
      <c r="I164" s="469" t="str">
        <f t="shared" ca="1" si="71"/>
        <v/>
      </c>
      <c r="J164" s="470" t="str">
        <f ca="1">IF(N(I164)&gt;0,VLOOKUP(I164,Hraci!$A$1:$I$1500,2,0),IF(TYPE(INDIRECT(ADDRESS(ROW() + $A$9-9 + (ROW()-11)*4,2,1,1,"Internet")))&gt;1,INDIRECT(ADDRESS(ROW() + $A$9-9 + (ROW()-11)*4,2,1,1,"Internet"))," "))</f>
        <v xml:space="preserve"> </v>
      </c>
      <c r="K164" s="471" t="str">
        <f ca="1">IF(N(I164)&gt;0,VLOOKUP(I164,Hraci!$A$1:$I$1500,3,0)," ")</f>
        <v xml:space="preserve"> </v>
      </c>
      <c r="L164" s="471" t="str">
        <f ca="1">IF(N(I164)&gt;0,VLOOKUP(I164,Hraci!$A$1:$I$1500,5,0),IF(TYPE(INDIRECT(ADDRESS(ROW() + $A$9-9 + (ROW()-11)*4,3,1,1,"Internet")))&gt;1,INDIRECT(ADDRESS(ROW() + $A$9-9 + (ROW()-11)*4,3,1,1,"Internet"))," "))</f>
        <v xml:space="preserve"> </v>
      </c>
      <c r="M164" s="472">
        <f ca="1">IF(N(I164)=0,9999,VLOOKUP(I164,Hraci!$A$1:$I$1500,8,0))</f>
        <v>9999</v>
      </c>
      <c r="N164" s="473">
        <f ca="1">IF(N(I164)=0,0,VLOOKUP(I164,Hraci!$A$1:$I$1500,9,0))</f>
        <v>0</v>
      </c>
      <c r="O164" s="469" t="str">
        <f t="shared" ca="1" si="72"/>
        <v/>
      </c>
      <c r="P164" s="470" t="str">
        <f ca="1">IF(N(O164)&gt;0,VLOOKUP(O164,Hraci!$A$1:$I$1500,2,0),IF(TYPE(INDIRECT(ADDRESS(ROW() + $A$9-8 + (ROW()-11)*4,2,1,1,"Internet")))&gt;1,INDIRECT(ADDRESS(ROW() + $A$9-8 + (ROW()-11)*4,2,1,1,"Internet"))," "))</f>
        <v xml:space="preserve"> </v>
      </c>
      <c r="Q164" s="471" t="str">
        <f ca="1">IF(N(O164)&gt;0,VLOOKUP(O164,Hraci!$A$1:$I$1500,3,0)," ")</f>
        <v xml:space="preserve"> </v>
      </c>
      <c r="R164" s="471" t="str">
        <f ca="1">IF(N(O164)&gt;0,VLOOKUP(O164,Hraci!$A$1:$I$1500,5,0),IF(TYPE(INDIRECT(ADDRESS(ROW() + $A$9-8 + (ROW()-11)*4,3,1,1,"Internet")))&gt;1,INDIRECT(ADDRESS(ROW() + $A$9-8 + (ROW()-11)*4,3,1,1,"Internet"))," "))</f>
        <v xml:space="preserve"> </v>
      </c>
      <c r="S164" s="472">
        <f ca="1">IF(N(O164)=0,9999,VLOOKUP(O164,Hraci!$A$1:$I$1500,8,0))</f>
        <v>9999</v>
      </c>
      <c r="T164" s="473">
        <f ca="1">IF(N(O164)=0,0,VLOOKUP(O164,Hraci!$A$1:$I$1500,9,0))</f>
        <v>0</v>
      </c>
      <c r="U164" s="469" t="str">
        <f t="shared" ca="1" si="73"/>
        <v/>
      </c>
      <c r="V164" s="470" t="str">
        <f ca="1">IF(N(U164)&gt;0,VLOOKUP(U164,Hraci!$A$1:$I$1500,2,0),IF(TYPE(INDIRECT(ADDRESS(ROW() + $A$9-7 + (ROW()-11)*4,2,1,1,"Internet")))&gt;1,INDIRECT(ADDRESS(ROW() + $A$9-7 + (ROW()-11)*4,2,1,1,"Internet"))," "))</f>
        <v xml:space="preserve"> </v>
      </c>
      <c r="W164" s="471" t="str">
        <f ca="1">IF(N(U164)&gt;0,VLOOKUP(U164,Hraci!$A$1:$I$1500,3,0)," ")</f>
        <v xml:space="preserve"> </v>
      </c>
      <c r="X164" s="471" t="str">
        <f ca="1">IF(N(U164)&gt;0,VLOOKUP(U164,Hraci!$A$1:$I$1500,5,0),IF(TYPE(INDIRECT(ADDRESS(ROW() + $A$9-7 + (ROW()-11)*4,3,1,1,"Internet")))&gt;1,INDIRECT(ADDRESS(ROW() + $A$9-7 + (ROW()-11)*4,3,1,1,"Internet"))," "))</f>
        <v xml:space="preserve"> </v>
      </c>
      <c r="Y164" s="472">
        <f ca="1">IF(N(U164)=0,9999,VLOOKUP(U164,Hraci!$A$1:$I$1500,8,0))</f>
        <v>9999</v>
      </c>
      <c r="Z164" s="473">
        <f ca="1">IF(N(U164)=0,0,VLOOKUP(U164,Hraci!$A$1:$I$1500,9,0))</f>
        <v>0</v>
      </c>
      <c r="AA164" s="469" t="str">
        <f t="shared" ca="1" si="74"/>
        <v/>
      </c>
      <c r="AB164" s="470" t="str">
        <f ca="1">IF(N(AA164)&gt;0,VLOOKUP(AA164,Hraci!$A$1:$I$1500,2,0)," ")</f>
        <v xml:space="preserve"> </v>
      </c>
      <c r="AC164" s="471" t="str">
        <f ca="1">IF(N(AA164)&gt;0,VLOOKUP(AA164,Hraci!$A$1:$I$1500,3,0)," ")</f>
        <v xml:space="preserve"> </v>
      </c>
      <c r="AD164" s="471" t="str">
        <f ca="1">IF(N(AA164)&gt;0,VLOOKUP(AA164,Hraci!$A$1:$I$1500,5,0)," ")</f>
        <v xml:space="preserve"> </v>
      </c>
      <c r="AE164" s="472">
        <f ca="1">IF(N(AA164)=0,9999,VLOOKUP(AA164,Hraci!$A$1:$I$1500,8,0))</f>
        <v>9999</v>
      </c>
      <c r="AF164" s="473">
        <f ca="1">IF(N(AA164)=0,0,VLOOKUP(AA164,Hraci!$A$1:$I$1500,9,0))</f>
        <v>0</v>
      </c>
      <c r="AG164" s="474"/>
      <c r="AH164" s="480">
        <f ca="1">IF(TYPE(VLOOKUP(H164,Nasazení!$A$3:$E$258,5,0))&lt;4,VLOOKUP(H164,Nasazení!$A$3:$E$258,5,0),0)</f>
        <v>0</v>
      </c>
      <c r="AI164" s="475" t="str">
        <f ca="1">IF(N($AH164)&gt;0,VLOOKUP($AH164,Body!$A$4:$F$259,5,0),"")</f>
        <v/>
      </c>
      <c r="AJ164" s="476" t="str">
        <f ca="1">IF(N($AH164)&gt;0,VLOOKUP($AH164,Body!$A$4:$F$259,6,0),"")</f>
        <v/>
      </c>
      <c r="AK164" s="475" t="str">
        <f ca="1">IF(N($AH164)&gt;0,VLOOKUP($AH164,Body!$A$4:$F$259,2,0),"")</f>
        <v/>
      </c>
      <c r="AL164" s="477" t="str">
        <f t="shared" ca="1" si="61"/>
        <v/>
      </c>
      <c r="AM164" s="478">
        <f t="shared" ca="1" si="62"/>
        <v>0</v>
      </c>
      <c r="AN164" s="408">
        <f ca="1">IF(OR(TYPE(I164)&gt;1,TYPE(MATCH(I164,I165:I$267,0))&gt;1),0,MATCH(I164,I165:I$267,0))+IF(OR(TYPE(I164)&gt;1,TYPE(MATCH(I164,O$11:O$267,0))&gt;1),0,MATCH(I164,O$11:O$267,0))+IF(OR(TYPE(I164)&gt;1,TYPE(MATCH(I164,U$11:U$267,0))&gt;1),0,MATCH(I164,U$11:U$267,0))+IF(OR(TYPE(I164)&gt;1,TYPE(MATCH(I164,AA$11:AA$267,0))&gt;1),0,MATCH(I164,AA$11:AA$267,0))</f>
        <v>0</v>
      </c>
      <c r="AO164" s="408">
        <f ca="1">IF(OR(TYPE(O164)&gt;1,TYPE(MATCH(O164,I$11:I$267,0))&gt;1),0,MATCH(O164,I$11:I$267,0))+IF(OR(TYPE(O164)&gt;1,TYPE(MATCH(O164,O165:O$267,0))&gt;1),0,MATCH(O164,O165:O$267,0))+IF(OR(TYPE(O164)&gt;1,TYPE(MATCH(O164,U$11:U$267,0))&gt;1),0,MATCH(O164,U$11:U$267,0))+IF(OR(TYPE(O164)&gt;1,TYPE(MATCH(O164,AA$11:AA$267,0))&gt;1),0,MATCH(O164,AA$11:AA$267,0))</f>
        <v>0</v>
      </c>
      <c r="AP164" s="408">
        <f ca="1">IF(OR(TYPE(U164)&gt;1,TYPE(MATCH(U164,I$11:I$267,0))&gt;1),0,MATCH(U164,I$11:I$267,0))+IF(OR(TYPE(U164)&gt;1,TYPE(MATCH(U164,O$11:O$267,0))&gt;1),0,MATCH(U164,O$11:O$267,0))+IF(OR(TYPE(U164)&gt;1,TYPE(MATCH(U164,U165:U$267,0))&gt;1),0,MATCH(U164,U165:U$267,0))+IF(OR(TYPE(U164)&gt;1,TYPE(MATCH(U164,AA$11:AA$267,0))&gt;1),0,MATCH(U164,AA$11:AA$267,0))</f>
        <v>0</v>
      </c>
      <c r="AQ164" s="408">
        <f ca="1">IF(OR(TYPE(AA164)&gt;1,TYPE(MATCH(AA164,I$11:I$267,0))&gt;1),0,MATCH(AA164,I$11:I$267,0))+IF(OR(TYPE(AA164)&gt;1,TYPE(MATCH(AA164,O$11:O$267,0))&gt;1),0,MATCH(AA164,O$11:O$267,0))+IF(OR(TYPE(AA164)&gt;1,TYPE(MATCH(AA164,U$11:U$267,0))&gt;1),0,MATCH(U164,U$11:U$267,0))+IF(OR(TYPE(AA164)&gt;1,TYPE(MATCH(AA164,AA165:AA$267,0))&gt;1),0,MATCH(AA164,AA165:AA$267,0))</f>
        <v>0</v>
      </c>
      <c r="AR164" s="408">
        <f t="shared" ca="1" si="75"/>
        <v>0</v>
      </c>
      <c r="BF164" s="408">
        <f t="shared" si="76"/>
        <v>154</v>
      </c>
    </row>
    <row r="165" spans="1:58" ht="14.25">
      <c r="A165" s="430">
        <f t="shared" ca="1" si="65"/>
        <v>0</v>
      </c>
      <c r="B165" s="430">
        <f t="shared" ca="1" si="66"/>
        <v>0</v>
      </c>
      <c r="C165" s="430">
        <f t="shared" ca="1" si="67"/>
        <v>0</v>
      </c>
      <c r="D165" s="430">
        <f t="shared" ca="1" si="68"/>
        <v>99999</v>
      </c>
      <c r="E165" s="430">
        <f t="shared" ca="1" si="69"/>
        <v>9999</v>
      </c>
      <c r="F165" s="431" t="str">
        <f t="shared" ca="1" si="63"/>
        <v>00000000000000000000886754</v>
      </c>
      <c r="G165" s="467" t="b">
        <f t="shared" ca="1" si="70"/>
        <v>1</v>
      </c>
      <c r="H165" s="468">
        <f t="shared" si="60"/>
        <v>155</v>
      </c>
      <c r="I165" s="469" t="str">
        <f t="shared" ca="1" si="71"/>
        <v/>
      </c>
      <c r="J165" s="470" t="str">
        <f ca="1">IF(N(I165)&gt;0,VLOOKUP(I165,Hraci!$A$1:$I$1500,2,0),IF(TYPE(INDIRECT(ADDRESS(ROW() + $A$9-9 + (ROW()-11)*4,2,1,1,"Internet")))&gt;1,INDIRECT(ADDRESS(ROW() + $A$9-9 + (ROW()-11)*4,2,1,1,"Internet"))," "))</f>
        <v xml:space="preserve"> </v>
      </c>
      <c r="K165" s="471" t="str">
        <f ca="1">IF(N(I165)&gt;0,VLOOKUP(I165,Hraci!$A$1:$I$1500,3,0)," ")</f>
        <v xml:space="preserve"> </v>
      </c>
      <c r="L165" s="471" t="str">
        <f ca="1">IF(N(I165)&gt;0,VLOOKUP(I165,Hraci!$A$1:$I$1500,5,0),IF(TYPE(INDIRECT(ADDRESS(ROW() + $A$9-9 + (ROW()-11)*4,3,1,1,"Internet")))&gt;1,INDIRECT(ADDRESS(ROW() + $A$9-9 + (ROW()-11)*4,3,1,1,"Internet"))," "))</f>
        <v xml:space="preserve"> </v>
      </c>
      <c r="M165" s="472">
        <f ca="1">IF(N(I165)=0,9999,VLOOKUP(I165,Hraci!$A$1:$I$1500,8,0))</f>
        <v>9999</v>
      </c>
      <c r="N165" s="473">
        <f ca="1">IF(N(I165)=0,0,VLOOKUP(I165,Hraci!$A$1:$I$1500,9,0))</f>
        <v>0</v>
      </c>
      <c r="O165" s="469" t="str">
        <f t="shared" ca="1" si="72"/>
        <v/>
      </c>
      <c r="P165" s="470" t="str">
        <f ca="1">IF(N(O165)&gt;0,VLOOKUP(O165,Hraci!$A$1:$I$1500,2,0),IF(TYPE(INDIRECT(ADDRESS(ROW() + $A$9-8 + (ROW()-11)*4,2,1,1,"Internet")))&gt;1,INDIRECT(ADDRESS(ROW() + $A$9-8 + (ROW()-11)*4,2,1,1,"Internet"))," "))</f>
        <v xml:space="preserve"> </v>
      </c>
      <c r="Q165" s="471" t="str">
        <f ca="1">IF(N(O165)&gt;0,VLOOKUP(O165,Hraci!$A$1:$I$1500,3,0)," ")</f>
        <v xml:space="preserve"> </v>
      </c>
      <c r="R165" s="471" t="str">
        <f ca="1">IF(N(O165)&gt;0,VLOOKUP(O165,Hraci!$A$1:$I$1500,5,0),IF(TYPE(INDIRECT(ADDRESS(ROW() + $A$9-8 + (ROW()-11)*4,3,1,1,"Internet")))&gt;1,INDIRECT(ADDRESS(ROW() + $A$9-8 + (ROW()-11)*4,3,1,1,"Internet"))," "))</f>
        <v xml:space="preserve"> </v>
      </c>
      <c r="S165" s="472">
        <f ca="1">IF(N(O165)=0,9999,VLOOKUP(O165,Hraci!$A$1:$I$1500,8,0))</f>
        <v>9999</v>
      </c>
      <c r="T165" s="473">
        <f ca="1">IF(N(O165)=0,0,VLOOKUP(O165,Hraci!$A$1:$I$1500,9,0))</f>
        <v>0</v>
      </c>
      <c r="U165" s="469" t="str">
        <f t="shared" ca="1" si="73"/>
        <v/>
      </c>
      <c r="V165" s="470" t="str">
        <f ca="1">IF(N(U165)&gt;0,VLOOKUP(U165,Hraci!$A$1:$I$1500,2,0),IF(TYPE(INDIRECT(ADDRESS(ROW() + $A$9-7 + (ROW()-11)*4,2,1,1,"Internet")))&gt;1,INDIRECT(ADDRESS(ROW() + $A$9-7 + (ROW()-11)*4,2,1,1,"Internet"))," "))</f>
        <v xml:space="preserve"> </v>
      </c>
      <c r="W165" s="471" t="str">
        <f ca="1">IF(N(U165)&gt;0,VLOOKUP(U165,Hraci!$A$1:$I$1500,3,0)," ")</f>
        <v xml:space="preserve"> </v>
      </c>
      <c r="X165" s="471" t="str">
        <f ca="1">IF(N(U165)&gt;0,VLOOKUP(U165,Hraci!$A$1:$I$1500,5,0),IF(TYPE(INDIRECT(ADDRESS(ROW() + $A$9-7 + (ROW()-11)*4,3,1,1,"Internet")))&gt;1,INDIRECT(ADDRESS(ROW() + $A$9-7 + (ROW()-11)*4,3,1,1,"Internet"))," "))</f>
        <v xml:space="preserve"> </v>
      </c>
      <c r="Y165" s="472">
        <f ca="1">IF(N(U165)=0,9999,VLOOKUP(U165,Hraci!$A$1:$I$1500,8,0))</f>
        <v>9999</v>
      </c>
      <c r="Z165" s="473">
        <f ca="1">IF(N(U165)=0,0,VLOOKUP(U165,Hraci!$A$1:$I$1500,9,0))</f>
        <v>0</v>
      </c>
      <c r="AA165" s="469" t="str">
        <f t="shared" ca="1" si="74"/>
        <v/>
      </c>
      <c r="AB165" s="470" t="str">
        <f ca="1">IF(N(AA165)&gt;0,VLOOKUP(AA165,Hraci!$A$1:$I$1500,2,0)," ")</f>
        <v xml:space="preserve"> </v>
      </c>
      <c r="AC165" s="471" t="str">
        <f ca="1">IF(N(AA165)&gt;0,VLOOKUP(AA165,Hraci!$A$1:$I$1500,3,0)," ")</f>
        <v xml:space="preserve"> </v>
      </c>
      <c r="AD165" s="471" t="str">
        <f ca="1">IF(N(AA165)&gt;0,VLOOKUP(AA165,Hraci!$A$1:$I$1500,5,0)," ")</f>
        <v xml:space="preserve"> </v>
      </c>
      <c r="AE165" s="472">
        <f ca="1">IF(N(AA165)=0,9999,VLOOKUP(AA165,Hraci!$A$1:$I$1500,8,0))</f>
        <v>9999</v>
      </c>
      <c r="AF165" s="473">
        <f ca="1">IF(N(AA165)=0,0,VLOOKUP(AA165,Hraci!$A$1:$I$1500,9,0))</f>
        <v>0</v>
      </c>
      <c r="AG165" s="474"/>
      <c r="AH165" s="480">
        <f ca="1">IF(TYPE(VLOOKUP(H165,Nasazení!$A$3:$E$258,5,0))&lt;4,VLOOKUP(H165,Nasazení!$A$3:$E$258,5,0),0)</f>
        <v>0</v>
      </c>
      <c r="AI165" s="475" t="str">
        <f ca="1">IF(N($AH165)&gt;0,VLOOKUP($AH165,Body!$A$4:$F$259,5,0),"")</f>
        <v/>
      </c>
      <c r="AJ165" s="476" t="str">
        <f ca="1">IF(N($AH165)&gt;0,VLOOKUP($AH165,Body!$A$4:$F$259,6,0),"")</f>
        <v/>
      </c>
      <c r="AK165" s="475" t="str">
        <f ca="1">IF(N($AH165)&gt;0,VLOOKUP($AH165,Body!$A$4:$F$259,2,0),"")</f>
        <v/>
      </c>
      <c r="AL165" s="477" t="str">
        <f t="shared" ca="1" si="61"/>
        <v/>
      </c>
      <c r="AM165" s="478">
        <f t="shared" ca="1" si="62"/>
        <v>0</v>
      </c>
      <c r="AN165" s="408">
        <f ca="1">IF(OR(TYPE(I165)&gt;1,TYPE(MATCH(I165,I166:I$267,0))&gt;1),0,MATCH(I165,I166:I$267,0))+IF(OR(TYPE(I165)&gt;1,TYPE(MATCH(I165,O$11:O$267,0))&gt;1),0,MATCH(I165,O$11:O$267,0))+IF(OR(TYPE(I165)&gt;1,TYPE(MATCH(I165,U$11:U$267,0))&gt;1),0,MATCH(I165,U$11:U$267,0))+IF(OR(TYPE(I165)&gt;1,TYPE(MATCH(I165,AA$11:AA$267,0))&gt;1),0,MATCH(I165,AA$11:AA$267,0))</f>
        <v>0</v>
      </c>
      <c r="AO165" s="408">
        <f ca="1">IF(OR(TYPE(O165)&gt;1,TYPE(MATCH(O165,I$11:I$267,0))&gt;1),0,MATCH(O165,I$11:I$267,0))+IF(OR(TYPE(O165)&gt;1,TYPE(MATCH(O165,O166:O$267,0))&gt;1),0,MATCH(O165,O166:O$267,0))+IF(OR(TYPE(O165)&gt;1,TYPE(MATCH(O165,U$11:U$267,0))&gt;1),0,MATCH(O165,U$11:U$267,0))+IF(OR(TYPE(O165)&gt;1,TYPE(MATCH(O165,AA$11:AA$267,0))&gt;1),0,MATCH(O165,AA$11:AA$267,0))</f>
        <v>0</v>
      </c>
      <c r="AP165" s="408">
        <f ca="1">IF(OR(TYPE(U165)&gt;1,TYPE(MATCH(U165,I$11:I$267,0))&gt;1),0,MATCH(U165,I$11:I$267,0))+IF(OR(TYPE(U165)&gt;1,TYPE(MATCH(U165,O$11:O$267,0))&gt;1),0,MATCH(U165,O$11:O$267,0))+IF(OR(TYPE(U165)&gt;1,TYPE(MATCH(U165,U166:U$267,0))&gt;1),0,MATCH(U165,U166:U$267,0))+IF(OR(TYPE(U165)&gt;1,TYPE(MATCH(U165,AA$11:AA$267,0))&gt;1),0,MATCH(U165,AA$11:AA$267,0))</f>
        <v>0</v>
      </c>
      <c r="AQ165" s="408">
        <f ca="1">IF(OR(TYPE(AA165)&gt;1,TYPE(MATCH(AA165,I$11:I$267,0))&gt;1),0,MATCH(AA165,I$11:I$267,0))+IF(OR(TYPE(AA165)&gt;1,TYPE(MATCH(AA165,O$11:O$267,0))&gt;1),0,MATCH(AA165,O$11:O$267,0))+IF(OR(TYPE(AA165)&gt;1,TYPE(MATCH(AA165,U$11:U$267,0))&gt;1),0,MATCH(U165,U$11:U$267,0))+IF(OR(TYPE(AA165)&gt;1,TYPE(MATCH(AA165,AA166:AA$267,0))&gt;1),0,MATCH(AA165,AA166:AA$267,0))</f>
        <v>0</v>
      </c>
      <c r="AR165" s="408">
        <f t="shared" ca="1" si="75"/>
        <v>0</v>
      </c>
      <c r="BF165" s="408">
        <f t="shared" si="76"/>
        <v>155</v>
      </c>
    </row>
    <row r="166" spans="1:58" ht="14.25">
      <c r="A166" s="430">
        <f t="shared" ca="1" si="65"/>
        <v>0</v>
      </c>
      <c r="B166" s="430">
        <f t="shared" ca="1" si="66"/>
        <v>0</v>
      </c>
      <c r="C166" s="430">
        <f t="shared" ca="1" si="67"/>
        <v>0</v>
      </c>
      <c r="D166" s="430">
        <f t="shared" ca="1" si="68"/>
        <v>99999</v>
      </c>
      <c r="E166" s="430">
        <f t="shared" ca="1" si="69"/>
        <v>9999</v>
      </c>
      <c r="F166" s="431" t="str">
        <f t="shared" ca="1" si="63"/>
        <v>00000000000000000000354060</v>
      </c>
      <c r="G166" s="467" t="b">
        <f t="shared" ca="1" si="70"/>
        <v>1</v>
      </c>
      <c r="H166" s="468">
        <f t="shared" si="60"/>
        <v>156</v>
      </c>
      <c r="I166" s="469" t="str">
        <f t="shared" ca="1" si="71"/>
        <v/>
      </c>
      <c r="J166" s="470" t="str">
        <f ca="1">IF(N(I166)&gt;0,VLOOKUP(I166,Hraci!$A$1:$I$1500,2,0),IF(TYPE(INDIRECT(ADDRESS(ROW() + $A$9-9 + (ROW()-11)*4,2,1,1,"Internet")))&gt;1,INDIRECT(ADDRESS(ROW() + $A$9-9 + (ROW()-11)*4,2,1,1,"Internet"))," "))</f>
        <v xml:space="preserve"> </v>
      </c>
      <c r="K166" s="471" t="str">
        <f ca="1">IF(N(I166)&gt;0,VLOOKUP(I166,Hraci!$A$1:$I$1500,3,0)," ")</f>
        <v xml:space="preserve"> </v>
      </c>
      <c r="L166" s="471" t="str">
        <f ca="1">IF(N(I166)&gt;0,VLOOKUP(I166,Hraci!$A$1:$I$1500,5,0),IF(TYPE(INDIRECT(ADDRESS(ROW() + $A$9-9 + (ROW()-11)*4,3,1,1,"Internet")))&gt;1,INDIRECT(ADDRESS(ROW() + $A$9-9 + (ROW()-11)*4,3,1,1,"Internet"))," "))</f>
        <v xml:space="preserve"> </v>
      </c>
      <c r="M166" s="472">
        <f ca="1">IF(N(I166)=0,9999,VLOOKUP(I166,Hraci!$A$1:$I$1500,8,0))</f>
        <v>9999</v>
      </c>
      <c r="N166" s="473">
        <f ca="1">IF(N(I166)=0,0,VLOOKUP(I166,Hraci!$A$1:$I$1500,9,0))</f>
        <v>0</v>
      </c>
      <c r="O166" s="469" t="str">
        <f t="shared" ca="1" si="72"/>
        <v/>
      </c>
      <c r="P166" s="470" t="str">
        <f ca="1">IF(N(O166)&gt;0,VLOOKUP(O166,Hraci!$A$1:$I$1500,2,0),IF(TYPE(INDIRECT(ADDRESS(ROW() + $A$9-8 + (ROW()-11)*4,2,1,1,"Internet")))&gt;1,INDIRECT(ADDRESS(ROW() + $A$9-8 + (ROW()-11)*4,2,1,1,"Internet"))," "))</f>
        <v xml:space="preserve"> </v>
      </c>
      <c r="Q166" s="471" t="str">
        <f ca="1">IF(N(O166)&gt;0,VLOOKUP(O166,Hraci!$A$1:$I$1500,3,0)," ")</f>
        <v xml:space="preserve"> </v>
      </c>
      <c r="R166" s="471" t="str">
        <f ca="1">IF(N(O166)&gt;0,VLOOKUP(O166,Hraci!$A$1:$I$1500,5,0),IF(TYPE(INDIRECT(ADDRESS(ROW() + $A$9-8 + (ROW()-11)*4,3,1,1,"Internet")))&gt;1,INDIRECT(ADDRESS(ROW() + $A$9-8 + (ROW()-11)*4,3,1,1,"Internet"))," "))</f>
        <v xml:space="preserve"> </v>
      </c>
      <c r="S166" s="472">
        <f ca="1">IF(N(O166)=0,9999,VLOOKUP(O166,Hraci!$A$1:$I$1500,8,0))</f>
        <v>9999</v>
      </c>
      <c r="T166" s="473">
        <f ca="1">IF(N(O166)=0,0,VLOOKUP(O166,Hraci!$A$1:$I$1500,9,0))</f>
        <v>0</v>
      </c>
      <c r="U166" s="469" t="str">
        <f t="shared" ca="1" si="73"/>
        <v/>
      </c>
      <c r="V166" s="470" t="str">
        <f ca="1">IF(N(U166)&gt;0,VLOOKUP(U166,Hraci!$A$1:$I$1500,2,0),IF(TYPE(INDIRECT(ADDRESS(ROW() + $A$9-7 + (ROW()-11)*4,2,1,1,"Internet")))&gt;1,INDIRECT(ADDRESS(ROW() + $A$9-7 + (ROW()-11)*4,2,1,1,"Internet"))," "))</f>
        <v xml:space="preserve"> </v>
      </c>
      <c r="W166" s="471" t="str">
        <f ca="1">IF(N(U166)&gt;0,VLOOKUP(U166,Hraci!$A$1:$I$1500,3,0)," ")</f>
        <v xml:space="preserve"> </v>
      </c>
      <c r="X166" s="471" t="str">
        <f ca="1">IF(N(U166)&gt;0,VLOOKUP(U166,Hraci!$A$1:$I$1500,5,0),IF(TYPE(INDIRECT(ADDRESS(ROW() + $A$9-7 + (ROW()-11)*4,3,1,1,"Internet")))&gt;1,INDIRECT(ADDRESS(ROW() + $A$9-7 + (ROW()-11)*4,3,1,1,"Internet"))," "))</f>
        <v xml:space="preserve"> </v>
      </c>
      <c r="Y166" s="472">
        <f ca="1">IF(N(U166)=0,9999,VLOOKUP(U166,Hraci!$A$1:$I$1500,8,0))</f>
        <v>9999</v>
      </c>
      <c r="Z166" s="473">
        <f ca="1">IF(N(U166)=0,0,VLOOKUP(U166,Hraci!$A$1:$I$1500,9,0))</f>
        <v>0</v>
      </c>
      <c r="AA166" s="469" t="str">
        <f t="shared" ca="1" si="74"/>
        <v/>
      </c>
      <c r="AB166" s="470" t="str">
        <f ca="1">IF(N(AA166)&gt;0,VLOOKUP(AA166,Hraci!$A$1:$I$1500,2,0)," ")</f>
        <v xml:space="preserve"> </v>
      </c>
      <c r="AC166" s="471" t="str">
        <f ca="1">IF(N(AA166)&gt;0,VLOOKUP(AA166,Hraci!$A$1:$I$1500,3,0)," ")</f>
        <v xml:space="preserve"> </v>
      </c>
      <c r="AD166" s="471" t="str">
        <f ca="1">IF(N(AA166)&gt;0,VLOOKUP(AA166,Hraci!$A$1:$I$1500,5,0)," ")</f>
        <v xml:space="preserve"> </v>
      </c>
      <c r="AE166" s="472">
        <f ca="1">IF(N(AA166)=0,9999,VLOOKUP(AA166,Hraci!$A$1:$I$1500,8,0))</f>
        <v>9999</v>
      </c>
      <c r="AF166" s="473">
        <f ca="1">IF(N(AA166)=0,0,VLOOKUP(AA166,Hraci!$A$1:$I$1500,9,0))</f>
        <v>0</v>
      </c>
      <c r="AG166" s="474"/>
      <c r="AH166" s="480">
        <f ca="1">IF(TYPE(VLOOKUP(H166,Nasazení!$A$3:$E$258,5,0))&lt;4,VLOOKUP(H166,Nasazení!$A$3:$E$258,5,0),0)</f>
        <v>0</v>
      </c>
      <c r="AI166" s="475" t="str">
        <f ca="1">IF(N($AH166)&gt;0,VLOOKUP($AH166,Body!$A$4:$F$259,5,0),"")</f>
        <v/>
      </c>
      <c r="AJ166" s="476" t="str">
        <f ca="1">IF(N($AH166)&gt;0,VLOOKUP($AH166,Body!$A$4:$F$259,6,0),"")</f>
        <v/>
      </c>
      <c r="AK166" s="475" t="str">
        <f ca="1">IF(N($AH166)&gt;0,VLOOKUP($AH166,Body!$A$4:$F$259,2,0),"")</f>
        <v/>
      </c>
      <c r="AL166" s="477" t="str">
        <f t="shared" ca="1" si="61"/>
        <v/>
      </c>
      <c r="AM166" s="478">
        <f t="shared" ca="1" si="62"/>
        <v>0</v>
      </c>
      <c r="AN166" s="408">
        <f ca="1">IF(OR(TYPE(I166)&gt;1,TYPE(MATCH(I166,I167:I$267,0))&gt;1),0,MATCH(I166,I167:I$267,0))+IF(OR(TYPE(I166)&gt;1,TYPE(MATCH(I166,O$11:O$267,0))&gt;1),0,MATCH(I166,O$11:O$267,0))+IF(OR(TYPE(I166)&gt;1,TYPE(MATCH(I166,U$11:U$267,0))&gt;1),0,MATCH(I166,U$11:U$267,0))+IF(OR(TYPE(I166)&gt;1,TYPE(MATCH(I166,AA$11:AA$267,0))&gt;1),0,MATCH(I166,AA$11:AA$267,0))</f>
        <v>0</v>
      </c>
      <c r="AO166" s="408">
        <f ca="1">IF(OR(TYPE(O166)&gt;1,TYPE(MATCH(O166,I$11:I$267,0))&gt;1),0,MATCH(O166,I$11:I$267,0))+IF(OR(TYPE(O166)&gt;1,TYPE(MATCH(O166,O167:O$267,0))&gt;1),0,MATCH(O166,O167:O$267,0))+IF(OR(TYPE(O166)&gt;1,TYPE(MATCH(O166,U$11:U$267,0))&gt;1),0,MATCH(O166,U$11:U$267,0))+IF(OR(TYPE(O166)&gt;1,TYPE(MATCH(O166,AA$11:AA$267,0))&gt;1),0,MATCH(O166,AA$11:AA$267,0))</f>
        <v>0</v>
      </c>
      <c r="AP166" s="408">
        <f ca="1">IF(OR(TYPE(U166)&gt;1,TYPE(MATCH(U166,I$11:I$267,0))&gt;1),0,MATCH(U166,I$11:I$267,0))+IF(OR(TYPE(U166)&gt;1,TYPE(MATCH(U166,O$11:O$267,0))&gt;1),0,MATCH(U166,O$11:O$267,0))+IF(OR(TYPE(U166)&gt;1,TYPE(MATCH(U166,U167:U$267,0))&gt;1),0,MATCH(U166,U167:U$267,0))+IF(OR(TYPE(U166)&gt;1,TYPE(MATCH(U166,AA$11:AA$267,0))&gt;1),0,MATCH(U166,AA$11:AA$267,0))</f>
        <v>0</v>
      </c>
      <c r="AQ166" s="408">
        <f ca="1">IF(OR(TYPE(AA166)&gt;1,TYPE(MATCH(AA166,I$11:I$267,0))&gt;1),0,MATCH(AA166,I$11:I$267,0))+IF(OR(TYPE(AA166)&gt;1,TYPE(MATCH(AA166,O$11:O$267,0))&gt;1),0,MATCH(AA166,O$11:O$267,0))+IF(OR(TYPE(AA166)&gt;1,TYPE(MATCH(AA166,U$11:U$267,0))&gt;1),0,MATCH(U166,U$11:U$267,0))+IF(OR(TYPE(AA166)&gt;1,TYPE(MATCH(AA166,AA167:AA$267,0))&gt;1),0,MATCH(AA166,AA167:AA$267,0))</f>
        <v>0</v>
      </c>
      <c r="AR166" s="408">
        <f t="shared" ca="1" si="75"/>
        <v>0</v>
      </c>
      <c r="BF166" s="408">
        <f t="shared" si="76"/>
        <v>156</v>
      </c>
    </row>
    <row r="167" spans="1:58" ht="14.25">
      <c r="A167" s="430">
        <f t="shared" ca="1" si="65"/>
        <v>0</v>
      </c>
      <c r="B167" s="430">
        <f t="shared" ca="1" si="66"/>
        <v>0</v>
      </c>
      <c r="C167" s="430">
        <f t="shared" ca="1" si="67"/>
        <v>0</v>
      </c>
      <c r="D167" s="430">
        <f t="shared" ca="1" si="68"/>
        <v>99999</v>
      </c>
      <c r="E167" s="430">
        <f t="shared" ca="1" si="69"/>
        <v>9999</v>
      </c>
      <c r="F167" s="431" t="str">
        <f t="shared" ca="1" si="63"/>
        <v>00000000000000000000433518</v>
      </c>
      <c r="G167" s="467" t="b">
        <f t="shared" ca="1" si="70"/>
        <v>1</v>
      </c>
      <c r="H167" s="468">
        <f t="shared" si="60"/>
        <v>157</v>
      </c>
      <c r="I167" s="469" t="str">
        <f t="shared" ca="1" si="71"/>
        <v/>
      </c>
      <c r="J167" s="470" t="str">
        <f ca="1">IF(N(I167)&gt;0,VLOOKUP(I167,Hraci!$A$1:$I$1500,2,0),IF(TYPE(INDIRECT(ADDRESS(ROW() + $A$9-9 + (ROW()-11)*4,2,1,1,"Internet")))&gt;1,INDIRECT(ADDRESS(ROW() + $A$9-9 + (ROW()-11)*4,2,1,1,"Internet"))," "))</f>
        <v xml:space="preserve"> </v>
      </c>
      <c r="K167" s="471" t="str">
        <f ca="1">IF(N(I167)&gt;0,VLOOKUP(I167,Hraci!$A$1:$I$1500,3,0)," ")</f>
        <v xml:space="preserve"> </v>
      </c>
      <c r="L167" s="471" t="str">
        <f ca="1">IF(N(I167)&gt;0,VLOOKUP(I167,Hraci!$A$1:$I$1500,5,0),IF(TYPE(INDIRECT(ADDRESS(ROW() + $A$9-9 + (ROW()-11)*4,3,1,1,"Internet")))&gt;1,INDIRECT(ADDRESS(ROW() + $A$9-9 + (ROW()-11)*4,3,1,1,"Internet"))," "))</f>
        <v xml:space="preserve"> </v>
      </c>
      <c r="M167" s="472">
        <f ca="1">IF(N(I167)=0,9999,VLOOKUP(I167,Hraci!$A$1:$I$1500,8,0))</f>
        <v>9999</v>
      </c>
      <c r="N167" s="473">
        <f ca="1">IF(N(I167)=0,0,VLOOKUP(I167,Hraci!$A$1:$I$1500,9,0))</f>
        <v>0</v>
      </c>
      <c r="O167" s="469" t="str">
        <f t="shared" ca="1" si="72"/>
        <v/>
      </c>
      <c r="P167" s="470" t="str">
        <f ca="1">IF(N(O167)&gt;0,VLOOKUP(O167,Hraci!$A$1:$I$1500,2,0),IF(TYPE(INDIRECT(ADDRESS(ROW() + $A$9-8 + (ROW()-11)*4,2,1,1,"Internet")))&gt;1,INDIRECT(ADDRESS(ROW() + $A$9-8 + (ROW()-11)*4,2,1,1,"Internet"))," "))</f>
        <v xml:space="preserve"> </v>
      </c>
      <c r="Q167" s="471" t="str">
        <f ca="1">IF(N(O167)&gt;0,VLOOKUP(O167,Hraci!$A$1:$I$1500,3,0)," ")</f>
        <v xml:space="preserve"> </v>
      </c>
      <c r="R167" s="471" t="str">
        <f ca="1">IF(N(O167)&gt;0,VLOOKUP(O167,Hraci!$A$1:$I$1500,5,0),IF(TYPE(INDIRECT(ADDRESS(ROW() + $A$9-8 + (ROW()-11)*4,3,1,1,"Internet")))&gt;1,INDIRECT(ADDRESS(ROW() + $A$9-8 + (ROW()-11)*4,3,1,1,"Internet"))," "))</f>
        <v xml:space="preserve"> </v>
      </c>
      <c r="S167" s="472">
        <f ca="1">IF(N(O167)=0,9999,VLOOKUP(O167,Hraci!$A$1:$I$1500,8,0))</f>
        <v>9999</v>
      </c>
      <c r="T167" s="473">
        <f ca="1">IF(N(O167)=0,0,VLOOKUP(O167,Hraci!$A$1:$I$1500,9,0))</f>
        <v>0</v>
      </c>
      <c r="U167" s="469" t="str">
        <f t="shared" ca="1" si="73"/>
        <v/>
      </c>
      <c r="V167" s="470" t="str">
        <f ca="1">IF(N(U167)&gt;0,VLOOKUP(U167,Hraci!$A$1:$I$1500,2,0),IF(TYPE(INDIRECT(ADDRESS(ROW() + $A$9-7 + (ROW()-11)*4,2,1,1,"Internet")))&gt;1,INDIRECT(ADDRESS(ROW() + $A$9-7 + (ROW()-11)*4,2,1,1,"Internet"))," "))</f>
        <v xml:space="preserve"> </v>
      </c>
      <c r="W167" s="471" t="str">
        <f ca="1">IF(N(U167)&gt;0,VLOOKUP(U167,Hraci!$A$1:$I$1500,3,0)," ")</f>
        <v xml:space="preserve"> </v>
      </c>
      <c r="X167" s="471" t="str">
        <f ca="1">IF(N(U167)&gt;0,VLOOKUP(U167,Hraci!$A$1:$I$1500,5,0),IF(TYPE(INDIRECT(ADDRESS(ROW() + $A$9-7 + (ROW()-11)*4,3,1,1,"Internet")))&gt;1,INDIRECT(ADDRESS(ROW() + $A$9-7 + (ROW()-11)*4,3,1,1,"Internet"))," "))</f>
        <v xml:space="preserve"> </v>
      </c>
      <c r="Y167" s="472">
        <f ca="1">IF(N(U167)=0,9999,VLOOKUP(U167,Hraci!$A$1:$I$1500,8,0))</f>
        <v>9999</v>
      </c>
      <c r="Z167" s="473">
        <f ca="1">IF(N(U167)=0,0,VLOOKUP(U167,Hraci!$A$1:$I$1500,9,0))</f>
        <v>0</v>
      </c>
      <c r="AA167" s="469" t="str">
        <f t="shared" ca="1" si="74"/>
        <v/>
      </c>
      <c r="AB167" s="470" t="str">
        <f ca="1">IF(N(AA167)&gt;0,VLOOKUP(AA167,Hraci!$A$1:$I$1500,2,0)," ")</f>
        <v xml:space="preserve"> </v>
      </c>
      <c r="AC167" s="471" t="str">
        <f ca="1">IF(N(AA167)&gt;0,VLOOKUP(AA167,Hraci!$A$1:$I$1500,3,0)," ")</f>
        <v xml:space="preserve"> </v>
      </c>
      <c r="AD167" s="471" t="str">
        <f ca="1">IF(N(AA167)&gt;0,VLOOKUP(AA167,Hraci!$A$1:$I$1500,5,0)," ")</f>
        <v xml:space="preserve"> </v>
      </c>
      <c r="AE167" s="472">
        <f ca="1">IF(N(AA167)=0,9999,VLOOKUP(AA167,Hraci!$A$1:$I$1500,8,0))</f>
        <v>9999</v>
      </c>
      <c r="AF167" s="473">
        <f ca="1">IF(N(AA167)=0,0,VLOOKUP(AA167,Hraci!$A$1:$I$1500,9,0))</f>
        <v>0</v>
      </c>
      <c r="AG167" s="474"/>
      <c r="AH167" s="480">
        <f ca="1">IF(TYPE(VLOOKUP(H167,Nasazení!$A$3:$E$258,5,0))&lt;4,VLOOKUP(H167,Nasazení!$A$3:$E$258,5,0),0)</f>
        <v>0</v>
      </c>
      <c r="AI167" s="475" t="str">
        <f ca="1">IF(N($AH167)&gt;0,VLOOKUP($AH167,Body!$A$4:$F$259,5,0),"")</f>
        <v/>
      </c>
      <c r="AJ167" s="476" t="str">
        <f ca="1">IF(N($AH167)&gt;0,VLOOKUP($AH167,Body!$A$4:$F$259,6,0),"")</f>
        <v/>
      </c>
      <c r="AK167" s="475" t="str">
        <f ca="1">IF(N($AH167)&gt;0,VLOOKUP($AH167,Body!$A$4:$F$259,2,0),"")</f>
        <v/>
      </c>
      <c r="AL167" s="477" t="str">
        <f t="shared" ca="1" si="61"/>
        <v/>
      </c>
      <c r="AM167" s="478">
        <f t="shared" ca="1" si="62"/>
        <v>0</v>
      </c>
      <c r="AN167" s="408">
        <f ca="1">IF(OR(TYPE(I167)&gt;1,TYPE(MATCH(I167,I168:I$267,0))&gt;1),0,MATCH(I167,I168:I$267,0))+IF(OR(TYPE(I167)&gt;1,TYPE(MATCH(I167,O$11:O$267,0))&gt;1),0,MATCH(I167,O$11:O$267,0))+IF(OR(TYPE(I167)&gt;1,TYPE(MATCH(I167,U$11:U$267,0))&gt;1),0,MATCH(I167,U$11:U$267,0))+IF(OR(TYPE(I167)&gt;1,TYPE(MATCH(I167,AA$11:AA$267,0))&gt;1),0,MATCH(I167,AA$11:AA$267,0))</f>
        <v>0</v>
      </c>
      <c r="AO167" s="408">
        <f ca="1">IF(OR(TYPE(O167)&gt;1,TYPE(MATCH(O167,I$11:I$267,0))&gt;1),0,MATCH(O167,I$11:I$267,0))+IF(OR(TYPE(O167)&gt;1,TYPE(MATCH(O167,O168:O$267,0))&gt;1),0,MATCH(O167,O168:O$267,0))+IF(OR(TYPE(O167)&gt;1,TYPE(MATCH(O167,U$11:U$267,0))&gt;1),0,MATCH(O167,U$11:U$267,0))+IF(OR(TYPE(O167)&gt;1,TYPE(MATCH(O167,AA$11:AA$267,0))&gt;1),0,MATCH(O167,AA$11:AA$267,0))</f>
        <v>0</v>
      </c>
      <c r="AP167" s="408">
        <f ca="1">IF(OR(TYPE(U167)&gt;1,TYPE(MATCH(U167,I$11:I$267,0))&gt;1),0,MATCH(U167,I$11:I$267,0))+IF(OR(TYPE(U167)&gt;1,TYPE(MATCH(U167,O$11:O$267,0))&gt;1),0,MATCH(U167,O$11:O$267,0))+IF(OR(TYPE(U167)&gt;1,TYPE(MATCH(U167,U168:U$267,0))&gt;1),0,MATCH(U167,U168:U$267,0))+IF(OR(TYPE(U167)&gt;1,TYPE(MATCH(U167,AA$11:AA$267,0))&gt;1),0,MATCH(U167,AA$11:AA$267,0))</f>
        <v>0</v>
      </c>
      <c r="AQ167" s="408">
        <f ca="1">IF(OR(TYPE(AA167)&gt;1,TYPE(MATCH(AA167,I$11:I$267,0))&gt;1),0,MATCH(AA167,I$11:I$267,0))+IF(OR(TYPE(AA167)&gt;1,TYPE(MATCH(AA167,O$11:O$267,0))&gt;1),0,MATCH(AA167,O$11:O$267,0))+IF(OR(TYPE(AA167)&gt;1,TYPE(MATCH(AA167,U$11:U$267,0))&gt;1),0,MATCH(U167,U$11:U$267,0))+IF(OR(TYPE(AA167)&gt;1,TYPE(MATCH(AA167,AA168:AA$267,0))&gt;1),0,MATCH(AA167,AA168:AA$267,0))</f>
        <v>0</v>
      </c>
      <c r="AR167" s="408">
        <f t="shared" ca="1" si="75"/>
        <v>0</v>
      </c>
      <c r="BF167" s="408">
        <f t="shared" si="76"/>
        <v>157</v>
      </c>
    </row>
    <row r="168" spans="1:58" ht="14.25">
      <c r="A168" s="430">
        <f t="shared" ca="1" si="65"/>
        <v>0</v>
      </c>
      <c r="B168" s="430">
        <f t="shared" ca="1" si="66"/>
        <v>0</v>
      </c>
      <c r="C168" s="430">
        <f t="shared" ca="1" si="67"/>
        <v>0</v>
      </c>
      <c r="D168" s="430">
        <f t="shared" ca="1" si="68"/>
        <v>99999</v>
      </c>
      <c r="E168" s="430">
        <f t="shared" ca="1" si="69"/>
        <v>9999</v>
      </c>
      <c r="F168" s="431" t="str">
        <f t="shared" ca="1" si="63"/>
        <v>00000000000000000000079110</v>
      </c>
      <c r="G168" s="467" t="b">
        <f t="shared" ca="1" si="70"/>
        <v>1</v>
      </c>
      <c r="H168" s="468">
        <f t="shared" si="60"/>
        <v>158</v>
      </c>
      <c r="I168" s="469" t="str">
        <f t="shared" ca="1" si="71"/>
        <v/>
      </c>
      <c r="J168" s="470" t="str">
        <f ca="1">IF(N(I168)&gt;0,VLOOKUP(I168,Hraci!$A$1:$I$1500,2,0),IF(TYPE(INDIRECT(ADDRESS(ROW() + $A$9-9 + (ROW()-11)*4,2,1,1,"Internet")))&gt;1,INDIRECT(ADDRESS(ROW() + $A$9-9 + (ROW()-11)*4,2,1,1,"Internet"))," "))</f>
        <v xml:space="preserve"> </v>
      </c>
      <c r="K168" s="471" t="str">
        <f ca="1">IF(N(I168)&gt;0,VLOOKUP(I168,Hraci!$A$1:$I$1500,3,0)," ")</f>
        <v xml:space="preserve"> </v>
      </c>
      <c r="L168" s="471" t="str">
        <f ca="1">IF(N(I168)&gt;0,VLOOKUP(I168,Hraci!$A$1:$I$1500,5,0),IF(TYPE(INDIRECT(ADDRESS(ROW() + $A$9-9 + (ROW()-11)*4,3,1,1,"Internet")))&gt;1,INDIRECT(ADDRESS(ROW() + $A$9-9 + (ROW()-11)*4,3,1,1,"Internet"))," "))</f>
        <v xml:space="preserve"> </v>
      </c>
      <c r="M168" s="472">
        <f ca="1">IF(N(I168)=0,9999,VLOOKUP(I168,Hraci!$A$1:$I$1500,8,0))</f>
        <v>9999</v>
      </c>
      <c r="N168" s="473">
        <f ca="1">IF(N(I168)=0,0,VLOOKUP(I168,Hraci!$A$1:$I$1500,9,0))</f>
        <v>0</v>
      </c>
      <c r="O168" s="469" t="str">
        <f t="shared" ca="1" si="72"/>
        <v/>
      </c>
      <c r="P168" s="470" t="str">
        <f ca="1">IF(N(O168)&gt;0,VLOOKUP(O168,Hraci!$A$1:$I$1500,2,0),IF(TYPE(INDIRECT(ADDRESS(ROW() + $A$9-8 + (ROW()-11)*4,2,1,1,"Internet")))&gt;1,INDIRECT(ADDRESS(ROW() + $A$9-8 + (ROW()-11)*4,2,1,1,"Internet"))," "))</f>
        <v xml:space="preserve"> </v>
      </c>
      <c r="Q168" s="471" t="str">
        <f ca="1">IF(N(O168)&gt;0,VLOOKUP(O168,Hraci!$A$1:$I$1500,3,0)," ")</f>
        <v xml:space="preserve"> </v>
      </c>
      <c r="R168" s="471" t="str">
        <f ca="1">IF(N(O168)&gt;0,VLOOKUP(O168,Hraci!$A$1:$I$1500,5,0),IF(TYPE(INDIRECT(ADDRESS(ROW() + $A$9-8 + (ROW()-11)*4,3,1,1,"Internet")))&gt;1,INDIRECT(ADDRESS(ROW() + $A$9-8 + (ROW()-11)*4,3,1,1,"Internet"))," "))</f>
        <v xml:space="preserve"> </v>
      </c>
      <c r="S168" s="472">
        <f ca="1">IF(N(O168)=0,9999,VLOOKUP(O168,Hraci!$A$1:$I$1500,8,0))</f>
        <v>9999</v>
      </c>
      <c r="T168" s="473">
        <f ca="1">IF(N(O168)=0,0,VLOOKUP(O168,Hraci!$A$1:$I$1500,9,0))</f>
        <v>0</v>
      </c>
      <c r="U168" s="469" t="str">
        <f t="shared" ca="1" si="73"/>
        <v/>
      </c>
      <c r="V168" s="470" t="str">
        <f ca="1">IF(N(U168)&gt;0,VLOOKUP(U168,Hraci!$A$1:$I$1500,2,0),IF(TYPE(INDIRECT(ADDRESS(ROW() + $A$9-7 + (ROW()-11)*4,2,1,1,"Internet")))&gt;1,INDIRECT(ADDRESS(ROW() + $A$9-7 + (ROW()-11)*4,2,1,1,"Internet"))," "))</f>
        <v xml:space="preserve"> </v>
      </c>
      <c r="W168" s="471" t="str">
        <f ca="1">IF(N(U168)&gt;0,VLOOKUP(U168,Hraci!$A$1:$I$1500,3,0)," ")</f>
        <v xml:space="preserve"> </v>
      </c>
      <c r="X168" s="471" t="str">
        <f ca="1">IF(N(U168)&gt;0,VLOOKUP(U168,Hraci!$A$1:$I$1500,5,0),IF(TYPE(INDIRECT(ADDRESS(ROW() + $A$9-7 + (ROW()-11)*4,3,1,1,"Internet")))&gt;1,INDIRECT(ADDRESS(ROW() + $A$9-7 + (ROW()-11)*4,3,1,1,"Internet"))," "))</f>
        <v xml:space="preserve"> </v>
      </c>
      <c r="Y168" s="472">
        <f ca="1">IF(N(U168)=0,9999,VLOOKUP(U168,Hraci!$A$1:$I$1500,8,0))</f>
        <v>9999</v>
      </c>
      <c r="Z168" s="473">
        <f ca="1">IF(N(U168)=0,0,VLOOKUP(U168,Hraci!$A$1:$I$1500,9,0))</f>
        <v>0</v>
      </c>
      <c r="AA168" s="469" t="str">
        <f t="shared" ca="1" si="74"/>
        <v/>
      </c>
      <c r="AB168" s="470" t="str">
        <f ca="1">IF(N(AA168)&gt;0,VLOOKUP(AA168,Hraci!$A$1:$I$1500,2,0)," ")</f>
        <v xml:space="preserve"> </v>
      </c>
      <c r="AC168" s="471" t="str">
        <f ca="1">IF(N(AA168)&gt;0,VLOOKUP(AA168,Hraci!$A$1:$I$1500,3,0)," ")</f>
        <v xml:space="preserve"> </v>
      </c>
      <c r="AD168" s="471" t="str">
        <f ca="1">IF(N(AA168)&gt;0,VLOOKUP(AA168,Hraci!$A$1:$I$1500,5,0)," ")</f>
        <v xml:space="preserve"> </v>
      </c>
      <c r="AE168" s="472">
        <f ca="1">IF(N(AA168)=0,9999,VLOOKUP(AA168,Hraci!$A$1:$I$1500,8,0))</f>
        <v>9999</v>
      </c>
      <c r="AF168" s="473">
        <f ca="1">IF(N(AA168)=0,0,VLOOKUP(AA168,Hraci!$A$1:$I$1500,9,0))</f>
        <v>0</v>
      </c>
      <c r="AG168" s="474"/>
      <c r="AH168" s="480">
        <f ca="1">IF(TYPE(VLOOKUP(H168,Nasazení!$A$3:$E$258,5,0))&lt;4,VLOOKUP(H168,Nasazení!$A$3:$E$258,5,0),0)</f>
        <v>0</v>
      </c>
      <c r="AI168" s="475" t="str">
        <f ca="1">IF(N($AH168)&gt;0,VLOOKUP($AH168,Body!$A$4:$F$259,5,0),"")</f>
        <v/>
      </c>
      <c r="AJ168" s="476" t="str">
        <f ca="1">IF(N($AH168)&gt;0,VLOOKUP($AH168,Body!$A$4:$F$259,6,0),"")</f>
        <v/>
      </c>
      <c r="AK168" s="475" t="str">
        <f ca="1">IF(N($AH168)&gt;0,VLOOKUP($AH168,Body!$A$4:$F$259,2,0),"")</f>
        <v/>
      </c>
      <c r="AL168" s="477" t="str">
        <f t="shared" ca="1" si="61"/>
        <v/>
      </c>
      <c r="AM168" s="478">
        <f t="shared" ca="1" si="62"/>
        <v>0</v>
      </c>
      <c r="AN168" s="408">
        <f ca="1">IF(OR(TYPE(I168)&gt;1,TYPE(MATCH(I168,I169:I$267,0))&gt;1),0,MATCH(I168,I169:I$267,0))+IF(OR(TYPE(I168)&gt;1,TYPE(MATCH(I168,O$11:O$267,0))&gt;1),0,MATCH(I168,O$11:O$267,0))+IF(OR(TYPE(I168)&gt;1,TYPE(MATCH(I168,U$11:U$267,0))&gt;1),0,MATCH(I168,U$11:U$267,0))+IF(OR(TYPE(I168)&gt;1,TYPE(MATCH(I168,AA$11:AA$267,0))&gt;1),0,MATCH(I168,AA$11:AA$267,0))</f>
        <v>0</v>
      </c>
      <c r="AO168" s="408">
        <f ca="1">IF(OR(TYPE(O168)&gt;1,TYPE(MATCH(O168,I$11:I$267,0))&gt;1),0,MATCH(O168,I$11:I$267,0))+IF(OR(TYPE(O168)&gt;1,TYPE(MATCH(O168,O169:O$267,0))&gt;1),0,MATCH(O168,O169:O$267,0))+IF(OR(TYPE(O168)&gt;1,TYPE(MATCH(O168,U$11:U$267,0))&gt;1),0,MATCH(O168,U$11:U$267,0))+IF(OR(TYPE(O168)&gt;1,TYPE(MATCH(O168,AA$11:AA$267,0))&gt;1),0,MATCH(O168,AA$11:AA$267,0))</f>
        <v>0</v>
      </c>
      <c r="AP168" s="408">
        <f ca="1">IF(OR(TYPE(U168)&gt;1,TYPE(MATCH(U168,I$11:I$267,0))&gt;1),0,MATCH(U168,I$11:I$267,0))+IF(OR(TYPE(U168)&gt;1,TYPE(MATCH(U168,O$11:O$267,0))&gt;1),0,MATCH(U168,O$11:O$267,0))+IF(OR(TYPE(U168)&gt;1,TYPE(MATCH(U168,U169:U$267,0))&gt;1),0,MATCH(U168,U169:U$267,0))+IF(OR(TYPE(U168)&gt;1,TYPE(MATCH(U168,AA$11:AA$267,0))&gt;1),0,MATCH(U168,AA$11:AA$267,0))</f>
        <v>0</v>
      </c>
      <c r="AQ168" s="408">
        <f ca="1">IF(OR(TYPE(AA168)&gt;1,TYPE(MATCH(AA168,I$11:I$267,0))&gt;1),0,MATCH(AA168,I$11:I$267,0))+IF(OR(TYPE(AA168)&gt;1,TYPE(MATCH(AA168,O$11:O$267,0))&gt;1),0,MATCH(AA168,O$11:O$267,0))+IF(OR(TYPE(AA168)&gt;1,TYPE(MATCH(AA168,U$11:U$267,0))&gt;1),0,MATCH(U168,U$11:U$267,0))+IF(OR(TYPE(AA168)&gt;1,TYPE(MATCH(AA168,AA169:AA$267,0))&gt;1),0,MATCH(AA168,AA169:AA$267,0))</f>
        <v>0</v>
      </c>
      <c r="AR168" s="408">
        <f t="shared" ca="1" si="75"/>
        <v>0</v>
      </c>
      <c r="BF168" s="408">
        <f t="shared" si="76"/>
        <v>158</v>
      </c>
    </row>
    <row r="169" spans="1:58" ht="14.25">
      <c r="A169" s="430">
        <f t="shared" ca="1" si="65"/>
        <v>0</v>
      </c>
      <c r="B169" s="430">
        <f t="shared" ca="1" si="66"/>
        <v>0</v>
      </c>
      <c r="C169" s="430">
        <f t="shared" ca="1" si="67"/>
        <v>0</v>
      </c>
      <c r="D169" s="430">
        <f t="shared" ca="1" si="68"/>
        <v>99999</v>
      </c>
      <c r="E169" s="430">
        <f t="shared" ca="1" si="69"/>
        <v>9999</v>
      </c>
      <c r="F169" s="431" t="str">
        <f t="shared" ca="1" si="63"/>
        <v>00000000000000000000806087</v>
      </c>
      <c r="G169" s="467" t="b">
        <f t="shared" ca="1" si="70"/>
        <v>1</v>
      </c>
      <c r="H169" s="468">
        <f t="shared" si="60"/>
        <v>159</v>
      </c>
      <c r="I169" s="469" t="str">
        <f t="shared" ca="1" si="71"/>
        <v/>
      </c>
      <c r="J169" s="470" t="str">
        <f ca="1">IF(N(I169)&gt;0,VLOOKUP(I169,Hraci!$A$1:$I$1500,2,0),IF(TYPE(INDIRECT(ADDRESS(ROW() + $A$9-9 + (ROW()-11)*4,2,1,1,"Internet")))&gt;1,INDIRECT(ADDRESS(ROW() + $A$9-9 + (ROW()-11)*4,2,1,1,"Internet"))," "))</f>
        <v xml:space="preserve"> </v>
      </c>
      <c r="K169" s="471" t="str">
        <f ca="1">IF(N(I169)&gt;0,VLOOKUP(I169,Hraci!$A$1:$I$1500,3,0)," ")</f>
        <v xml:space="preserve"> </v>
      </c>
      <c r="L169" s="471" t="str">
        <f ca="1">IF(N(I169)&gt;0,VLOOKUP(I169,Hraci!$A$1:$I$1500,5,0),IF(TYPE(INDIRECT(ADDRESS(ROW() + $A$9-9 + (ROW()-11)*4,3,1,1,"Internet")))&gt;1,INDIRECT(ADDRESS(ROW() + $A$9-9 + (ROW()-11)*4,3,1,1,"Internet"))," "))</f>
        <v xml:space="preserve"> </v>
      </c>
      <c r="M169" s="472">
        <f ca="1">IF(N(I169)=0,9999,VLOOKUP(I169,Hraci!$A$1:$I$1500,8,0))</f>
        <v>9999</v>
      </c>
      <c r="N169" s="473">
        <f ca="1">IF(N(I169)=0,0,VLOOKUP(I169,Hraci!$A$1:$I$1500,9,0))</f>
        <v>0</v>
      </c>
      <c r="O169" s="469" t="str">
        <f t="shared" ca="1" si="72"/>
        <v/>
      </c>
      <c r="P169" s="470" t="str">
        <f ca="1">IF(N(O169)&gt;0,VLOOKUP(O169,Hraci!$A$1:$I$1500,2,0),IF(TYPE(INDIRECT(ADDRESS(ROW() + $A$9-8 + (ROW()-11)*4,2,1,1,"Internet")))&gt;1,INDIRECT(ADDRESS(ROW() + $A$9-8 + (ROW()-11)*4,2,1,1,"Internet"))," "))</f>
        <v xml:space="preserve"> </v>
      </c>
      <c r="Q169" s="471" t="str">
        <f ca="1">IF(N(O169)&gt;0,VLOOKUP(O169,Hraci!$A$1:$I$1500,3,0)," ")</f>
        <v xml:space="preserve"> </v>
      </c>
      <c r="R169" s="471" t="str">
        <f ca="1">IF(N(O169)&gt;0,VLOOKUP(O169,Hraci!$A$1:$I$1500,5,0),IF(TYPE(INDIRECT(ADDRESS(ROW() + $A$9-8 + (ROW()-11)*4,3,1,1,"Internet")))&gt;1,INDIRECT(ADDRESS(ROW() + $A$9-8 + (ROW()-11)*4,3,1,1,"Internet"))," "))</f>
        <v xml:space="preserve"> </v>
      </c>
      <c r="S169" s="472">
        <f ca="1">IF(N(O169)=0,9999,VLOOKUP(O169,Hraci!$A$1:$I$1500,8,0))</f>
        <v>9999</v>
      </c>
      <c r="T169" s="473">
        <f ca="1">IF(N(O169)=0,0,VLOOKUP(O169,Hraci!$A$1:$I$1500,9,0))</f>
        <v>0</v>
      </c>
      <c r="U169" s="469" t="str">
        <f t="shared" ca="1" si="73"/>
        <v/>
      </c>
      <c r="V169" s="470" t="str">
        <f ca="1">IF(N(U169)&gt;0,VLOOKUP(U169,Hraci!$A$1:$I$1500,2,0),IF(TYPE(INDIRECT(ADDRESS(ROW() + $A$9-7 + (ROW()-11)*4,2,1,1,"Internet")))&gt;1,INDIRECT(ADDRESS(ROW() + $A$9-7 + (ROW()-11)*4,2,1,1,"Internet"))," "))</f>
        <v xml:space="preserve"> </v>
      </c>
      <c r="W169" s="471" t="str">
        <f ca="1">IF(N(U169)&gt;0,VLOOKUP(U169,Hraci!$A$1:$I$1500,3,0)," ")</f>
        <v xml:space="preserve"> </v>
      </c>
      <c r="X169" s="471" t="str">
        <f ca="1">IF(N(U169)&gt;0,VLOOKUP(U169,Hraci!$A$1:$I$1500,5,0),IF(TYPE(INDIRECT(ADDRESS(ROW() + $A$9-7 + (ROW()-11)*4,3,1,1,"Internet")))&gt;1,INDIRECT(ADDRESS(ROW() + $A$9-7 + (ROW()-11)*4,3,1,1,"Internet"))," "))</f>
        <v xml:space="preserve"> </v>
      </c>
      <c r="Y169" s="472">
        <f ca="1">IF(N(U169)=0,9999,VLOOKUP(U169,Hraci!$A$1:$I$1500,8,0))</f>
        <v>9999</v>
      </c>
      <c r="Z169" s="473">
        <f ca="1">IF(N(U169)=0,0,VLOOKUP(U169,Hraci!$A$1:$I$1500,9,0))</f>
        <v>0</v>
      </c>
      <c r="AA169" s="469" t="str">
        <f t="shared" ca="1" si="74"/>
        <v/>
      </c>
      <c r="AB169" s="470" t="str">
        <f ca="1">IF(N(AA169)&gt;0,VLOOKUP(AA169,Hraci!$A$1:$I$1500,2,0)," ")</f>
        <v xml:space="preserve"> </v>
      </c>
      <c r="AC169" s="471" t="str">
        <f ca="1">IF(N(AA169)&gt;0,VLOOKUP(AA169,Hraci!$A$1:$I$1500,3,0)," ")</f>
        <v xml:space="preserve"> </v>
      </c>
      <c r="AD169" s="471" t="str">
        <f ca="1">IF(N(AA169)&gt;0,VLOOKUP(AA169,Hraci!$A$1:$I$1500,5,0)," ")</f>
        <v xml:space="preserve"> </v>
      </c>
      <c r="AE169" s="472">
        <f ca="1">IF(N(AA169)=0,9999,VLOOKUP(AA169,Hraci!$A$1:$I$1500,8,0))</f>
        <v>9999</v>
      </c>
      <c r="AF169" s="473">
        <f ca="1">IF(N(AA169)=0,0,VLOOKUP(AA169,Hraci!$A$1:$I$1500,9,0))</f>
        <v>0</v>
      </c>
      <c r="AG169" s="474"/>
      <c r="AH169" s="480">
        <f ca="1">IF(TYPE(VLOOKUP(H169,Nasazení!$A$3:$E$258,5,0))&lt;4,VLOOKUP(H169,Nasazení!$A$3:$E$258,5,0),0)</f>
        <v>0</v>
      </c>
      <c r="AI169" s="475" t="str">
        <f ca="1">IF(N($AH169)&gt;0,VLOOKUP($AH169,Body!$A$4:$F$259,5,0),"")</f>
        <v/>
      </c>
      <c r="AJ169" s="476" t="str">
        <f ca="1">IF(N($AH169)&gt;0,VLOOKUP($AH169,Body!$A$4:$F$259,6,0),"")</f>
        <v/>
      </c>
      <c r="AK169" s="475" t="str">
        <f ca="1">IF(N($AH169)&gt;0,VLOOKUP($AH169,Body!$A$4:$F$259,2,0),"")</f>
        <v/>
      </c>
      <c r="AL169" s="477" t="str">
        <f t="shared" ca="1" si="61"/>
        <v/>
      </c>
      <c r="AM169" s="478">
        <f t="shared" ca="1" si="62"/>
        <v>0</v>
      </c>
      <c r="AN169" s="408">
        <f ca="1">IF(OR(TYPE(I169)&gt;1,TYPE(MATCH(I169,I170:I$267,0))&gt;1),0,MATCH(I169,I170:I$267,0))+IF(OR(TYPE(I169)&gt;1,TYPE(MATCH(I169,O$11:O$267,0))&gt;1),0,MATCH(I169,O$11:O$267,0))+IF(OR(TYPE(I169)&gt;1,TYPE(MATCH(I169,U$11:U$267,0))&gt;1),0,MATCH(I169,U$11:U$267,0))+IF(OR(TYPE(I169)&gt;1,TYPE(MATCH(I169,AA$11:AA$267,0))&gt;1),0,MATCH(I169,AA$11:AA$267,0))</f>
        <v>0</v>
      </c>
      <c r="AO169" s="408">
        <f ca="1">IF(OR(TYPE(O169)&gt;1,TYPE(MATCH(O169,I$11:I$267,0))&gt;1),0,MATCH(O169,I$11:I$267,0))+IF(OR(TYPE(O169)&gt;1,TYPE(MATCH(O169,O170:O$267,0))&gt;1),0,MATCH(O169,O170:O$267,0))+IF(OR(TYPE(O169)&gt;1,TYPE(MATCH(O169,U$11:U$267,0))&gt;1),0,MATCH(O169,U$11:U$267,0))+IF(OR(TYPE(O169)&gt;1,TYPE(MATCH(O169,AA$11:AA$267,0))&gt;1),0,MATCH(O169,AA$11:AA$267,0))</f>
        <v>0</v>
      </c>
      <c r="AP169" s="408">
        <f ca="1">IF(OR(TYPE(U169)&gt;1,TYPE(MATCH(U169,I$11:I$267,0))&gt;1),0,MATCH(U169,I$11:I$267,0))+IF(OR(TYPE(U169)&gt;1,TYPE(MATCH(U169,O$11:O$267,0))&gt;1),0,MATCH(U169,O$11:O$267,0))+IF(OR(TYPE(U169)&gt;1,TYPE(MATCH(U169,U170:U$267,0))&gt;1),0,MATCH(U169,U170:U$267,0))+IF(OR(TYPE(U169)&gt;1,TYPE(MATCH(U169,AA$11:AA$267,0))&gt;1),0,MATCH(U169,AA$11:AA$267,0))</f>
        <v>0</v>
      </c>
      <c r="AQ169" s="408">
        <f ca="1">IF(OR(TYPE(AA169)&gt;1,TYPE(MATCH(AA169,I$11:I$267,0))&gt;1),0,MATCH(AA169,I$11:I$267,0))+IF(OR(TYPE(AA169)&gt;1,TYPE(MATCH(AA169,O$11:O$267,0))&gt;1),0,MATCH(AA169,O$11:O$267,0))+IF(OR(TYPE(AA169)&gt;1,TYPE(MATCH(AA169,U$11:U$267,0))&gt;1),0,MATCH(U169,U$11:U$267,0))+IF(OR(TYPE(AA169)&gt;1,TYPE(MATCH(AA169,AA170:AA$267,0))&gt;1),0,MATCH(AA169,AA170:AA$267,0))</f>
        <v>0</v>
      </c>
      <c r="AR169" s="408">
        <f t="shared" ca="1" si="75"/>
        <v>0</v>
      </c>
      <c r="BF169" s="408">
        <f t="shared" si="76"/>
        <v>159</v>
      </c>
    </row>
    <row r="170" spans="1:58" ht="14.25">
      <c r="A170" s="430">
        <f t="shared" ca="1" si="65"/>
        <v>0</v>
      </c>
      <c r="B170" s="430">
        <f t="shared" ca="1" si="66"/>
        <v>0</v>
      </c>
      <c r="C170" s="430">
        <f t="shared" ca="1" si="67"/>
        <v>0</v>
      </c>
      <c r="D170" s="430">
        <f t="shared" ca="1" si="68"/>
        <v>99999</v>
      </c>
      <c r="E170" s="430">
        <f t="shared" ca="1" si="69"/>
        <v>9999</v>
      </c>
      <c r="F170" s="431" t="str">
        <f t="shared" ca="1" si="63"/>
        <v>00000000000000000000064367</v>
      </c>
      <c r="G170" s="467" t="b">
        <f t="shared" ca="1" si="70"/>
        <v>1</v>
      </c>
      <c r="H170" s="468">
        <f t="shared" si="60"/>
        <v>160</v>
      </c>
      <c r="I170" s="469" t="str">
        <f t="shared" ca="1" si="71"/>
        <v/>
      </c>
      <c r="J170" s="470" t="str">
        <f ca="1">IF(N(I170)&gt;0,VLOOKUP(I170,Hraci!$A$1:$I$1500,2,0),IF(TYPE(INDIRECT(ADDRESS(ROW() + $A$9-9 + (ROW()-11)*4,2,1,1,"Internet")))&gt;1,INDIRECT(ADDRESS(ROW() + $A$9-9 + (ROW()-11)*4,2,1,1,"Internet"))," "))</f>
        <v xml:space="preserve"> </v>
      </c>
      <c r="K170" s="471" t="str">
        <f ca="1">IF(N(I170)&gt;0,VLOOKUP(I170,Hraci!$A$1:$I$1500,3,0)," ")</f>
        <v xml:space="preserve"> </v>
      </c>
      <c r="L170" s="471" t="str">
        <f ca="1">IF(N(I170)&gt;0,VLOOKUP(I170,Hraci!$A$1:$I$1500,5,0),IF(TYPE(INDIRECT(ADDRESS(ROW() + $A$9-9 + (ROW()-11)*4,3,1,1,"Internet")))&gt;1,INDIRECT(ADDRESS(ROW() + $A$9-9 + (ROW()-11)*4,3,1,1,"Internet"))," "))</f>
        <v xml:space="preserve"> </v>
      </c>
      <c r="M170" s="472">
        <f ca="1">IF(N(I170)=0,9999,VLOOKUP(I170,Hraci!$A$1:$I$1500,8,0))</f>
        <v>9999</v>
      </c>
      <c r="N170" s="473">
        <f ca="1">IF(N(I170)=0,0,VLOOKUP(I170,Hraci!$A$1:$I$1500,9,0))</f>
        <v>0</v>
      </c>
      <c r="O170" s="469" t="str">
        <f t="shared" ca="1" si="72"/>
        <v/>
      </c>
      <c r="P170" s="470" t="str">
        <f ca="1">IF(N(O170)&gt;0,VLOOKUP(O170,Hraci!$A$1:$I$1500,2,0),IF(TYPE(INDIRECT(ADDRESS(ROW() + $A$9-8 + (ROW()-11)*4,2,1,1,"Internet")))&gt;1,INDIRECT(ADDRESS(ROW() + $A$9-8 + (ROW()-11)*4,2,1,1,"Internet"))," "))</f>
        <v xml:space="preserve"> </v>
      </c>
      <c r="Q170" s="471" t="str">
        <f ca="1">IF(N(O170)&gt;0,VLOOKUP(O170,Hraci!$A$1:$I$1500,3,0)," ")</f>
        <v xml:space="preserve"> </v>
      </c>
      <c r="R170" s="471" t="str">
        <f ca="1">IF(N(O170)&gt;0,VLOOKUP(O170,Hraci!$A$1:$I$1500,5,0),IF(TYPE(INDIRECT(ADDRESS(ROW() + $A$9-8 + (ROW()-11)*4,3,1,1,"Internet")))&gt;1,INDIRECT(ADDRESS(ROW() + $A$9-8 + (ROW()-11)*4,3,1,1,"Internet"))," "))</f>
        <v xml:space="preserve"> </v>
      </c>
      <c r="S170" s="472">
        <f ca="1">IF(N(O170)=0,9999,VLOOKUP(O170,Hraci!$A$1:$I$1500,8,0))</f>
        <v>9999</v>
      </c>
      <c r="T170" s="473">
        <f ca="1">IF(N(O170)=0,0,VLOOKUP(O170,Hraci!$A$1:$I$1500,9,0))</f>
        <v>0</v>
      </c>
      <c r="U170" s="469" t="str">
        <f t="shared" ca="1" si="73"/>
        <v/>
      </c>
      <c r="V170" s="470" t="str">
        <f ca="1">IF(N(U170)&gt;0,VLOOKUP(U170,Hraci!$A$1:$I$1500,2,0),IF(TYPE(INDIRECT(ADDRESS(ROW() + $A$9-7 + (ROW()-11)*4,2,1,1,"Internet")))&gt;1,INDIRECT(ADDRESS(ROW() + $A$9-7 + (ROW()-11)*4,2,1,1,"Internet"))," "))</f>
        <v xml:space="preserve"> </v>
      </c>
      <c r="W170" s="471" t="str">
        <f ca="1">IF(N(U170)&gt;0,VLOOKUP(U170,Hraci!$A$1:$I$1500,3,0)," ")</f>
        <v xml:space="preserve"> </v>
      </c>
      <c r="X170" s="471" t="str">
        <f ca="1">IF(N(U170)&gt;0,VLOOKUP(U170,Hraci!$A$1:$I$1500,5,0),IF(TYPE(INDIRECT(ADDRESS(ROW() + $A$9-7 + (ROW()-11)*4,3,1,1,"Internet")))&gt;1,INDIRECT(ADDRESS(ROW() + $A$9-7 + (ROW()-11)*4,3,1,1,"Internet"))," "))</f>
        <v xml:space="preserve"> </v>
      </c>
      <c r="Y170" s="472">
        <f ca="1">IF(N(U170)=0,9999,VLOOKUP(U170,Hraci!$A$1:$I$1500,8,0))</f>
        <v>9999</v>
      </c>
      <c r="Z170" s="473">
        <f ca="1">IF(N(U170)=0,0,VLOOKUP(U170,Hraci!$A$1:$I$1500,9,0))</f>
        <v>0</v>
      </c>
      <c r="AA170" s="469" t="str">
        <f t="shared" ca="1" si="74"/>
        <v/>
      </c>
      <c r="AB170" s="470" t="str">
        <f ca="1">IF(N(AA170)&gt;0,VLOOKUP(AA170,Hraci!$A$1:$I$1500,2,0)," ")</f>
        <v xml:space="preserve"> </v>
      </c>
      <c r="AC170" s="471" t="str">
        <f ca="1">IF(N(AA170)&gt;0,VLOOKUP(AA170,Hraci!$A$1:$I$1500,3,0)," ")</f>
        <v xml:space="preserve"> </v>
      </c>
      <c r="AD170" s="471" t="str">
        <f ca="1">IF(N(AA170)&gt;0,VLOOKUP(AA170,Hraci!$A$1:$I$1500,5,0)," ")</f>
        <v xml:space="preserve"> </v>
      </c>
      <c r="AE170" s="472">
        <f ca="1">IF(N(AA170)=0,9999,VLOOKUP(AA170,Hraci!$A$1:$I$1500,8,0))</f>
        <v>9999</v>
      </c>
      <c r="AF170" s="473">
        <f ca="1">IF(N(AA170)=0,0,VLOOKUP(AA170,Hraci!$A$1:$I$1500,9,0))</f>
        <v>0</v>
      </c>
      <c r="AG170" s="474"/>
      <c r="AH170" s="480">
        <f ca="1">IF(TYPE(VLOOKUP(H170,Nasazení!$A$3:$E$258,5,0))&lt;4,VLOOKUP(H170,Nasazení!$A$3:$E$258,5,0),0)</f>
        <v>0</v>
      </c>
      <c r="AI170" s="475" t="str">
        <f ca="1">IF(N($AH170)&gt;0,VLOOKUP($AH170,Body!$A$4:$F$259,5,0),"")</f>
        <v/>
      </c>
      <c r="AJ170" s="476" t="str">
        <f ca="1">IF(N($AH170)&gt;0,VLOOKUP($AH170,Body!$A$4:$F$259,6,0),"")</f>
        <v/>
      </c>
      <c r="AK170" s="475" t="str">
        <f ca="1">IF(N($AH170)&gt;0,VLOOKUP($AH170,Body!$A$4:$F$259,2,0),"")</f>
        <v/>
      </c>
      <c r="AL170" s="477" t="str">
        <f t="shared" ca="1" si="61"/>
        <v/>
      </c>
      <c r="AM170" s="478">
        <f t="shared" ca="1" si="62"/>
        <v>0</v>
      </c>
      <c r="AN170" s="408">
        <f ca="1">IF(OR(TYPE(I170)&gt;1,TYPE(MATCH(I170,I171:I$267,0))&gt;1),0,MATCH(I170,I171:I$267,0))+IF(OR(TYPE(I170)&gt;1,TYPE(MATCH(I170,O$11:O$267,0))&gt;1),0,MATCH(I170,O$11:O$267,0))+IF(OR(TYPE(I170)&gt;1,TYPE(MATCH(I170,U$11:U$267,0))&gt;1),0,MATCH(I170,U$11:U$267,0))+IF(OR(TYPE(I170)&gt;1,TYPE(MATCH(I170,AA$11:AA$267,0))&gt;1),0,MATCH(I170,AA$11:AA$267,0))</f>
        <v>0</v>
      </c>
      <c r="AO170" s="408">
        <f ca="1">IF(OR(TYPE(O170)&gt;1,TYPE(MATCH(O170,I$11:I$267,0))&gt;1),0,MATCH(O170,I$11:I$267,0))+IF(OR(TYPE(O170)&gt;1,TYPE(MATCH(O170,O171:O$267,0))&gt;1),0,MATCH(O170,O171:O$267,0))+IF(OR(TYPE(O170)&gt;1,TYPE(MATCH(O170,U$11:U$267,0))&gt;1),0,MATCH(O170,U$11:U$267,0))+IF(OR(TYPE(O170)&gt;1,TYPE(MATCH(O170,AA$11:AA$267,0))&gt;1),0,MATCH(O170,AA$11:AA$267,0))</f>
        <v>0</v>
      </c>
      <c r="AP170" s="408">
        <f ca="1">IF(OR(TYPE(U170)&gt;1,TYPE(MATCH(U170,I$11:I$267,0))&gt;1),0,MATCH(U170,I$11:I$267,0))+IF(OR(TYPE(U170)&gt;1,TYPE(MATCH(U170,O$11:O$267,0))&gt;1),0,MATCH(U170,O$11:O$267,0))+IF(OR(TYPE(U170)&gt;1,TYPE(MATCH(U170,U171:U$267,0))&gt;1),0,MATCH(U170,U171:U$267,0))+IF(OR(TYPE(U170)&gt;1,TYPE(MATCH(U170,AA$11:AA$267,0))&gt;1),0,MATCH(U170,AA$11:AA$267,0))</f>
        <v>0</v>
      </c>
      <c r="AQ170" s="408">
        <f ca="1">IF(OR(TYPE(AA170)&gt;1,TYPE(MATCH(AA170,I$11:I$267,0))&gt;1),0,MATCH(AA170,I$11:I$267,0))+IF(OR(TYPE(AA170)&gt;1,TYPE(MATCH(AA170,O$11:O$267,0))&gt;1),0,MATCH(AA170,O$11:O$267,0))+IF(OR(TYPE(AA170)&gt;1,TYPE(MATCH(AA170,U$11:U$267,0))&gt;1),0,MATCH(U170,U$11:U$267,0))+IF(OR(TYPE(AA170)&gt;1,TYPE(MATCH(AA170,AA171:AA$267,0))&gt;1),0,MATCH(AA170,AA171:AA$267,0))</f>
        <v>0</v>
      </c>
      <c r="AR170" s="408">
        <f t="shared" ca="1" si="75"/>
        <v>0</v>
      </c>
      <c r="BF170" s="408">
        <f t="shared" si="76"/>
        <v>160</v>
      </c>
    </row>
    <row r="171" spans="1:58" ht="14.25">
      <c r="A171" s="430">
        <f t="shared" ca="1" si="65"/>
        <v>0</v>
      </c>
      <c r="B171" s="430">
        <f t="shared" ca="1" si="66"/>
        <v>0</v>
      </c>
      <c r="C171" s="430">
        <f t="shared" ca="1" si="67"/>
        <v>0</v>
      </c>
      <c r="D171" s="430">
        <f t="shared" ca="1" si="68"/>
        <v>99999</v>
      </c>
      <c r="E171" s="400">
        <f t="shared" ca="1" si="69"/>
        <v>9999</v>
      </c>
      <c r="F171" s="431" t="str">
        <f t="shared" ca="1" si="63"/>
        <v>00000000000000000000543365</v>
      </c>
      <c r="G171" s="467" t="b">
        <f t="shared" ca="1" si="70"/>
        <v>1</v>
      </c>
      <c r="H171" s="468">
        <f t="shared" si="60"/>
        <v>161</v>
      </c>
      <c r="I171" s="469" t="str">
        <f t="shared" ca="1" si="71"/>
        <v/>
      </c>
      <c r="J171" s="470" t="str">
        <f ca="1">IF(N(I171)&gt;0,VLOOKUP(I171,Hraci!$A$1:$I$1500,2,0),IF(TYPE(INDIRECT(ADDRESS(ROW() + $A$9-9 + (ROW()-11)*4,2,1,1,"Internet")))&gt;1,INDIRECT(ADDRESS(ROW() + $A$9-9 + (ROW()-11)*4,2,1,1,"Internet"))," "))</f>
        <v xml:space="preserve"> </v>
      </c>
      <c r="K171" s="471" t="str">
        <f ca="1">IF(N(I171)&gt;0,VLOOKUP(I171,Hraci!$A$1:$I$1500,3,0)," ")</f>
        <v xml:space="preserve"> </v>
      </c>
      <c r="L171" s="471" t="str">
        <f ca="1">IF(N(I171)&gt;0,VLOOKUP(I171,Hraci!$A$1:$I$1500,5,0),IF(TYPE(INDIRECT(ADDRESS(ROW() + $A$9-9 + (ROW()-11)*4,3,1,1,"Internet")))&gt;1,INDIRECT(ADDRESS(ROW() + $A$9-9 + (ROW()-11)*4,3,1,1,"Internet"))," "))</f>
        <v xml:space="preserve"> </v>
      </c>
      <c r="M171" s="472">
        <f ca="1">IF(N(I171)=0,9999,VLOOKUP(I171,Hraci!$A$1:$I$1500,8,0))</f>
        <v>9999</v>
      </c>
      <c r="N171" s="473">
        <f ca="1">IF(N(I171)=0,0,VLOOKUP(I171,Hraci!$A$1:$I$1500,9,0))</f>
        <v>0</v>
      </c>
      <c r="O171" s="469" t="str">
        <f t="shared" ca="1" si="72"/>
        <v/>
      </c>
      <c r="P171" s="470" t="str">
        <f ca="1">IF(N(O171)&gt;0,VLOOKUP(O171,Hraci!$A$1:$I$1500,2,0),IF(TYPE(INDIRECT(ADDRESS(ROW() + $A$9-8 + (ROW()-11)*4,2,1,1,"Internet")))&gt;1,INDIRECT(ADDRESS(ROW() + $A$9-8 + (ROW()-11)*4,2,1,1,"Internet"))," "))</f>
        <v xml:space="preserve"> </v>
      </c>
      <c r="Q171" s="471" t="str">
        <f ca="1">IF(N(O171)&gt;0,VLOOKUP(O171,Hraci!$A$1:$I$1500,3,0)," ")</f>
        <v xml:space="preserve"> </v>
      </c>
      <c r="R171" s="471" t="str">
        <f ca="1">IF(N(O171)&gt;0,VLOOKUP(O171,Hraci!$A$1:$I$1500,5,0),IF(TYPE(INDIRECT(ADDRESS(ROW() + $A$9-8 + (ROW()-11)*4,3,1,1,"Internet")))&gt;1,INDIRECT(ADDRESS(ROW() + $A$9-8 + (ROW()-11)*4,3,1,1,"Internet"))," "))</f>
        <v xml:space="preserve"> </v>
      </c>
      <c r="S171" s="472">
        <f ca="1">IF(N(O171)=0,9999,VLOOKUP(O171,Hraci!$A$1:$I$1500,8,0))</f>
        <v>9999</v>
      </c>
      <c r="T171" s="473">
        <f ca="1">IF(N(O171)=0,0,VLOOKUP(O171,Hraci!$A$1:$I$1500,9,0))</f>
        <v>0</v>
      </c>
      <c r="U171" s="469" t="str">
        <f t="shared" ca="1" si="73"/>
        <v/>
      </c>
      <c r="V171" s="470" t="str">
        <f ca="1">IF(N(U171)&gt;0,VLOOKUP(U171,Hraci!$A$1:$I$1500,2,0),IF(TYPE(INDIRECT(ADDRESS(ROW() + $A$9-7 + (ROW()-11)*4,2,1,1,"Internet")))&gt;1,INDIRECT(ADDRESS(ROW() + $A$9-7 + (ROW()-11)*4,2,1,1,"Internet"))," "))</f>
        <v xml:space="preserve"> </v>
      </c>
      <c r="W171" s="471" t="str">
        <f ca="1">IF(N(U171)&gt;0,VLOOKUP(U171,Hraci!$A$1:$I$1500,3,0)," ")</f>
        <v xml:space="preserve"> </v>
      </c>
      <c r="X171" s="471" t="str">
        <f ca="1">IF(N(U171)&gt;0,VLOOKUP(U171,Hraci!$A$1:$I$1500,5,0),IF(TYPE(INDIRECT(ADDRESS(ROW() + $A$9-7 + (ROW()-11)*4,3,1,1,"Internet")))&gt;1,INDIRECT(ADDRESS(ROW() + $A$9-7 + (ROW()-11)*4,3,1,1,"Internet"))," "))</f>
        <v xml:space="preserve"> </v>
      </c>
      <c r="Y171" s="472">
        <f ca="1">IF(N(U171)=0,9999,VLOOKUP(U171,Hraci!$A$1:$I$1500,8,0))</f>
        <v>9999</v>
      </c>
      <c r="Z171" s="473">
        <f ca="1">IF(N(U171)=0,0,VLOOKUP(U171,Hraci!$A$1:$I$1500,9,0))</f>
        <v>0</v>
      </c>
      <c r="AA171" s="469" t="str">
        <f t="shared" ca="1" si="74"/>
        <v/>
      </c>
      <c r="AB171" s="470" t="str">
        <f ca="1">IF(N(AA171)&gt;0,VLOOKUP(AA171,Hraci!$A$1:$I$1500,2,0)," ")</f>
        <v xml:space="preserve"> </v>
      </c>
      <c r="AC171" s="471" t="str">
        <f ca="1">IF(N(AA171)&gt;0,VLOOKUP(AA171,Hraci!$A$1:$I$1500,3,0)," ")</f>
        <v xml:space="preserve"> </v>
      </c>
      <c r="AD171" s="471" t="str">
        <f ca="1">IF(N(AA171)&gt;0,VLOOKUP(AA171,Hraci!$A$1:$I$1500,5,0)," ")</f>
        <v xml:space="preserve"> </v>
      </c>
      <c r="AE171" s="472">
        <f ca="1">IF(N(AA171)=0,9999,VLOOKUP(AA171,Hraci!$A$1:$I$1500,8,0))</f>
        <v>9999</v>
      </c>
      <c r="AF171" s="473">
        <f ca="1">IF(N(AA171)=0,0,VLOOKUP(AA171,Hraci!$A$1:$I$1500,9,0))</f>
        <v>0</v>
      </c>
      <c r="AG171" s="474"/>
      <c r="AH171" s="480">
        <f ca="1">IF(TYPE(VLOOKUP(H171,Nasazení!$A$3:$E$258,5,0))&lt;4,VLOOKUP(H171,Nasazení!$A$3:$E$258,5,0),0)</f>
        <v>0</v>
      </c>
      <c r="AI171" s="475" t="str">
        <f ca="1">IF(N($AH171)&gt;0,VLOOKUP($AH171,Body!$A$4:$F$259,5,0),"")</f>
        <v/>
      </c>
      <c r="AJ171" s="476" t="str">
        <f ca="1">IF(N($AH171)&gt;0,VLOOKUP($AH171,Body!$A$4:$F$259,6,0),"")</f>
        <v/>
      </c>
      <c r="AK171" s="475" t="str">
        <f ca="1">IF(N($AH171)&gt;0,VLOOKUP($AH171,Body!$A$4:$F$259,2,0),"")</f>
        <v/>
      </c>
      <c r="AL171" s="477" t="str">
        <f t="shared" ca="1" si="61"/>
        <v/>
      </c>
      <c r="AM171" s="478">
        <f t="shared" ca="1" si="62"/>
        <v>0</v>
      </c>
      <c r="AN171" s="408">
        <f ca="1">IF(OR(TYPE(I171)&gt;1,TYPE(MATCH(I171,I172:I$267,0))&gt;1),0,MATCH(I171,I172:I$267,0))+IF(OR(TYPE(I171)&gt;1,TYPE(MATCH(I171,O$11:O$267,0))&gt;1),0,MATCH(I171,O$11:O$267,0))+IF(OR(TYPE(I171)&gt;1,TYPE(MATCH(I171,U$11:U$267,0))&gt;1),0,MATCH(I171,U$11:U$267,0))+IF(OR(TYPE(I171)&gt;1,TYPE(MATCH(I171,AA$11:AA$267,0))&gt;1),0,MATCH(I171,AA$11:AA$267,0))</f>
        <v>0</v>
      </c>
      <c r="AO171" s="408">
        <f ca="1">IF(OR(TYPE(O171)&gt;1,TYPE(MATCH(O171,I$11:I$267,0))&gt;1),0,MATCH(O171,I$11:I$267,0))+IF(OR(TYPE(O171)&gt;1,TYPE(MATCH(O171,O172:O$267,0))&gt;1),0,MATCH(O171,O172:O$267,0))+IF(OR(TYPE(O171)&gt;1,TYPE(MATCH(O171,U$11:U$267,0))&gt;1),0,MATCH(O171,U$11:U$267,0))+IF(OR(TYPE(O171)&gt;1,TYPE(MATCH(O171,AA$11:AA$267,0))&gt;1),0,MATCH(O171,AA$11:AA$267,0))</f>
        <v>0</v>
      </c>
      <c r="AP171" s="408">
        <f ca="1">IF(OR(TYPE(U171)&gt;1,TYPE(MATCH(U171,I$11:I$267,0))&gt;1),0,MATCH(U171,I$11:I$267,0))+IF(OR(TYPE(U171)&gt;1,TYPE(MATCH(U171,O$11:O$267,0))&gt;1),0,MATCH(U171,O$11:O$267,0))+IF(OR(TYPE(U171)&gt;1,TYPE(MATCH(U171,U172:U$267,0))&gt;1),0,MATCH(U171,U172:U$267,0))+IF(OR(TYPE(U171)&gt;1,TYPE(MATCH(U171,AA$11:AA$267,0))&gt;1),0,MATCH(U171,AA$11:AA$267,0))</f>
        <v>0</v>
      </c>
      <c r="AQ171" s="408">
        <f ca="1">IF(OR(TYPE(AA171)&gt;1,TYPE(MATCH(AA171,I$11:I$267,0))&gt;1),0,MATCH(AA171,I$11:I$267,0))+IF(OR(TYPE(AA171)&gt;1,TYPE(MATCH(AA171,O$11:O$267,0))&gt;1),0,MATCH(AA171,O$11:O$267,0))+IF(OR(TYPE(AA171)&gt;1,TYPE(MATCH(AA171,U$11:U$267,0))&gt;1),0,MATCH(U171,U$11:U$267,0))+IF(OR(TYPE(AA171)&gt;1,TYPE(MATCH(AA171,AA172:AA$267,0))&gt;1),0,MATCH(AA171,AA172:AA$267,0))</f>
        <v>0</v>
      </c>
      <c r="AR171" s="408">
        <f t="shared" ca="1" si="75"/>
        <v>0</v>
      </c>
      <c r="BF171" s="408">
        <f t="shared" si="76"/>
        <v>161</v>
      </c>
    </row>
    <row r="172" spans="1:58" ht="14.25">
      <c r="A172" s="430">
        <f t="shared" ca="1" si="65"/>
        <v>0</v>
      </c>
      <c r="B172" s="430">
        <f t="shared" ca="1" si="66"/>
        <v>0</v>
      </c>
      <c r="C172" s="430">
        <f t="shared" ca="1" si="67"/>
        <v>0</v>
      </c>
      <c r="D172" s="430">
        <f t="shared" ca="1" si="68"/>
        <v>99999</v>
      </c>
      <c r="E172" s="430">
        <f t="shared" ca="1" si="69"/>
        <v>9999</v>
      </c>
      <c r="F172" s="431" t="str">
        <f t="shared" ca="1" si="63"/>
        <v>00000000000000000000917069</v>
      </c>
      <c r="G172" s="467" t="b">
        <f t="shared" ca="1" si="70"/>
        <v>1</v>
      </c>
      <c r="H172" s="468">
        <f t="shared" si="60"/>
        <v>162</v>
      </c>
      <c r="I172" s="469" t="str">
        <f t="shared" ca="1" si="71"/>
        <v/>
      </c>
      <c r="J172" s="470" t="str">
        <f ca="1">IF(N(I172)&gt;0,VLOOKUP(I172,Hraci!$A$1:$I$1500,2,0),IF(TYPE(INDIRECT(ADDRESS(ROW() + $A$9-9 + (ROW()-11)*4,2,1,1,"Internet")))&gt;1,INDIRECT(ADDRESS(ROW() + $A$9-9 + (ROW()-11)*4,2,1,1,"Internet"))," "))</f>
        <v xml:space="preserve"> </v>
      </c>
      <c r="K172" s="471" t="str">
        <f ca="1">IF(N(I172)&gt;0,VLOOKUP(I172,Hraci!$A$1:$I$1500,3,0)," ")</f>
        <v xml:space="preserve"> </v>
      </c>
      <c r="L172" s="471" t="str">
        <f ca="1">IF(N(I172)&gt;0,VLOOKUP(I172,Hraci!$A$1:$I$1500,5,0),IF(TYPE(INDIRECT(ADDRESS(ROW() + $A$9-9 + (ROW()-11)*4,3,1,1,"Internet")))&gt;1,INDIRECT(ADDRESS(ROW() + $A$9-9 + (ROW()-11)*4,3,1,1,"Internet"))," "))</f>
        <v xml:space="preserve"> </v>
      </c>
      <c r="M172" s="472">
        <f ca="1">IF(N(I172)=0,9999,VLOOKUP(I172,Hraci!$A$1:$I$1500,8,0))</f>
        <v>9999</v>
      </c>
      <c r="N172" s="473">
        <f ca="1">IF(N(I172)=0,0,VLOOKUP(I172,Hraci!$A$1:$I$1500,9,0))</f>
        <v>0</v>
      </c>
      <c r="O172" s="469" t="str">
        <f t="shared" ca="1" si="72"/>
        <v/>
      </c>
      <c r="P172" s="470" t="str">
        <f ca="1">IF(N(O172)&gt;0,VLOOKUP(O172,Hraci!$A$1:$I$1500,2,0),IF(TYPE(INDIRECT(ADDRESS(ROW() + $A$9-8 + (ROW()-11)*4,2,1,1,"Internet")))&gt;1,INDIRECT(ADDRESS(ROW() + $A$9-8 + (ROW()-11)*4,2,1,1,"Internet"))," "))</f>
        <v xml:space="preserve"> </v>
      </c>
      <c r="Q172" s="471" t="str">
        <f ca="1">IF(N(O172)&gt;0,VLOOKUP(O172,Hraci!$A$1:$I$1500,3,0)," ")</f>
        <v xml:space="preserve"> </v>
      </c>
      <c r="R172" s="471" t="str">
        <f ca="1">IF(N(O172)&gt;0,VLOOKUP(O172,Hraci!$A$1:$I$1500,5,0),IF(TYPE(INDIRECT(ADDRESS(ROW() + $A$9-8 + (ROW()-11)*4,3,1,1,"Internet")))&gt;1,INDIRECT(ADDRESS(ROW() + $A$9-8 + (ROW()-11)*4,3,1,1,"Internet"))," "))</f>
        <v xml:space="preserve"> </v>
      </c>
      <c r="S172" s="472">
        <f ca="1">IF(N(O172)=0,9999,VLOOKUP(O172,Hraci!$A$1:$I$1500,8,0))</f>
        <v>9999</v>
      </c>
      <c r="T172" s="473">
        <f ca="1">IF(N(O172)=0,0,VLOOKUP(O172,Hraci!$A$1:$I$1500,9,0))</f>
        <v>0</v>
      </c>
      <c r="U172" s="469" t="str">
        <f t="shared" ca="1" si="73"/>
        <v/>
      </c>
      <c r="V172" s="470" t="str">
        <f ca="1">IF(N(U172)&gt;0,VLOOKUP(U172,Hraci!$A$1:$I$1500,2,0),IF(TYPE(INDIRECT(ADDRESS(ROW() + $A$9-7 + (ROW()-11)*4,2,1,1,"Internet")))&gt;1,INDIRECT(ADDRESS(ROW() + $A$9-7 + (ROW()-11)*4,2,1,1,"Internet"))," "))</f>
        <v xml:space="preserve"> </v>
      </c>
      <c r="W172" s="471" t="str">
        <f ca="1">IF(N(U172)&gt;0,VLOOKUP(U172,Hraci!$A$1:$I$1500,3,0)," ")</f>
        <v xml:space="preserve"> </v>
      </c>
      <c r="X172" s="471" t="str">
        <f ca="1">IF(N(U172)&gt;0,VLOOKUP(U172,Hraci!$A$1:$I$1500,5,0),IF(TYPE(INDIRECT(ADDRESS(ROW() + $A$9-7 + (ROW()-11)*4,3,1,1,"Internet")))&gt;1,INDIRECT(ADDRESS(ROW() + $A$9-7 + (ROW()-11)*4,3,1,1,"Internet"))," "))</f>
        <v xml:space="preserve"> </v>
      </c>
      <c r="Y172" s="472">
        <f ca="1">IF(N(U172)=0,9999,VLOOKUP(U172,Hraci!$A$1:$I$1500,8,0))</f>
        <v>9999</v>
      </c>
      <c r="Z172" s="473">
        <f ca="1">IF(N(U172)=0,0,VLOOKUP(U172,Hraci!$A$1:$I$1500,9,0))</f>
        <v>0</v>
      </c>
      <c r="AA172" s="469" t="str">
        <f t="shared" ca="1" si="74"/>
        <v/>
      </c>
      <c r="AB172" s="470" t="str">
        <f ca="1">IF(N(AA172)&gt;0,VLOOKUP(AA172,Hraci!$A$1:$I$1500,2,0)," ")</f>
        <v xml:space="preserve"> </v>
      </c>
      <c r="AC172" s="471" t="str">
        <f ca="1">IF(N(AA172)&gt;0,VLOOKUP(AA172,Hraci!$A$1:$I$1500,3,0)," ")</f>
        <v xml:space="preserve"> </v>
      </c>
      <c r="AD172" s="471" t="str">
        <f ca="1">IF(N(AA172)&gt;0,VLOOKUP(AA172,Hraci!$A$1:$I$1500,5,0)," ")</f>
        <v xml:space="preserve"> </v>
      </c>
      <c r="AE172" s="472">
        <f ca="1">IF(N(AA172)=0,9999,VLOOKUP(AA172,Hraci!$A$1:$I$1500,8,0))</f>
        <v>9999</v>
      </c>
      <c r="AF172" s="473">
        <f ca="1">IF(N(AA172)=0,0,VLOOKUP(AA172,Hraci!$A$1:$I$1500,9,0))</f>
        <v>0</v>
      </c>
      <c r="AG172" s="474"/>
      <c r="AH172" s="480">
        <f ca="1">IF(TYPE(VLOOKUP(H172,Nasazení!$A$3:$E$258,5,0))&lt;4,VLOOKUP(H172,Nasazení!$A$3:$E$258,5,0),0)</f>
        <v>0</v>
      </c>
      <c r="AI172" s="475" t="str">
        <f ca="1">IF(N($AH172)&gt;0,VLOOKUP($AH172,Body!$A$4:$F$259,5,0),"")</f>
        <v/>
      </c>
      <c r="AJ172" s="476" t="str">
        <f ca="1">IF(N($AH172)&gt;0,VLOOKUP($AH172,Body!$A$4:$F$259,6,0),"")</f>
        <v/>
      </c>
      <c r="AK172" s="475" t="str">
        <f ca="1">IF(N($AH172)&gt;0,VLOOKUP($AH172,Body!$A$4:$F$259,2,0),"")</f>
        <v/>
      </c>
      <c r="AL172" s="477" t="str">
        <f t="shared" ca="1" si="61"/>
        <v/>
      </c>
      <c r="AM172" s="478">
        <f t="shared" ca="1" si="62"/>
        <v>0</v>
      </c>
      <c r="AN172" s="408">
        <f ca="1">IF(OR(TYPE(I172)&gt;1,TYPE(MATCH(I172,I173:I$267,0))&gt;1),0,MATCH(I172,I173:I$267,0))+IF(OR(TYPE(I172)&gt;1,TYPE(MATCH(I172,O$11:O$267,0))&gt;1),0,MATCH(I172,O$11:O$267,0))+IF(OR(TYPE(I172)&gt;1,TYPE(MATCH(I172,U$11:U$267,0))&gt;1),0,MATCH(I172,U$11:U$267,0))+IF(OR(TYPE(I172)&gt;1,TYPE(MATCH(I172,AA$11:AA$267,0))&gt;1),0,MATCH(I172,AA$11:AA$267,0))</f>
        <v>0</v>
      </c>
      <c r="AO172" s="408">
        <f ca="1">IF(OR(TYPE(O172)&gt;1,TYPE(MATCH(O172,I$11:I$267,0))&gt;1),0,MATCH(O172,I$11:I$267,0))+IF(OR(TYPE(O172)&gt;1,TYPE(MATCH(O172,O173:O$267,0))&gt;1),0,MATCH(O172,O173:O$267,0))+IF(OR(TYPE(O172)&gt;1,TYPE(MATCH(O172,U$11:U$267,0))&gt;1),0,MATCH(O172,U$11:U$267,0))+IF(OR(TYPE(O172)&gt;1,TYPE(MATCH(O172,AA$11:AA$267,0))&gt;1),0,MATCH(O172,AA$11:AA$267,0))</f>
        <v>0</v>
      </c>
      <c r="AP172" s="408">
        <f ca="1">IF(OR(TYPE(U172)&gt;1,TYPE(MATCH(U172,I$11:I$267,0))&gt;1),0,MATCH(U172,I$11:I$267,0))+IF(OR(TYPE(U172)&gt;1,TYPE(MATCH(U172,O$11:O$267,0))&gt;1),0,MATCH(U172,O$11:O$267,0))+IF(OR(TYPE(U172)&gt;1,TYPE(MATCH(U172,U173:U$267,0))&gt;1),0,MATCH(U172,U173:U$267,0))+IF(OR(TYPE(U172)&gt;1,TYPE(MATCH(U172,AA$11:AA$267,0))&gt;1),0,MATCH(U172,AA$11:AA$267,0))</f>
        <v>0</v>
      </c>
      <c r="AQ172" s="408">
        <f ca="1">IF(OR(TYPE(AA172)&gt;1,TYPE(MATCH(AA172,I$11:I$267,0))&gt;1),0,MATCH(AA172,I$11:I$267,0))+IF(OR(TYPE(AA172)&gt;1,TYPE(MATCH(AA172,O$11:O$267,0))&gt;1),0,MATCH(AA172,O$11:O$267,0))+IF(OR(TYPE(AA172)&gt;1,TYPE(MATCH(AA172,U$11:U$267,0))&gt;1),0,MATCH(U172,U$11:U$267,0))+IF(OR(TYPE(AA172)&gt;1,TYPE(MATCH(AA172,AA173:AA$267,0))&gt;1),0,MATCH(AA172,AA173:AA$267,0))</f>
        <v>0</v>
      </c>
      <c r="AR172" s="408">
        <f t="shared" ca="1" si="75"/>
        <v>0</v>
      </c>
      <c r="BF172" s="408">
        <f t="shared" si="76"/>
        <v>162</v>
      </c>
    </row>
    <row r="173" spans="1:58" ht="14.25">
      <c r="A173" s="430">
        <f t="shared" ca="1" si="65"/>
        <v>0</v>
      </c>
      <c r="B173" s="430">
        <f t="shared" ca="1" si="66"/>
        <v>0</v>
      </c>
      <c r="C173" s="430">
        <f t="shared" ca="1" si="67"/>
        <v>0</v>
      </c>
      <c r="D173" s="430">
        <f t="shared" ca="1" si="68"/>
        <v>99999</v>
      </c>
      <c r="E173" s="430">
        <f t="shared" ca="1" si="69"/>
        <v>9999</v>
      </c>
      <c r="F173" s="431" t="str">
        <f t="shared" ca="1" si="63"/>
        <v>00000000000000000000389677</v>
      </c>
      <c r="G173" s="467" t="b">
        <f t="shared" ca="1" si="70"/>
        <v>1</v>
      </c>
      <c r="H173" s="468">
        <f t="shared" si="60"/>
        <v>163</v>
      </c>
      <c r="I173" s="469" t="str">
        <f t="shared" ca="1" si="71"/>
        <v/>
      </c>
      <c r="J173" s="470" t="str">
        <f ca="1">IF(N(I173)&gt;0,VLOOKUP(I173,Hraci!$A$1:$I$1500,2,0),IF(TYPE(INDIRECT(ADDRESS(ROW() + $A$9-9 + (ROW()-11)*4,2,1,1,"Internet")))&gt;1,INDIRECT(ADDRESS(ROW() + $A$9-9 + (ROW()-11)*4,2,1,1,"Internet"))," "))</f>
        <v xml:space="preserve"> </v>
      </c>
      <c r="K173" s="471" t="str">
        <f ca="1">IF(N(I173)&gt;0,VLOOKUP(I173,Hraci!$A$1:$I$1500,3,0)," ")</f>
        <v xml:space="preserve"> </v>
      </c>
      <c r="L173" s="471" t="str">
        <f ca="1">IF(N(I173)&gt;0,VLOOKUP(I173,Hraci!$A$1:$I$1500,5,0),IF(TYPE(INDIRECT(ADDRESS(ROW() + $A$9-9 + (ROW()-11)*4,3,1,1,"Internet")))&gt;1,INDIRECT(ADDRESS(ROW() + $A$9-9 + (ROW()-11)*4,3,1,1,"Internet"))," "))</f>
        <v xml:space="preserve"> </v>
      </c>
      <c r="M173" s="472">
        <f ca="1">IF(N(I173)=0,9999,VLOOKUP(I173,Hraci!$A$1:$I$1500,8,0))</f>
        <v>9999</v>
      </c>
      <c r="N173" s="473">
        <f ca="1">IF(N(I173)=0,0,VLOOKUP(I173,Hraci!$A$1:$I$1500,9,0))</f>
        <v>0</v>
      </c>
      <c r="O173" s="469" t="str">
        <f t="shared" ca="1" si="72"/>
        <v/>
      </c>
      <c r="P173" s="470" t="str">
        <f ca="1">IF(N(O173)&gt;0,VLOOKUP(O173,Hraci!$A$1:$I$1500,2,0),IF(TYPE(INDIRECT(ADDRESS(ROW() + $A$9-8 + (ROW()-11)*4,2,1,1,"Internet")))&gt;1,INDIRECT(ADDRESS(ROW() + $A$9-8 + (ROW()-11)*4,2,1,1,"Internet"))," "))</f>
        <v xml:space="preserve"> </v>
      </c>
      <c r="Q173" s="471" t="str">
        <f ca="1">IF(N(O173)&gt;0,VLOOKUP(O173,Hraci!$A$1:$I$1500,3,0)," ")</f>
        <v xml:space="preserve"> </v>
      </c>
      <c r="R173" s="471" t="str">
        <f ca="1">IF(N(O173)&gt;0,VLOOKUP(O173,Hraci!$A$1:$I$1500,5,0),IF(TYPE(INDIRECT(ADDRESS(ROW() + $A$9-8 + (ROW()-11)*4,3,1,1,"Internet")))&gt;1,INDIRECT(ADDRESS(ROW() + $A$9-8 + (ROW()-11)*4,3,1,1,"Internet"))," "))</f>
        <v xml:space="preserve"> </v>
      </c>
      <c r="S173" s="472">
        <f ca="1">IF(N(O173)=0,9999,VLOOKUP(O173,Hraci!$A$1:$I$1500,8,0))</f>
        <v>9999</v>
      </c>
      <c r="T173" s="473">
        <f ca="1">IF(N(O173)=0,0,VLOOKUP(O173,Hraci!$A$1:$I$1500,9,0))</f>
        <v>0</v>
      </c>
      <c r="U173" s="469" t="str">
        <f t="shared" ca="1" si="73"/>
        <v/>
      </c>
      <c r="V173" s="470" t="str">
        <f ca="1">IF(N(U173)&gt;0,VLOOKUP(U173,Hraci!$A$1:$I$1500,2,0),IF(TYPE(INDIRECT(ADDRESS(ROW() + $A$9-7 + (ROW()-11)*4,2,1,1,"Internet")))&gt;1,INDIRECT(ADDRESS(ROW() + $A$9-7 + (ROW()-11)*4,2,1,1,"Internet"))," "))</f>
        <v xml:space="preserve"> </v>
      </c>
      <c r="W173" s="471" t="str">
        <f ca="1">IF(N(U173)&gt;0,VLOOKUP(U173,Hraci!$A$1:$I$1500,3,0)," ")</f>
        <v xml:space="preserve"> </v>
      </c>
      <c r="X173" s="471" t="str">
        <f ca="1">IF(N(U173)&gt;0,VLOOKUP(U173,Hraci!$A$1:$I$1500,5,0),IF(TYPE(INDIRECT(ADDRESS(ROW() + $A$9-7 + (ROW()-11)*4,3,1,1,"Internet")))&gt;1,INDIRECT(ADDRESS(ROW() + $A$9-7 + (ROW()-11)*4,3,1,1,"Internet"))," "))</f>
        <v xml:space="preserve"> </v>
      </c>
      <c r="Y173" s="472">
        <f ca="1">IF(N(U173)=0,9999,VLOOKUP(U173,Hraci!$A$1:$I$1500,8,0))</f>
        <v>9999</v>
      </c>
      <c r="Z173" s="473">
        <f ca="1">IF(N(U173)=0,0,VLOOKUP(U173,Hraci!$A$1:$I$1500,9,0))</f>
        <v>0</v>
      </c>
      <c r="AA173" s="469" t="str">
        <f t="shared" ca="1" si="74"/>
        <v/>
      </c>
      <c r="AB173" s="470" t="str">
        <f ca="1">IF(N(AA173)&gt;0,VLOOKUP(AA173,Hraci!$A$1:$I$1500,2,0)," ")</f>
        <v xml:space="preserve"> </v>
      </c>
      <c r="AC173" s="471" t="str">
        <f ca="1">IF(N(AA173)&gt;0,VLOOKUP(AA173,Hraci!$A$1:$I$1500,3,0)," ")</f>
        <v xml:space="preserve"> </v>
      </c>
      <c r="AD173" s="471" t="str">
        <f ca="1">IF(N(AA173)&gt;0,VLOOKUP(AA173,Hraci!$A$1:$I$1500,5,0)," ")</f>
        <v xml:space="preserve"> </v>
      </c>
      <c r="AE173" s="472">
        <f ca="1">IF(N(AA173)=0,9999,VLOOKUP(AA173,Hraci!$A$1:$I$1500,8,0))</f>
        <v>9999</v>
      </c>
      <c r="AF173" s="473">
        <f ca="1">IF(N(AA173)=0,0,VLOOKUP(AA173,Hraci!$A$1:$I$1500,9,0))</f>
        <v>0</v>
      </c>
      <c r="AG173" s="474"/>
      <c r="AH173" s="480">
        <f ca="1">IF(TYPE(VLOOKUP(H173,Nasazení!$A$3:$E$258,5,0))&lt;4,VLOOKUP(H173,Nasazení!$A$3:$E$258,5,0),0)</f>
        <v>0</v>
      </c>
      <c r="AI173" s="475" t="str">
        <f ca="1">IF(N($AH173)&gt;0,VLOOKUP($AH173,Body!$A$4:$F$259,5,0),"")</f>
        <v/>
      </c>
      <c r="AJ173" s="476" t="str">
        <f ca="1">IF(N($AH173)&gt;0,VLOOKUP($AH173,Body!$A$4:$F$259,6,0),"")</f>
        <v/>
      </c>
      <c r="AK173" s="475" t="str">
        <f ca="1">IF(N($AH173)&gt;0,VLOOKUP($AH173,Body!$A$4:$F$259,2,0),"")</f>
        <v/>
      </c>
      <c r="AL173" s="477" t="str">
        <f t="shared" ca="1" si="61"/>
        <v/>
      </c>
      <c r="AM173" s="478">
        <f t="shared" ca="1" si="62"/>
        <v>0</v>
      </c>
      <c r="AN173" s="408">
        <f ca="1">IF(OR(TYPE(I173)&gt;1,TYPE(MATCH(I173,I174:I$267,0))&gt;1),0,MATCH(I173,I174:I$267,0))+IF(OR(TYPE(I173)&gt;1,TYPE(MATCH(I173,O$11:O$267,0))&gt;1),0,MATCH(I173,O$11:O$267,0))+IF(OR(TYPE(I173)&gt;1,TYPE(MATCH(I173,U$11:U$267,0))&gt;1),0,MATCH(I173,U$11:U$267,0))+IF(OR(TYPE(I173)&gt;1,TYPE(MATCH(I173,AA$11:AA$267,0))&gt;1),0,MATCH(I173,AA$11:AA$267,0))</f>
        <v>0</v>
      </c>
      <c r="AO173" s="408">
        <f ca="1">IF(OR(TYPE(O173)&gt;1,TYPE(MATCH(O173,I$11:I$267,0))&gt;1),0,MATCH(O173,I$11:I$267,0))+IF(OR(TYPE(O173)&gt;1,TYPE(MATCH(O173,O174:O$267,0))&gt;1),0,MATCH(O173,O174:O$267,0))+IF(OR(TYPE(O173)&gt;1,TYPE(MATCH(O173,U$11:U$267,0))&gt;1),0,MATCH(O173,U$11:U$267,0))+IF(OR(TYPE(O173)&gt;1,TYPE(MATCH(O173,AA$11:AA$267,0))&gt;1),0,MATCH(O173,AA$11:AA$267,0))</f>
        <v>0</v>
      </c>
      <c r="AP173" s="408">
        <f ca="1">IF(OR(TYPE(U173)&gt;1,TYPE(MATCH(U173,I$11:I$267,0))&gt;1),0,MATCH(U173,I$11:I$267,0))+IF(OR(TYPE(U173)&gt;1,TYPE(MATCH(U173,O$11:O$267,0))&gt;1),0,MATCH(U173,O$11:O$267,0))+IF(OR(TYPE(U173)&gt;1,TYPE(MATCH(U173,U174:U$267,0))&gt;1),0,MATCH(U173,U174:U$267,0))+IF(OR(TYPE(U173)&gt;1,TYPE(MATCH(U173,AA$11:AA$267,0))&gt;1),0,MATCH(U173,AA$11:AA$267,0))</f>
        <v>0</v>
      </c>
      <c r="AQ173" s="408">
        <f ca="1">IF(OR(TYPE(AA173)&gt;1,TYPE(MATCH(AA173,I$11:I$267,0))&gt;1),0,MATCH(AA173,I$11:I$267,0))+IF(OR(TYPE(AA173)&gt;1,TYPE(MATCH(AA173,O$11:O$267,0))&gt;1),0,MATCH(AA173,O$11:O$267,0))+IF(OR(TYPE(AA173)&gt;1,TYPE(MATCH(AA173,U$11:U$267,0))&gt;1),0,MATCH(U173,U$11:U$267,0))+IF(OR(TYPE(AA173)&gt;1,TYPE(MATCH(AA173,AA174:AA$267,0))&gt;1),0,MATCH(AA173,AA174:AA$267,0))</f>
        <v>0</v>
      </c>
      <c r="AR173" s="408">
        <f t="shared" ca="1" si="75"/>
        <v>0</v>
      </c>
      <c r="BF173" s="408">
        <f t="shared" si="76"/>
        <v>163</v>
      </c>
    </row>
    <row r="174" spans="1:58" ht="14.25">
      <c r="A174" s="430">
        <f t="shared" ca="1" si="65"/>
        <v>0</v>
      </c>
      <c r="B174" s="430">
        <f t="shared" ca="1" si="66"/>
        <v>0</v>
      </c>
      <c r="C174" s="430">
        <f t="shared" ca="1" si="67"/>
        <v>0</v>
      </c>
      <c r="D174" s="430">
        <f t="shared" ca="1" si="68"/>
        <v>99999</v>
      </c>
      <c r="E174" s="430">
        <f t="shared" ca="1" si="69"/>
        <v>9999</v>
      </c>
      <c r="F174" s="431" t="str">
        <f t="shared" ca="1" si="63"/>
        <v>00000000000000000000605053</v>
      </c>
      <c r="G174" s="467" t="b">
        <f t="shared" ca="1" si="70"/>
        <v>1</v>
      </c>
      <c r="H174" s="468">
        <f t="shared" si="60"/>
        <v>164</v>
      </c>
      <c r="I174" s="469" t="str">
        <f t="shared" ca="1" si="71"/>
        <v/>
      </c>
      <c r="J174" s="470" t="str">
        <f ca="1">IF(N(I174)&gt;0,VLOOKUP(I174,Hraci!$A$1:$I$1500,2,0),IF(TYPE(INDIRECT(ADDRESS(ROW() + $A$9-9 + (ROW()-11)*4,2,1,1,"Internet")))&gt;1,INDIRECT(ADDRESS(ROW() + $A$9-9 + (ROW()-11)*4,2,1,1,"Internet"))," "))</f>
        <v xml:space="preserve"> </v>
      </c>
      <c r="K174" s="471" t="str">
        <f ca="1">IF(N(I174)&gt;0,VLOOKUP(I174,Hraci!$A$1:$I$1500,3,0)," ")</f>
        <v xml:space="preserve"> </v>
      </c>
      <c r="L174" s="471" t="str">
        <f ca="1">IF(N(I174)&gt;0,VLOOKUP(I174,Hraci!$A$1:$I$1500,5,0),IF(TYPE(INDIRECT(ADDRESS(ROW() + $A$9-9 + (ROW()-11)*4,3,1,1,"Internet")))&gt;1,INDIRECT(ADDRESS(ROW() + $A$9-9 + (ROW()-11)*4,3,1,1,"Internet"))," "))</f>
        <v xml:space="preserve"> </v>
      </c>
      <c r="M174" s="472">
        <f ca="1">IF(N(I174)=0,9999,VLOOKUP(I174,Hraci!$A$1:$I$1500,8,0))</f>
        <v>9999</v>
      </c>
      <c r="N174" s="473">
        <f ca="1">IF(N(I174)=0,0,VLOOKUP(I174,Hraci!$A$1:$I$1500,9,0))</f>
        <v>0</v>
      </c>
      <c r="O174" s="469" t="str">
        <f t="shared" ca="1" si="72"/>
        <v/>
      </c>
      <c r="P174" s="470" t="str">
        <f ca="1">IF(N(O174)&gt;0,VLOOKUP(O174,Hraci!$A$1:$I$1500,2,0),IF(TYPE(INDIRECT(ADDRESS(ROW() + $A$9-8 + (ROW()-11)*4,2,1,1,"Internet")))&gt;1,INDIRECT(ADDRESS(ROW() + $A$9-8 + (ROW()-11)*4,2,1,1,"Internet"))," "))</f>
        <v xml:space="preserve"> </v>
      </c>
      <c r="Q174" s="471" t="str">
        <f ca="1">IF(N(O174)&gt;0,VLOOKUP(O174,Hraci!$A$1:$I$1500,3,0)," ")</f>
        <v xml:space="preserve"> </v>
      </c>
      <c r="R174" s="471" t="str">
        <f ca="1">IF(N(O174)&gt;0,VLOOKUP(O174,Hraci!$A$1:$I$1500,5,0),IF(TYPE(INDIRECT(ADDRESS(ROW() + $A$9-8 + (ROW()-11)*4,3,1,1,"Internet")))&gt;1,INDIRECT(ADDRESS(ROW() + $A$9-8 + (ROW()-11)*4,3,1,1,"Internet"))," "))</f>
        <v xml:space="preserve"> </v>
      </c>
      <c r="S174" s="472">
        <f ca="1">IF(N(O174)=0,9999,VLOOKUP(O174,Hraci!$A$1:$I$1500,8,0))</f>
        <v>9999</v>
      </c>
      <c r="T174" s="473">
        <f ca="1">IF(N(O174)=0,0,VLOOKUP(O174,Hraci!$A$1:$I$1500,9,0))</f>
        <v>0</v>
      </c>
      <c r="U174" s="469" t="str">
        <f t="shared" ca="1" si="73"/>
        <v/>
      </c>
      <c r="V174" s="470" t="str">
        <f ca="1">IF(N(U174)&gt;0,VLOOKUP(U174,Hraci!$A$1:$I$1500,2,0),IF(TYPE(INDIRECT(ADDRESS(ROW() + $A$9-7 + (ROW()-11)*4,2,1,1,"Internet")))&gt;1,INDIRECT(ADDRESS(ROW() + $A$9-7 + (ROW()-11)*4,2,1,1,"Internet"))," "))</f>
        <v xml:space="preserve"> </v>
      </c>
      <c r="W174" s="471" t="str">
        <f ca="1">IF(N(U174)&gt;0,VLOOKUP(U174,Hraci!$A$1:$I$1500,3,0)," ")</f>
        <v xml:space="preserve"> </v>
      </c>
      <c r="X174" s="471" t="str">
        <f ca="1">IF(N(U174)&gt;0,VLOOKUP(U174,Hraci!$A$1:$I$1500,5,0),IF(TYPE(INDIRECT(ADDRESS(ROW() + $A$9-7 + (ROW()-11)*4,3,1,1,"Internet")))&gt;1,INDIRECT(ADDRESS(ROW() + $A$9-7 + (ROW()-11)*4,3,1,1,"Internet"))," "))</f>
        <v xml:space="preserve"> </v>
      </c>
      <c r="Y174" s="472">
        <f ca="1">IF(N(U174)=0,9999,VLOOKUP(U174,Hraci!$A$1:$I$1500,8,0))</f>
        <v>9999</v>
      </c>
      <c r="Z174" s="473">
        <f ca="1">IF(N(U174)=0,0,VLOOKUP(U174,Hraci!$A$1:$I$1500,9,0))</f>
        <v>0</v>
      </c>
      <c r="AA174" s="469" t="str">
        <f t="shared" ca="1" si="74"/>
        <v/>
      </c>
      <c r="AB174" s="470" t="str">
        <f ca="1">IF(N(AA174)&gt;0,VLOOKUP(AA174,Hraci!$A$1:$I$1500,2,0)," ")</f>
        <v xml:space="preserve"> </v>
      </c>
      <c r="AC174" s="471" t="str">
        <f ca="1">IF(N(AA174)&gt;0,VLOOKUP(AA174,Hraci!$A$1:$I$1500,3,0)," ")</f>
        <v xml:space="preserve"> </v>
      </c>
      <c r="AD174" s="471" t="str">
        <f ca="1">IF(N(AA174)&gt;0,VLOOKUP(AA174,Hraci!$A$1:$I$1500,5,0)," ")</f>
        <v xml:space="preserve"> </v>
      </c>
      <c r="AE174" s="472">
        <f ca="1">IF(N(AA174)=0,9999,VLOOKUP(AA174,Hraci!$A$1:$I$1500,8,0))</f>
        <v>9999</v>
      </c>
      <c r="AF174" s="473">
        <f ca="1">IF(N(AA174)=0,0,VLOOKUP(AA174,Hraci!$A$1:$I$1500,9,0))</f>
        <v>0</v>
      </c>
      <c r="AG174" s="474"/>
      <c r="AH174" s="480">
        <f ca="1">IF(TYPE(VLOOKUP(H174,Nasazení!$A$3:$E$258,5,0))&lt;4,VLOOKUP(H174,Nasazení!$A$3:$E$258,5,0),0)</f>
        <v>0</v>
      </c>
      <c r="AI174" s="475" t="str">
        <f ca="1">IF(N($AH174)&gt;0,VLOOKUP($AH174,Body!$A$4:$F$259,5,0),"")</f>
        <v/>
      </c>
      <c r="AJ174" s="476" t="str">
        <f ca="1">IF(N($AH174)&gt;0,VLOOKUP($AH174,Body!$A$4:$F$259,6,0),"")</f>
        <v/>
      </c>
      <c r="AK174" s="475" t="str">
        <f ca="1">IF(N($AH174)&gt;0,VLOOKUP($AH174,Body!$A$4:$F$259,2,0),"")</f>
        <v/>
      </c>
      <c r="AL174" s="477" t="str">
        <f t="shared" ca="1" si="61"/>
        <v/>
      </c>
      <c r="AM174" s="478">
        <f t="shared" ca="1" si="62"/>
        <v>0</v>
      </c>
      <c r="AN174" s="408">
        <f ca="1">IF(OR(TYPE(I174)&gt;1,TYPE(MATCH(I174,I175:I$267,0))&gt;1),0,MATCH(I174,I175:I$267,0))+IF(OR(TYPE(I174)&gt;1,TYPE(MATCH(I174,O$11:O$267,0))&gt;1),0,MATCH(I174,O$11:O$267,0))+IF(OR(TYPE(I174)&gt;1,TYPE(MATCH(I174,U$11:U$267,0))&gt;1),0,MATCH(I174,U$11:U$267,0))+IF(OR(TYPE(I174)&gt;1,TYPE(MATCH(I174,AA$11:AA$267,0))&gt;1),0,MATCH(I174,AA$11:AA$267,0))</f>
        <v>0</v>
      </c>
      <c r="AO174" s="408">
        <f ca="1">IF(OR(TYPE(O174)&gt;1,TYPE(MATCH(O174,I$11:I$267,0))&gt;1),0,MATCH(O174,I$11:I$267,0))+IF(OR(TYPE(O174)&gt;1,TYPE(MATCH(O174,O175:O$267,0))&gt;1),0,MATCH(O174,O175:O$267,0))+IF(OR(TYPE(O174)&gt;1,TYPE(MATCH(O174,U$11:U$267,0))&gt;1),0,MATCH(O174,U$11:U$267,0))+IF(OR(TYPE(O174)&gt;1,TYPE(MATCH(O174,AA$11:AA$267,0))&gt;1),0,MATCH(O174,AA$11:AA$267,0))</f>
        <v>0</v>
      </c>
      <c r="AP174" s="408">
        <f ca="1">IF(OR(TYPE(U174)&gt;1,TYPE(MATCH(U174,I$11:I$267,0))&gt;1),0,MATCH(U174,I$11:I$267,0))+IF(OR(TYPE(U174)&gt;1,TYPE(MATCH(U174,O$11:O$267,0))&gt;1),0,MATCH(U174,O$11:O$267,0))+IF(OR(TYPE(U174)&gt;1,TYPE(MATCH(U174,U175:U$267,0))&gt;1),0,MATCH(U174,U175:U$267,0))+IF(OR(TYPE(U174)&gt;1,TYPE(MATCH(U174,AA$11:AA$267,0))&gt;1),0,MATCH(U174,AA$11:AA$267,0))</f>
        <v>0</v>
      </c>
      <c r="AQ174" s="408">
        <f ca="1">IF(OR(TYPE(AA174)&gt;1,TYPE(MATCH(AA174,I$11:I$267,0))&gt;1),0,MATCH(AA174,I$11:I$267,0))+IF(OR(TYPE(AA174)&gt;1,TYPE(MATCH(AA174,O$11:O$267,0))&gt;1),0,MATCH(AA174,O$11:O$267,0))+IF(OR(TYPE(AA174)&gt;1,TYPE(MATCH(AA174,U$11:U$267,0))&gt;1),0,MATCH(U174,U$11:U$267,0))+IF(OR(TYPE(AA174)&gt;1,TYPE(MATCH(AA174,AA175:AA$267,0))&gt;1),0,MATCH(AA174,AA175:AA$267,0))</f>
        <v>0</v>
      </c>
      <c r="AR174" s="408">
        <f t="shared" ca="1" si="75"/>
        <v>0</v>
      </c>
      <c r="BF174" s="408">
        <f t="shared" si="76"/>
        <v>164</v>
      </c>
    </row>
    <row r="175" spans="1:58" ht="14.25">
      <c r="A175" s="430">
        <f t="shared" ca="1" si="65"/>
        <v>0</v>
      </c>
      <c r="B175" s="430">
        <f t="shared" ca="1" si="66"/>
        <v>0</v>
      </c>
      <c r="C175" s="430">
        <f t="shared" ca="1" si="67"/>
        <v>0</v>
      </c>
      <c r="D175" s="430">
        <f t="shared" ca="1" si="68"/>
        <v>99999</v>
      </c>
      <c r="E175" s="430">
        <f t="shared" ca="1" si="69"/>
        <v>9999</v>
      </c>
      <c r="F175" s="431" t="str">
        <f t="shared" ca="1" si="63"/>
        <v>00000000000000000000438080</v>
      </c>
      <c r="G175" s="467" t="b">
        <f t="shared" ca="1" si="70"/>
        <v>1</v>
      </c>
      <c r="H175" s="468">
        <f t="shared" si="60"/>
        <v>165</v>
      </c>
      <c r="I175" s="469" t="str">
        <f t="shared" ca="1" si="71"/>
        <v/>
      </c>
      <c r="J175" s="470" t="str">
        <f ca="1">IF(N(I175)&gt;0,VLOOKUP(I175,Hraci!$A$1:$I$1500,2,0),IF(TYPE(INDIRECT(ADDRESS(ROW() + $A$9-9 + (ROW()-11)*4,2,1,1,"Internet")))&gt;1,INDIRECT(ADDRESS(ROW() + $A$9-9 + (ROW()-11)*4,2,1,1,"Internet"))," "))</f>
        <v xml:space="preserve"> </v>
      </c>
      <c r="K175" s="471" t="str">
        <f ca="1">IF(N(I175)&gt;0,VLOOKUP(I175,Hraci!$A$1:$I$1500,3,0)," ")</f>
        <v xml:space="preserve"> </v>
      </c>
      <c r="L175" s="471" t="str">
        <f ca="1">IF(N(I175)&gt;0,VLOOKUP(I175,Hraci!$A$1:$I$1500,5,0),IF(TYPE(INDIRECT(ADDRESS(ROW() + $A$9-9 + (ROW()-11)*4,3,1,1,"Internet")))&gt;1,INDIRECT(ADDRESS(ROW() + $A$9-9 + (ROW()-11)*4,3,1,1,"Internet"))," "))</f>
        <v xml:space="preserve"> </v>
      </c>
      <c r="M175" s="472">
        <f ca="1">IF(N(I175)=0,9999,VLOOKUP(I175,Hraci!$A$1:$I$1500,8,0))</f>
        <v>9999</v>
      </c>
      <c r="N175" s="473">
        <f ca="1">IF(N(I175)=0,0,VLOOKUP(I175,Hraci!$A$1:$I$1500,9,0))</f>
        <v>0</v>
      </c>
      <c r="O175" s="469" t="str">
        <f t="shared" ca="1" si="72"/>
        <v/>
      </c>
      <c r="P175" s="470" t="str">
        <f ca="1">IF(N(O175)&gt;0,VLOOKUP(O175,Hraci!$A$1:$I$1500,2,0),IF(TYPE(INDIRECT(ADDRESS(ROW() + $A$9-8 + (ROW()-11)*4,2,1,1,"Internet")))&gt;1,INDIRECT(ADDRESS(ROW() + $A$9-8 + (ROW()-11)*4,2,1,1,"Internet"))," "))</f>
        <v xml:space="preserve"> </v>
      </c>
      <c r="Q175" s="471" t="str">
        <f ca="1">IF(N(O175)&gt;0,VLOOKUP(O175,Hraci!$A$1:$I$1500,3,0)," ")</f>
        <v xml:space="preserve"> </v>
      </c>
      <c r="R175" s="471" t="str">
        <f ca="1">IF(N(O175)&gt;0,VLOOKUP(O175,Hraci!$A$1:$I$1500,5,0),IF(TYPE(INDIRECT(ADDRESS(ROW() + $A$9-8 + (ROW()-11)*4,3,1,1,"Internet")))&gt;1,INDIRECT(ADDRESS(ROW() + $A$9-8 + (ROW()-11)*4,3,1,1,"Internet"))," "))</f>
        <v xml:space="preserve"> </v>
      </c>
      <c r="S175" s="472">
        <f ca="1">IF(N(O175)=0,9999,VLOOKUP(O175,Hraci!$A$1:$I$1500,8,0))</f>
        <v>9999</v>
      </c>
      <c r="T175" s="473">
        <f ca="1">IF(N(O175)=0,0,VLOOKUP(O175,Hraci!$A$1:$I$1500,9,0))</f>
        <v>0</v>
      </c>
      <c r="U175" s="469" t="str">
        <f t="shared" ca="1" si="73"/>
        <v/>
      </c>
      <c r="V175" s="470" t="str">
        <f ca="1">IF(N(U175)&gt;0,VLOOKUP(U175,Hraci!$A$1:$I$1500,2,0),IF(TYPE(INDIRECT(ADDRESS(ROW() + $A$9-7 + (ROW()-11)*4,2,1,1,"Internet")))&gt;1,INDIRECT(ADDRESS(ROW() + $A$9-7 + (ROW()-11)*4,2,1,1,"Internet"))," "))</f>
        <v xml:space="preserve"> </v>
      </c>
      <c r="W175" s="471" t="str">
        <f ca="1">IF(N(U175)&gt;0,VLOOKUP(U175,Hraci!$A$1:$I$1500,3,0)," ")</f>
        <v xml:space="preserve"> </v>
      </c>
      <c r="X175" s="471" t="str">
        <f ca="1">IF(N(U175)&gt;0,VLOOKUP(U175,Hraci!$A$1:$I$1500,5,0),IF(TYPE(INDIRECT(ADDRESS(ROW() + $A$9-7 + (ROW()-11)*4,3,1,1,"Internet")))&gt;1,INDIRECT(ADDRESS(ROW() + $A$9-7 + (ROW()-11)*4,3,1,1,"Internet"))," "))</f>
        <v xml:space="preserve"> </v>
      </c>
      <c r="Y175" s="472">
        <f ca="1">IF(N(U175)=0,9999,VLOOKUP(U175,Hraci!$A$1:$I$1500,8,0))</f>
        <v>9999</v>
      </c>
      <c r="Z175" s="473">
        <f ca="1">IF(N(U175)=0,0,VLOOKUP(U175,Hraci!$A$1:$I$1500,9,0))</f>
        <v>0</v>
      </c>
      <c r="AA175" s="469" t="str">
        <f t="shared" ca="1" si="74"/>
        <v/>
      </c>
      <c r="AB175" s="470" t="str">
        <f ca="1">IF(N(AA175)&gt;0,VLOOKUP(AA175,Hraci!$A$1:$I$1500,2,0)," ")</f>
        <v xml:space="preserve"> </v>
      </c>
      <c r="AC175" s="471" t="str">
        <f ca="1">IF(N(AA175)&gt;0,VLOOKUP(AA175,Hraci!$A$1:$I$1500,3,0)," ")</f>
        <v xml:space="preserve"> </v>
      </c>
      <c r="AD175" s="471" t="str">
        <f ca="1">IF(N(AA175)&gt;0,VLOOKUP(AA175,Hraci!$A$1:$I$1500,5,0)," ")</f>
        <v xml:space="preserve"> </v>
      </c>
      <c r="AE175" s="472">
        <f ca="1">IF(N(AA175)=0,9999,VLOOKUP(AA175,Hraci!$A$1:$I$1500,8,0))</f>
        <v>9999</v>
      </c>
      <c r="AF175" s="473">
        <f ca="1">IF(N(AA175)=0,0,VLOOKUP(AA175,Hraci!$A$1:$I$1500,9,0))</f>
        <v>0</v>
      </c>
      <c r="AG175" s="474"/>
      <c r="AH175" s="480">
        <f ca="1">IF(TYPE(VLOOKUP(H175,Nasazení!$A$3:$E$258,5,0))&lt;4,VLOOKUP(H175,Nasazení!$A$3:$E$258,5,0),0)</f>
        <v>0</v>
      </c>
      <c r="AI175" s="475" t="str">
        <f ca="1">IF(N($AH175)&gt;0,VLOOKUP($AH175,Body!$A$4:$F$259,5,0),"")</f>
        <v/>
      </c>
      <c r="AJ175" s="476" t="str">
        <f ca="1">IF(N($AH175)&gt;0,VLOOKUP($AH175,Body!$A$4:$F$259,6,0),"")</f>
        <v/>
      </c>
      <c r="AK175" s="475" t="str">
        <f ca="1">IF(N($AH175)&gt;0,VLOOKUP($AH175,Body!$A$4:$F$259,2,0),"")</f>
        <v/>
      </c>
      <c r="AL175" s="477" t="str">
        <f t="shared" ca="1" si="61"/>
        <v/>
      </c>
      <c r="AM175" s="478">
        <f t="shared" ca="1" si="62"/>
        <v>0</v>
      </c>
      <c r="AN175" s="408">
        <f ca="1">IF(OR(TYPE(I175)&gt;1,TYPE(MATCH(I175,I176:I$267,0))&gt;1),0,MATCH(I175,I176:I$267,0))+IF(OR(TYPE(I175)&gt;1,TYPE(MATCH(I175,O$11:O$267,0))&gt;1),0,MATCH(I175,O$11:O$267,0))+IF(OR(TYPE(I175)&gt;1,TYPE(MATCH(I175,U$11:U$267,0))&gt;1),0,MATCH(I175,U$11:U$267,0))+IF(OR(TYPE(I175)&gt;1,TYPE(MATCH(I175,AA$11:AA$267,0))&gt;1),0,MATCH(I175,AA$11:AA$267,0))</f>
        <v>0</v>
      </c>
      <c r="AO175" s="408">
        <f ca="1">IF(OR(TYPE(O175)&gt;1,TYPE(MATCH(O175,I$11:I$267,0))&gt;1),0,MATCH(O175,I$11:I$267,0))+IF(OR(TYPE(O175)&gt;1,TYPE(MATCH(O175,O176:O$267,0))&gt;1),0,MATCH(O175,O176:O$267,0))+IF(OR(TYPE(O175)&gt;1,TYPE(MATCH(O175,U$11:U$267,0))&gt;1),0,MATCH(O175,U$11:U$267,0))+IF(OR(TYPE(O175)&gt;1,TYPE(MATCH(O175,AA$11:AA$267,0))&gt;1),0,MATCH(O175,AA$11:AA$267,0))</f>
        <v>0</v>
      </c>
      <c r="AP175" s="408">
        <f ca="1">IF(OR(TYPE(U175)&gt;1,TYPE(MATCH(U175,I$11:I$267,0))&gt;1),0,MATCH(U175,I$11:I$267,0))+IF(OR(TYPE(U175)&gt;1,TYPE(MATCH(U175,O$11:O$267,0))&gt;1),0,MATCH(U175,O$11:O$267,0))+IF(OR(TYPE(U175)&gt;1,TYPE(MATCH(U175,U176:U$267,0))&gt;1),0,MATCH(U175,U176:U$267,0))+IF(OR(TYPE(U175)&gt;1,TYPE(MATCH(U175,AA$11:AA$267,0))&gt;1),0,MATCH(U175,AA$11:AA$267,0))</f>
        <v>0</v>
      </c>
      <c r="AQ175" s="408">
        <f ca="1">IF(OR(TYPE(AA175)&gt;1,TYPE(MATCH(AA175,I$11:I$267,0))&gt;1),0,MATCH(AA175,I$11:I$267,0))+IF(OR(TYPE(AA175)&gt;1,TYPE(MATCH(AA175,O$11:O$267,0))&gt;1),0,MATCH(AA175,O$11:O$267,0))+IF(OR(TYPE(AA175)&gt;1,TYPE(MATCH(AA175,U$11:U$267,0))&gt;1),0,MATCH(U175,U$11:U$267,0))+IF(OR(TYPE(AA175)&gt;1,TYPE(MATCH(AA175,AA176:AA$267,0))&gt;1),0,MATCH(AA175,AA176:AA$267,0))</f>
        <v>0</v>
      </c>
      <c r="AR175" s="408">
        <f t="shared" ca="1" si="75"/>
        <v>0</v>
      </c>
      <c r="BF175" s="408">
        <f t="shared" si="76"/>
        <v>165</v>
      </c>
    </row>
    <row r="176" spans="1:58" ht="14.25">
      <c r="A176" s="430">
        <f t="shared" ca="1" si="65"/>
        <v>0</v>
      </c>
      <c r="B176" s="430">
        <f t="shared" ca="1" si="66"/>
        <v>0</v>
      </c>
      <c r="C176" s="430">
        <f t="shared" ca="1" si="67"/>
        <v>0</v>
      </c>
      <c r="D176" s="430">
        <f t="shared" ca="1" si="68"/>
        <v>99999</v>
      </c>
      <c r="E176" s="430">
        <f t="shared" ca="1" si="69"/>
        <v>9999</v>
      </c>
      <c r="F176" s="431" t="str">
        <f t="shared" ca="1" si="63"/>
        <v>00000000000000000000186781</v>
      </c>
      <c r="G176" s="467" t="b">
        <f t="shared" ca="1" si="70"/>
        <v>1</v>
      </c>
      <c r="H176" s="468">
        <f t="shared" si="60"/>
        <v>166</v>
      </c>
      <c r="I176" s="469" t="str">
        <f t="shared" ca="1" si="71"/>
        <v/>
      </c>
      <c r="J176" s="470" t="str">
        <f ca="1">IF(N(I176)&gt;0,VLOOKUP(I176,Hraci!$A$1:$I$1500,2,0),IF(TYPE(INDIRECT(ADDRESS(ROW() + $A$9-9 + (ROW()-11)*4,2,1,1,"Internet")))&gt;1,INDIRECT(ADDRESS(ROW() + $A$9-9 + (ROW()-11)*4,2,1,1,"Internet"))," "))</f>
        <v xml:space="preserve"> </v>
      </c>
      <c r="K176" s="471" t="str">
        <f ca="1">IF(N(I176)&gt;0,VLOOKUP(I176,Hraci!$A$1:$I$1500,3,0)," ")</f>
        <v xml:space="preserve"> </v>
      </c>
      <c r="L176" s="471" t="str">
        <f ca="1">IF(N(I176)&gt;0,VLOOKUP(I176,Hraci!$A$1:$I$1500,5,0),IF(TYPE(INDIRECT(ADDRESS(ROW() + $A$9-9 + (ROW()-11)*4,3,1,1,"Internet")))&gt;1,INDIRECT(ADDRESS(ROW() + $A$9-9 + (ROW()-11)*4,3,1,1,"Internet"))," "))</f>
        <v xml:space="preserve"> </v>
      </c>
      <c r="M176" s="472">
        <f ca="1">IF(N(I176)=0,9999,VLOOKUP(I176,Hraci!$A$1:$I$1500,8,0))</f>
        <v>9999</v>
      </c>
      <c r="N176" s="473">
        <f ca="1">IF(N(I176)=0,0,VLOOKUP(I176,Hraci!$A$1:$I$1500,9,0))</f>
        <v>0</v>
      </c>
      <c r="O176" s="469" t="str">
        <f t="shared" ca="1" si="72"/>
        <v/>
      </c>
      <c r="P176" s="470" t="str">
        <f ca="1">IF(N(O176)&gt;0,VLOOKUP(O176,Hraci!$A$1:$I$1500,2,0),IF(TYPE(INDIRECT(ADDRESS(ROW() + $A$9-8 + (ROW()-11)*4,2,1,1,"Internet")))&gt;1,INDIRECT(ADDRESS(ROW() + $A$9-8 + (ROW()-11)*4,2,1,1,"Internet"))," "))</f>
        <v xml:space="preserve"> </v>
      </c>
      <c r="Q176" s="471" t="str">
        <f ca="1">IF(N(O176)&gt;0,VLOOKUP(O176,Hraci!$A$1:$I$1500,3,0)," ")</f>
        <v xml:space="preserve"> </v>
      </c>
      <c r="R176" s="471" t="str">
        <f ca="1">IF(N(O176)&gt;0,VLOOKUP(O176,Hraci!$A$1:$I$1500,5,0),IF(TYPE(INDIRECT(ADDRESS(ROW() + $A$9-8 + (ROW()-11)*4,3,1,1,"Internet")))&gt;1,INDIRECT(ADDRESS(ROW() + $A$9-8 + (ROW()-11)*4,3,1,1,"Internet"))," "))</f>
        <v xml:space="preserve"> </v>
      </c>
      <c r="S176" s="472">
        <f ca="1">IF(N(O176)=0,9999,VLOOKUP(O176,Hraci!$A$1:$I$1500,8,0))</f>
        <v>9999</v>
      </c>
      <c r="T176" s="473">
        <f ca="1">IF(N(O176)=0,0,VLOOKUP(O176,Hraci!$A$1:$I$1500,9,0))</f>
        <v>0</v>
      </c>
      <c r="U176" s="469" t="str">
        <f t="shared" ca="1" si="73"/>
        <v/>
      </c>
      <c r="V176" s="470" t="str">
        <f ca="1">IF(N(U176)&gt;0,VLOOKUP(U176,Hraci!$A$1:$I$1500,2,0),IF(TYPE(INDIRECT(ADDRESS(ROW() + $A$9-7 + (ROW()-11)*4,2,1,1,"Internet")))&gt;1,INDIRECT(ADDRESS(ROW() + $A$9-7 + (ROW()-11)*4,2,1,1,"Internet"))," "))</f>
        <v xml:space="preserve"> </v>
      </c>
      <c r="W176" s="471" t="str">
        <f ca="1">IF(N(U176)&gt;0,VLOOKUP(U176,Hraci!$A$1:$I$1500,3,0)," ")</f>
        <v xml:space="preserve"> </v>
      </c>
      <c r="X176" s="471" t="str">
        <f ca="1">IF(N(U176)&gt;0,VLOOKUP(U176,Hraci!$A$1:$I$1500,5,0),IF(TYPE(INDIRECT(ADDRESS(ROW() + $A$9-7 + (ROW()-11)*4,3,1,1,"Internet")))&gt;1,INDIRECT(ADDRESS(ROW() + $A$9-7 + (ROW()-11)*4,3,1,1,"Internet"))," "))</f>
        <v xml:space="preserve"> </v>
      </c>
      <c r="Y176" s="472">
        <f ca="1">IF(N(U176)=0,9999,VLOOKUP(U176,Hraci!$A$1:$I$1500,8,0))</f>
        <v>9999</v>
      </c>
      <c r="Z176" s="473">
        <f ca="1">IF(N(U176)=0,0,VLOOKUP(U176,Hraci!$A$1:$I$1500,9,0))</f>
        <v>0</v>
      </c>
      <c r="AA176" s="469" t="str">
        <f t="shared" ca="1" si="74"/>
        <v/>
      </c>
      <c r="AB176" s="470" t="str">
        <f ca="1">IF(N(AA176)&gt;0,VLOOKUP(AA176,Hraci!$A$1:$I$1500,2,0)," ")</f>
        <v xml:space="preserve"> </v>
      </c>
      <c r="AC176" s="471" t="str">
        <f ca="1">IF(N(AA176)&gt;0,VLOOKUP(AA176,Hraci!$A$1:$I$1500,3,0)," ")</f>
        <v xml:space="preserve"> </v>
      </c>
      <c r="AD176" s="471" t="str">
        <f ca="1">IF(N(AA176)&gt;0,VLOOKUP(AA176,Hraci!$A$1:$I$1500,5,0)," ")</f>
        <v xml:space="preserve"> </v>
      </c>
      <c r="AE176" s="472">
        <f ca="1">IF(N(AA176)=0,9999,VLOOKUP(AA176,Hraci!$A$1:$I$1500,8,0))</f>
        <v>9999</v>
      </c>
      <c r="AF176" s="473">
        <f ca="1">IF(N(AA176)=0,0,VLOOKUP(AA176,Hraci!$A$1:$I$1500,9,0))</f>
        <v>0</v>
      </c>
      <c r="AG176" s="474"/>
      <c r="AH176" s="480">
        <f ca="1">IF(TYPE(VLOOKUP(H176,Nasazení!$A$3:$E$258,5,0))&lt;4,VLOOKUP(H176,Nasazení!$A$3:$E$258,5,0),0)</f>
        <v>0</v>
      </c>
      <c r="AI176" s="475" t="str">
        <f ca="1">IF(N($AH176)&gt;0,VLOOKUP($AH176,Body!$A$4:$F$259,5,0),"")</f>
        <v/>
      </c>
      <c r="AJ176" s="476" t="str">
        <f ca="1">IF(N($AH176)&gt;0,VLOOKUP($AH176,Body!$A$4:$F$259,6,0),"")</f>
        <v/>
      </c>
      <c r="AK176" s="475" t="str">
        <f ca="1">IF(N($AH176)&gt;0,VLOOKUP($AH176,Body!$A$4:$F$259,2,0),"")</f>
        <v/>
      </c>
      <c r="AL176" s="477" t="str">
        <f t="shared" ca="1" si="61"/>
        <v/>
      </c>
      <c r="AM176" s="478">
        <f t="shared" ca="1" si="62"/>
        <v>0</v>
      </c>
      <c r="AN176" s="408">
        <f ca="1">IF(OR(TYPE(I176)&gt;1,TYPE(MATCH(I176,I177:I$267,0))&gt;1),0,MATCH(I176,I177:I$267,0))+IF(OR(TYPE(I176)&gt;1,TYPE(MATCH(I176,O$11:O$267,0))&gt;1),0,MATCH(I176,O$11:O$267,0))+IF(OR(TYPE(I176)&gt;1,TYPE(MATCH(I176,U$11:U$267,0))&gt;1),0,MATCH(I176,U$11:U$267,0))+IF(OR(TYPE(I176)&gt;1,TYPE(MATCH(I176,AA$11:AA$267,0))&gt;1),0,MATCH(I176,AA$11:AA$267,0))</f>
        <v>0</v>
      </c>
      <c r="AO176" s="408">
        <f ca="1">IF(OR(TYPE(O176)&gt;1,TYPE(MATCH(O176,I$11:I$267,0))&gt;1),0,MATCH(O176,I$11:I$267,0))+IF(OR(TYPE(O176)&gt;1,TYPE(MATCH(O176,O177:O$267,0))&gt;1),0,MATCH(O176,O177:O$267,0))+IF(OR(TYPE(O176)&gt;1,TYPE(MATCH(O176,U$11:U$267,0))&gt;1),0,MATCH(O176,U$11:U$267,0))+IF(OR(TYPE(O176)&gt;1,TYPE(MATCH(O176,AA$11:AA$267,0))&gt;1),0,MATCH(O176,AA$11:AA$267,0))</f>
        <v>0</v>
      </c>
      <c r="AP176" s="408">
        <f ca="1">IF(OR(TYPE(U176)&gt;1,TYPE(MATCH(U176,I$11:I$267,0))&gt;1),0,MATCH(U176,I$11:I$267,0))+IF(OR(TYPE(U176)&gt;1,TYPE(MATCH(U176,O$11:O$267,0))&gt;1),0,MATCH(U176,O$11:O$267,0))+IF(OR(TYPE(U176)&gt;1,TYPE(MATCH(U176,U177:U$267,0))&gt;1),0,MATCH(U176,U177:U$267,0))+IF(OR(TYPE(U176)&gt;1,TYPE(MATCH(U176,AA$11:AA$267,0))&gt;1),0,MATCH(U176,AA$11:AA$267,0))</f>
        <v>0</v>
      </c>
      <c r="AQ176" s="408">
        <f ca="1">IF(OR(TYPE(AA176)&gt;1,TYPE(MATCH(AA176,I$11:I$267,0))&gt;1),0,MATCH(AA176,I$11:I$267,0))+IF(OR(TYPE(AA176)&gt;1,TYPE(MATCH(AA176,O$11:O$267,0))&gt;1),0,MATCH(AA176,O$11:O$267,0))+IF(OR(TYPE(AA176)&gt;1,TYPE(MATCH(AA176,U$11:U$267,0))&gt;1),0,MATCH(U176,U$11:U$267,0))+IF(OR(TYPE(AA176)&gt;1,TYPE(MATCH(AA176,AA177:AA$267,0))&gt;1),0,MATCH(AA176,AA177:AA$267,0))</f>
        <v>0</v>
      </c>
      <c r="AR176" s="408">
        <f t="shared" ca="1" si="75"/>
        <v>0</v>
      </c>
      <c r="BF176" s="408">
        <f t="shared" si="76"/>
        <v>166</v>
      </c>
    </row>
    <row r="177" spans="1:58" ht="14.25">
      <c r="A177" s="430">
        <f t="shared" ca="1" si="65"/>
        <v>0</v>
      </c>
      <c r="B177" s="430">
        <f t="shared" ca="1" si="66"/>
        <v>0</v>
      </c>
      <c r="C177" s="430">
        <f t="shared" ca="1" si="67"/>
        <v>0</v>
      </c>
      <c r="D177" s="430">
        <f t="shared" ca="1" si="68"/>
        <v>99999</v>
      </c>
      <c r="E177" s="430">
        <f t="shared" ca="1" si="69"/>
        <v>9999</v>
      </c>
      <c r="F177" s="431" t="str">
        <f t="shared" ca="1" si="63"/>
        <v>00000000000000000000542190</v>
      </c>
      <c r="G177" s="467" t="b">
        <f t="shared" ca="1" si="70"/>
        <v>1</v>
      </c>
      <c r="H177" s="468">
        <f t="shared" si="60"/>
        <v>167</v>
      </c>
      <c r="I177" s="469" t="str">
        <f t="shared" ca="1" si="71"/>
        <v/>
      </c>
      <c r="J177" s="470" t="str">
        <f ca="1">IF(N(I177)&gt;0,VLOOKUP(I177,Hraci!$A$1:$I$1500,2,0),IF(TYPE(INDIRECT(ADDRESS(ROW() + $A$9-9 + (ROW()-11)*4,2,1,1,"Internet")))&gt;1,INDIRECT(ADDRESS(ROW() + $A$9-9 + (ROW()-11)*4,2,1,1,"Internet"))," "))</f>
        <v xml:space="preserve"> </v>
      </c>
      <c r="K177" s="471" t="str">
        <f ca="1">IF(N(I177)&gt;0,VLOOKUP(I177,Hraci!$A$1:$I$1500,3,0)," ")</f>
        <v xml:space="preserve"> </v>
      </c>
      <c r="L177" s="471" t="str">
        <f ca="1">IF(N(I177)&gt;0,VLOOKUP(I177,Hraci!$A$1:$I$1500,5,0),IF(TYPE(INDIRECT(ADDRESS(ROW() + $A$9-9 + (ROW()-11)*4,3,1,1,"Internet")))&gt;1,INDIRECT(ADDRESS(ROW() + $A$9-9 + (ROW()-11)*4,3,1,1,"Internet"))," "))</f>
        <v xml:space="preserve"> </v>
      </c>
      <c r="M177" s="472">
        <f ca="1">IF(N(I177)=0,9999,VLOOKUP(I177,Hraci!$A$1:$I$1500,8,0))</f>
        <v>9999</v>
      </c>
      <c r="N177" s="473">
        <f ca="1">IF(N(I177)=0,0,VLOOKUP(I177,Hraci!$A$1:$I$1500,9,0))</f>
        <v>0</v>
      </c>
      <c r="O177" s="469" t="str">
        <f t="shared" ca="1" si="72"/>
        <v/>
      </c>
      <c r="P177" s="470" t="str">
        <f ca="1">IF(N(O177)&gt;0,VLOOKUP(O177,Hraci!$A$1:$I$1500,2,0),IF(TYPE(INDIRECT(ADDRESS(ROW() + $A$9-8 + (ROW()-11)*4,2,1,1,"Internet")))&gt;1,INDIRECT(ADDRESS(ROW() + $A$9-8 + (ROW()-11)*4,2,1,1,"Internet"))," "))</f>
        <v xml:space="preserve"> </v>
      </c>
      <c r="Q177" s="471" t="str">
        <f ca="1">IF(N(O177)&gt;0,VLOOKUP(O177,Hraci!$A$1:$I$1500,3,0)," ")</f>
        <v xml:space="preserve"> </v>
      </c>
      <c r="R177" s="471" t="str">
        <f ca="1">IF(N(O177)&gt;0,VLOOKUP(O177,Hraci!$A$1:$I$1500,5,0),IF(TYPE(INDIRECT(ADDRESS(ROW() + $A$9-8 + (ROW()-11)*4,3,1,1,"Internet")))&gt;1,INDIRECT(ADDRESS(ROW() + $A$9-8 + (ROW()-11)*4,3,1,1,"Internet"))," "))</f>
        <v xml:space="preserve"> </v>
      </c>
      <c r="S177" s="472">
        <f ca="1">IF(N(O177)=0,9999,VLOOKUP(O177,Hraci!$A$1:$I$1500,8,0))</f>
        <v>9999</v>
      </c>
      <c r="T177" s="473">
        <f ca="1">IF(N(O177)=0,0,VLOOKUP(O177,Hraci!$A$1:$I$1500,9,0))</f>
        <v>0</v>
      </c>
      <c r="U177" s="469" t="str">
        <f t="shared" ca="1" si="73"/>
        <v/>
      </c>
      <c r="V177" s="470" t="str">
        <f ca="1">IF(N(U177)&gt;0,VLOOKUP(U177,Hraci!$A$1:$I$1500,2,0),IF(TYPE(INDIRECT(ADDRESS(ROW() + $A$9-7 + (ROW()-11)*4,2,1,1,"Internet")))&gt;1,INDIRECT(ADDRESS(ROW() + $A$9-7 + (ROW()-11)*4,2,1,1,"Internet"))," "))</f>
        <v xml:space="preserve"> </v>
      </c>
      <c r="W177" s="471" t="str">
        <f ca="1">IF(N(U177)&gt;0,VLOOKUP(U177,Hraci!$A$1:$I$1500,3,0)," ")</f>
        <v xml:space="preserve"> </v>
      </c>
      <c r="X177" s="471" t="str">
        <f ca="1">IF(N(U177)&gt;0,VLOOKUP(U177,Hraci!$A$1:$I$1500,5,0),IF(TYPE(INDIRECT(ADDRESS(ROW() + $A$9-7 + (ROW()-11)*4,3,1,1,"Internet")))&gt;1,INDIRECT(ADDRESS(ROW() + $A$9-7 + (ROW()-11)*4,3,1,1,"Internet"))," "))</f>
        <v xml:space="preserve"> </v>
      </c>
      <c r="Y177" s="472">
        <f ca="1">IF(N(U177)=0,9999,VLOOKUP(U177,Hraci!$A$1:$I$1500,8,0))</f>
        <v>9999</v>
      </c>
      <c r="Z177" s="473">
        <f ca="1">IF(N(U177)=0,0,VLOOKUP(U177,Hraci!$A$1:$I$1500,9,0))</f>
        <v>0</v>
      </c>
      <c r="AA177" s="469" t="str">
        <f t="shared" ca="1" si="74"/>
        <v/>
      </c>
      <c r="AB177" s="470" t="str">
        <f ca="1">IF(N(AA177)&gt;0,VLOOKUP(AA177,Hraci!$A$1:$I$1500,2,0)," ")</f>
        <v xml:space="preserve"> </v>
      </c>
      <c r="AC177" s="471" t="str">
        <f ca="1">IF(N(AA177)&gt;0,VLOOKUP(AA177,Hraci!$A$1:$I$1500,3,0)," ")</f>
        <v xml:space="preserve"> </v>
      </c>
      <c r="AD177" s="471" t="str">
        <f ca="1">IF(N(AA177)&gt;0,VLOOKUP(AA177,Hraci!$A$1:$I$1500,5,0)," ")</f>
        <v xml:space="preserve"> </v>
      </c>
      <c r="AE177" s="472">
        <f ca="1">IF(N(AA177)=0,9999,VLOOKUP(AA177,Hraci!$A$1:$I$1500,8,0))</f>
        <v>9999</v>
      </c>
      <c r="AF177" s="473">
        <f ca="1">IF(N(AA177)=0,0,VLOOKUP(AA177,Hraci!$A$1:$I$1500,9,0))</f>
        <v>0</v>
      </c>
      <c r="AG177" s="474"/>
      <c r="AH177" s="480">
        <f ca="1">IF(TYPE(VLOOKUP(H177,Nasazení!$A$3:$E$258,5,0))&lt;4,VLOOKUP(H177,Nasazení!$A$3:$E$258,5,0),0)</f>
        <v>0</v>
      </c>
      <c r="AI177" s="475" t="str">
        <f ca="1">IF(N($AH177)&gt;0,VLOOKUP($AH177,Body!$A$4:$F$259,5,0),"")</f>
        <v/>
      </c>
      <c r="AJ177" s="476" t="str">
        <f ca="1">IF(N($AH177)&gt;0,VLOOKUP($AH177,Body!$A$4:$F$259,6,0),"")</f>
        <v/>
      </c>
      <c r="AK177" s="475" t="str">
        <f ca="1">IF(N($AH177)&gt;0,VLOOKUP($AH177,Body!$A$4:$F$259,2,0),"")</f>
        <v/>
      </c>
      <c r="AL177" s="477" t="str">
        <f t="shared" ca="1" si="61"/>
        <v/>
      </c>
      <c r="AM177" s="478">
        <f t="shared" ca="1" si="62"/>
        <v>0</v>
      </c>
      <c r="AN177" s="408">
        <f ca="1">IF(OR(TYPE(I177)&gt;1,TYPE(MATCH(I177,I178:I$267,0))&gt;1),0,MATCH(I177,I178:I$267,0))+IF(OR(TYPE(I177)&gt;1,TYPE(MATCH(I177,O$11:O$267,0))&gt;1),0,MATCH(I177,O$11:O$267,0))+IF(OR(TYPE(I177)&gt;1,TYPE(MATCH(I177,U$11:U$267,0))&gt;1),0,MATCH(I177,U$11:U$267,0))+IF(OR(TYPE(I177)&gt;1,TYPE(MATCH(I177,AA$11:AA$267,0))&gt;1),0,MATCH(I177,AA$11:AA$267,0))</f>
        <v>0</v>
      </c>
      <c r="AO177" s="408">
        <f ca="1">IF(OR(TYPE(O177)&gt;1,TYPE(MATCH(O177,I$11:I$267,0))&gt;1),0,MATCH(O177,I$11:I$267,0))+IF(OR(TYPE(O177)&gt;1,TYPE(MATCH(O177,O178:O$267,0))&gt;1),0,MATCH(O177,O178:O$267,0))+IF(OR(TYPE(O177)&gt;1,TYPE(MATCH(O177,U$11:U$267,0))&gt;1),0,MATCH(O177,U$11:U$267,0))+IF(OR(TYPE(O177)&gt;1,TYPE(MATCH(O177,AA$11:AA$267,0))&gt;1),0,MATCH(O177,AA$11:AA$267,0))</f>
        <v>0</v>
      </c>
      <c r="AP177" s="408">
        <f ca="1">IF(OR(TYPE(U177)&gt;1,TYPE(MATCH(U177,I$11:I$267,0))&gt;1),0,MATCH(U177,I$11:I$267,0))+IF(OR(TYPE(U177)&gt;1,TYPE(MATCH(U177,O$11:O$267,0))&gt;1),0,MATCH(U177,O$11:O$267,0))+IF(OR(TYPE(U177)&gt;1,TYPE(MATCH(U177,U178:U$267,0))&gt;1),0,MATCH(U177,U178:U$267,0))+IF(OR(TYPE(U177)&gt;1,TYPE(MATCH(U177,AA$11:AA$267,0))&gt;1),0,MATCH(U177,AA$11:AA$267,0))</f>
        <v>0</v>
      </c>
      <c r="AQ177" s="408">
        <f ca="1">IF(OR(TYPE(AA177)&gt;1,TYPE(MATCH(AA177,I$11:I$267,0))&gt;1),0,MATCH(AA177,I$11:I$267,0))+IF(OR(TYPE(AA177)&gt;1,TYPE(MATCH(AA177,O$11:O$267,0))&gt;1),0,MATCH(AA177,O$11:O$267,0))+IF(OR(TYPE(AA177)&gt;1,TYPE(MATCH(AA177,U$11:U$267,0))&gt;1),0,MATCH(U177,U$11:U$267,0))+IF(OR(TYPE(AA177)&gt;1,TYPE(MATCH(AA177,AA178:AA$267,0))&gt;1),0,MATCH(AA177,AA178:AA$267,0))</f>
        <v>0</v>
      </c>
      <c r="AR177" s="408">
        <f t="shared" ca="1" si="75"/>
        <v>0</v>
      </c>
      <c r="BF177" s="408">
        <f t="shared" si="76"/>
        <v>167</v>
      </c>
    </row>
    <row r="178" spans="1:58" ht="14.25">
      <c r="A178" s="430">
        <f t="shared" ca="1" si="65"/>
        <v>0</v>
      </c>
      <c r="B178" s="430">
        <f t="shared" ca="1" si="66"/>
        <v>0</v>
      </c>
      <c r="C178" s="430">
        <f t="shared" ca="1" si="67"/>
        <v>0</v>
      </c>
      <c r="D178" s="430">
        <f t="shared" ca="1" si="68"/>
        <v>99999</v>
      </c>
      <c r="E178" s="430">
        <f t="shared" ca="1" si="69"/>
        <v>9999</v>
      </c>
      <c r="F178" s="431" t="str">
        <f t="shared" ca="1" si="63"/>
        <v>00000000000000000000851492</v>
      </c>
      <c r="G178" s="467" t="b">
        <f t="shared" ca="1" si="70"/>
        <v>1</v>
      </c>
      <c r="H178" s="468">
        <f t="shared" si="60"/>
        <v>168</v>
      </c>
      <c r="I178" s="469" t="str">
        <f t="shared" ca="1" si="71"/>
        <v/>
      </c>
      <c r="J178" s="470" t="str">
        <f ca="1">IF(N(I178)&gt;0,VLOOKUP(I178,Hraci!$A$1:$I$1500,2,0),IF(TYPE(INDIRECT(ADDRESS(ROW() + $A$9-9 + (ROW()-11)*4,2,1,1,"Internet")))&gt;1,INDIRECT(ADDRESS(ROW() + $A$9-9 + (ROW()-11)*4,2,1,1,"Internet"))," "))</f>
        <v xml:space="preserve"> </v>
      </c>
      <c r="K178" s="471" t="str">
        <f ca="1">IF(N(I178)&gt;0,VLOOKUP(I178,Hraci!$A$1:$I$1500,3,0)," ")</f>
        <v xml:space="preserve"> </v>
      </c>
      <c r="L178" s="471" t="str">
        <f ca="1">IF(N(I178)&gt;0,VLOOKUP(I178,Hraci!$A$1:$I$1500,5,0),IF(TYPE(INDIRECT(ADDRESS(ROW() + $A$9-9 + (ROW()-11)*4,3,1,1,"Internet")))&gt;1,INDIRECT(ADDRESS(ROW() + $A$9-9 + (ROW()-11)*4,3,1,1,"Internet"))," "))</f>
        <v xml:space="preserve"> </v>
      </c>
      <c r="M178" s="472">
        <f ca="1">IF(N(I178)=0,9999,VLOOKUP(I178,Hraci!$A$1:$I$1500,8,0))</f>
        <v>9999</v>
      </c>
      <c r="N178" s="473">
        <f ca="1">IF(N(I178)=0,0,VLOOKUP(I178,Hraci!$A$1:$I$1500,9,0))</f>
        <v>0</v>
      </c>
      <c r="O178" s="469" t="str">
        <f t="shared" ca="1" si="72"/>
        <v/>
      </c>
      <c r="P178" s="470" t="str">
        <f ca="1">IF(N(O178)&gt;0,VLOOKUP(O178,Hraci!$A$1:$I$1500,2,0),IF(TYPE(INDIRECT(ADDRESS(ROW() + $A$9-8 + (ROW()-11)*4,2,1,1,"Internet")))&gt;1,INDIRECT(ADDRESS(ROW() + $A$9-8 + (ROW()-11)*4,2,1,1,"Internet"))," "))</f>
        <v xml:space="preserve"> </v>
      </c>
      <c r="Q178" s="471" t="str">
        <f ca="1">IF(N(O178)&gt;0,VLOOKUP(O178,Hraci!$A$1:$I$1500,3,0)," ")</f>
        <v xml:space="preserve"> </v>
      </c>
      <c r="R178" s="471" t="str">
        <f ca="1">IF(N(O178)&gt;0,VLOOKUP(O178,Hraci!$A$1:$I$1500,5,0),IF(TYPE(INDIRECT(ADDRESS(ROW() + $A$9-8 + (ROW()-11)*4,3,1,1,"Internet")))&gt;1,INDIRECT(ADDRESS(ROW() + $A$9-8 + (ROW()-11)*4,3,1,1,"Internet"))," "))</f>
        <v xml:space="preserve"> </v>
      </c>
      <c r="S178" s="472">
        <f ca="1">IF(N(O178)=0,9999,VLOOKUP(O178,Hraci!$A$1:$I$1500,8,0))</f>
        <v>9999</v>
      </c>
      <c r="T178" s="473">
        <f ca="1">IF(N(O178)=0,0,VLOOKUP(O178,Hraci!$A$1:$I$1500,9,0))</f>
        <v>0</v>
      </c>
      <c r="U178" s="469" t="str">
        <f t="shared" ca="1" si="73"/>
        <v/>
      </c>
      <c r="V178" s="470" t="str">
        <f ca="1">IF(N(U178)&gt;0,VLOOKUP(U178,Hraci!$A$1:$I$1500,2,0),IF(TYPE(INDIRECT(ADDRESS(ROW() + $A$9-7 + (ROW()-11)*4,2,1,1,"Internet")))&gt;1,INDIRECT(ADDRESS(ROW() + $A$9-7 + (ROW()-11)*4,2,1,1,"Internet"))," "))</f>
        <v xml:space="preserve"> </v>
      </c>
      <c r="W178" s="471" t="str">
        <f ca="1">IF(N(U178)&gt;0,VLOOKUP(U178,Hraci!$A$1:$I$1500,3,0)," ")</f>
        <v xml:space="preserve"> </v>
      </c>
      <c r="X178" s="471" t="str">
        <f ca="1">IF(N(U178)&gt;0,VLOOKUP(U178,Hraci!$A$1:$I$1500,5,0),IF(TYPE(INDIRECT(ADDRESS(ROW() + $A$9-7 + (ROW()-11)*4,3,1,1,"Internet")))&gt;1,INDIRECT(ADDRESS(ROW() + $A$9-7 + (ROW()-11)*4,3,1,1,"Internet"))," "))</f>
        <v xml:space="preserve"> </v>
      </c>
      <c r="Y178" s="472">
        <f ca="1">IF(N(U178)=0,9999,VLOOKUP(U178,Hraci!$A$1:$I$1500,8,0))</f>
        <v>9999</v>
      </c>
      <c r="Z178" s="473">
        <f ca="1">IF(N(U178)=0,0,VLOOKUP(U178,Hraci!$A$1:$I$1500,9,0))</f>
        <v>0</v>
      </c>
      <c r="AA178" s="469" t="str">
        <f t="shared" ca="1" si="74"/>
        <v/>
      </c>
      <c r="AB178" s="470" t="str">
        <f ca="1">IF(N(AA178)&gt;0,VLOOKUP(AA178,Hraci!$A$1:$I$1500,2,0)," ")</f>
        <v xml:space="preserve"> </v>
      </c>
      <c r="AC178" s="471" t="str">
        <f ca="1">IF(N(AA178)&gt;0,VLOOKUP(AA178,Hraci!$A$1:$I$1500,3,0)," ")</f>
        <v xml:space="preserve"> </v>
      </c>
      <c r="AD178" s="471" t="str">
        <f ca="1">IF(N(AA178)&gt;0,VLOOKUP(AA178,Hraci!$A$1:$I$1500,5,0)," ")</f>
        <v xml:space="preserve"> </v>
      </c>
      <c r="AE178" s="472">
        <f ca="1">IF(N(AA178)=0,9999,VLOOKUP(AA178,Hraci!$A$1:$I$1500,8,0))</f>
        <v>9999</v>
      </c>
      <c r="AF178" s="473">
        <f ca="1">IF(N(AA178)=0,0,VLOOKUP(AA178,Hraci!$A$1:$I$1500,9,0))</f>
        <v>0</v>
      </c>
      <c r="AG178" s="474"/>
      <c r="AH178" s="480">
        <f ca="1">IF(TYPE(VLOOKUP(H178,Nasazení!$A$3:$E$258,5,0))&lt;4,VLOOKUP(H178,Nasazení!$A$3:$E$258,5,0),0)</f>
        <v>0</v>
      </c>
      <c r="AI178" s="475" t="str">
        <f ca="1">IF(N($AH178)&gt;0,VLOOKUP($AH178,Body!$A$4:$F$259,5,0),"")</f>
        <v/>
      </c>
      <c r="AJ178" s="476" t="str">
        <f ca="1">IF(N($AH178)&gt;0,VLOOKUP($AH178,Body!$A$4:$F$259,6,0),"")</f>
        <v/>
      </c>
      <c r="AK178" s="475" t="str">
        <f ca="1">IF(N($AH178)&gt;0,VLOOKUP($AH178,Body!$A$4:$F$259,2,0),"")</f>
        <v/>
      </c>
      <c r="AL178" s="477" t="str">
        <f t="shared" ca="1" si="61"/>
        <v/>
      </c>
      <c r="AM178" s="478">
        <f t="shared" ca="1" si="62"/>
        <v>0</v>
      </c>
      <c r="AN178" s="408">
        <f ca="1">IF(OR(TYPE(I178)&gt;1,TYPE(MATCH(I178,I179:I$267,0))&gt;1),0,MATCH(I178,I179:I$267,0))+IF(OR(TYPE(I178)&gt;1,TYPE(MATCH(I178,O$11:O$267,0))&gt;1),0,MATCH(I178,O$11:O$267,0))+IF(OR(TYPE(I178)&gt;1,TYPE(MATCH(I178,U$11:U$267,0))&gt;1),0,MATCH(I178,U$11:U$267,0))+IF(OR(TYPE(I178)&gt;1,TYPE(MATCH(I178,AA$11:AA$267,0))&gt;1),0,MATCH(I178,AA$11:AA$267,0))</f>
        <v>0</v>
      </c>
      <c r="AO178" s="408">
        <f ca="1">IF(OR(TYPE(O178)&gt;1,TYPE(MATCH(O178,I$11:I$267,0))&gt;1),0,MATCH(O178,I$11:I$267,0))+IF(OR(TYPE(O178)&gt;1,TYPE(MATCH(O178,O179:O$267,0))&gt;1),0,MATCH(O178,O179:O$267,0))+IF(OR(TYPE(O178)&gt;1,TYPE(MATCH(O178,U$11:U$267,0))&gt;1),0,MATCH(O178,U$11:U$267,0))+IF(OR(TYPE(O178)&gt;1,TYPE(MATCH(O178,AA$11:AA$267,0))&gt;1),0,MATCH(O178,AA$11:AA$267,0))</f>
        <v>0</v>
      </c>
      <c r="AP178" s="408">
        <f ca="1">IF(OR(TYPE(U178)&gt;1,TYPE(MATCH(U178,I$11:I$267,0))&gt;1),0,MATCH(U178,I$11:I$267,0))+IF(OR(TYPE(U178)&gt;1,TYPE(MATCH(U178,O$11:O$267,0))&gt;1),0,MATCH(U178,O$11:O$267,0))+IF(OR(TYPE(U178)&gt;1,TYPE(MATCH(U178,U179:U$267,0))&gt;1),0,MATCH(U178,U179:U$267,0))+IF(OR(TYPE(U178)&gt;1,TYPE(MATCH(U178,AA$11:AA$267,0))&gt;1),0,MATCH(U178,AA$11:AA$267,0))</f>
        <v>0</v>
      </c>
      <c r="AQ178" s="408">
        <f ca="1">IF(OR(TYPE(AA178)&gt;1,TYPE(MATCH(AA178,I$11:I$267,0))&gt;1),0,MATCH(AA178,I$11:I$267,0))+IF(OR(TYPE(AA178)&gt;1,TYPE(MATCH(AA178,O$11:O$267,0))&gt;1),0,MATCH(AA178,O$11:O$267,0))+IF(OR(TYPE(AA178)&gt;1,TYPE(MATCH(AA178,U$11:U$267,0))&gt;1),0,MATCH(U178,U$11:U$267,0))+IF(OR(TYPE(AA178)&gt;1,TYPE(MATCH(AA178,AA179:AA$267,0))&gt;1),0,MATCH(AA178,AA179:AA$267,0))</f>
        <v>0</v>
      </c>
      <c r="AR178" s="408">
        <f t="shared" ca="1" si="75"/>
        <v>0</v>
      </c>
      <c r="BF178" s="408">
        <f t="shared" si="76"/>
        <v>168</v>
      </c>
    </row>
    <row r="179" spans="1:58" ht="14.25">
      <c r="A179" s="430">
        <f t="shared" ca="1" si="65"/>
        <v>0</v>
      </c>
      <c r="B179" s="430">
        <f t="shared" ca="1" si="66"/>
        <v>0</v>
      </c>
      <c r="C179" s="430">
        <f t="shared" ca="1" si="67"/>
        <v>0</v>
      </c>
      <c r="D179" s="430">
        <f t="shared" ca="1" si="68"/>
        <v>99999</v>
      </c>
      <c r="E179" s="430">
        <f t="shared" ca="1" si="69"/>
        <v>9999</v>
      </c>
      <c r="F179" s="431" t="str">
        <f t="shared" ca="1" si="63"/>
        <v>00000000000000000000771320</v>
      </c>
      <c r="G179" s="467" t="b">
        <f t="shared" ca="1" si="70"/>
        <v>1</v>
      </c>
      <c r="H179" s="468">
        <f t="shared" si="60"/>
        <v>169</v>
      </c>
      <c r="I179" s="469" t="str">
        <f t="shared" ca="1" si="71"/>
        <v/>
      </c>
      <c r="J179" s="470" t="str">
        <f ca="1">IF(N(I179)&gt;0,VLOOKUP(I179,Hraci!$A$1:$I$1500,2,0),IF(TYPE(INDIRECT(ADDRESS(ROW() + $A$9-9 + (ROW()-11)*4,2,1,1,"Internet")))&gt;1,INDIRECT(ADDRESS(ROW() + $A$9-9 + (ROW()-11)*4,2,1,1,"Internet"))," "))</f>
        <v xml:space="preserve"> </v>
      </c>
      <c r="K179" s="471" t="str">
        <f ca="1">IF(N(I179)&gt;0,VLOOKUP(I179,Hraci!$A$1:$I$1500,3,0)," ")</f>
        <v xml:space="preserve"> </v>
      </c>
      <c r="L179" s="471" t="str">
        <f ca="1">IF(N(I179)&gt;0,VLOOKUP(I179,Hraci!$A$1:$I$1500,5,0),IF(TYPE(INDIRECT(ADDRESS(ROW() + $A$9-9 + (ROW()-11)*4,3,1,1,"Internet")))&gt;1,INDIRECT(ADDRESS(ROW() + $A$9-9 + (ROW()-11)*4,3,1,1,"Internet"))," "))</f>
        <v xml:space="preserve"> </v>
      </c>
      <c r="M179" s="472">
        <f ca="1">IF(N(I179)=0,9999,VLOOKUP(I179,Hraci!$A$1:$I$1500,8,0))</f>
        <v>9999</v>
      </c>
      <c r="N179" s="473">
        <f ca="1">IF(N(I179)=0,0,VLOOKUP(I179,Hraci!$A$1:$I$1500,9,0))</f>
        <v>0</v>
      </c>
      <c r="O179" s="469" t="str">
        <f t="shared" ca="1" si="72"/>
        <v/>
      </c>
      <c r="P179" s="470" t="str">
        <f ca="1">IF(N(O179)&gt;0,VLOOKUP(O179,Hraci!$A$1:$I$1500,2,0),IF(TYPE(INDIRECT(ADDRESS(ROW() + $A$9-8 + (ROW()-11)*4,2,1,1,"Internet")))&gt;1,INDIRECT(ADDRESS(ROW() + $A$9-8 + (ROW()-11)*4,2,1,1,"Internet"))," "))</f>
        <v xml:space="preserve"> </v>
      </c>
      <c r="Q179" s="471" t="str">
        <f ca="1">IF(N(O179)&gt;0,VLOOKUP(O179,Hraci!$A$1:$I$1500,3,0)," ")</f>
        <v xml:space="preserve"> </v>
      </c>
      <c r="R179" s="471" t="str">
        <f ca="1">IF(N(O179)&gt;0,VLOOKUP(O179,Hraci!$A$1:$I$1500,5,0),IF(TYPE(INDIRECT(ADDRESS(ROW() + $A$9-8 + (ROW()-11)*4,3,1,1,"Internet")))&gt;1,INDIRECT(ADDRESS(ROW() + $A$9-8 + (ROW()-11)*4,3,1,1,"Internet"))," "))</f>
        <v xml:space="preserve"> </v>
      </c>
      <c r="S179" s="472">
        <f ca="1">IF(N(O179)=0,9999,VLOOKUP(O179,Hraci!$A$1:$I$1500,8,0))</f>
        <v>9999</v>
      </c>
      <c r="T179" s="473">
        <f ca="1">IF(N(O179)=0,0,VLOOKUP(O179,Hraci!$A$1:$I$1500,9,0))</f>
        <v>0</v>
      </c>
      <c r="U179" s="469" t="str">
        <f t="shared" ca="1" si="73"/>
        <v/>
      </c>
      <c r="V179" s="470" t="str">
        <f ca="1">IF(N(U179)&gt;0,VLOOKUP(U179,Hraci!$A$1:$I$1500,2,0),IF(TYPE(INDIRECT(ADDRESS(ROW() + $A$9-7 + (ROW()-11)*4,2,1,1,"Internet")))&gt;1,INDIRECT(ADDRESS(ROW() + $A$9-7 + (ROW()-11)*4,2,1,1,"Internet"))," "))</f>
        <v xml:space="preserve"> </v>
      </c>
      <c r="W179" s="471" t="str">
        <f ca="1">IF(N(U179)&gt;0,VLOOKUP(U179,Hraci!$A$1:$I$1500,3,0)," ")</f>
        <v xml:space="preserve"> </v>
      </c>
      <c r="X179" s="471" t="str">
        <f ca="1">IF(N(U179)&gt;0,VLOOKUP(U179,Hraci!$A$1:$I$1500,5,0),IF(TYPE(INDIRECT(ADDRESS(ROW() + $A$9-7 + (ROW()-11)*4,3,1,1,"Internet")))&gt;1,INDIRECT(ADDRESS(ROW() + $A$9-7 + (ROW()-11)*4,3,1,1,"Internet"))," "))</f>
        <v xml:space="preserve"> </v>
      </c>
      <c r="Y179" s="472">
        <f ca="1">IF(N(U179)=0,9999,VLOOKUP(U179,Hraci!$A$1:$I$1500,8,0))</f>
        <v>9999</v>
      </c>
      <c r="Z179" s="473">
        <f ca="1">IF(N(U179)=0,0,VLOOKUP(U179,Hraci!$A$1:$I$1500,9,0))</f>
        <v>0</v>
      </c>
      <c r="AA179" s="469" t="str">
        <f t="shared" ca="1" si="74"/>
        <v/>
      </c>
      <c r="AB179" s="470" t="str">
        <f ca="1">IF(N(AA179)&gt;0,VLOOKUP(AA179,Hraci!$A$1:$I$1500,2,0)," ")</f>
        <v xml:space="preserve"> </v>
      </c>
      <c r="AC179" s="471" t="str">
        <f ca="1">IF(N(AA179)&gt;0,VLOOKUP(AA179,Hraci!$A$1:$I$1500,3,0)," ")</f>
        <v xml:space="preserve"> </v>
      </c>
      <c r="AD179" s="471" t="str">
        <f ca="1">IF(N(AA179)&gt;0,VLOOKUP(AA179,Hraci!$A$1:$I$1500,5,0)," ")</f>
        <v xml:space="preserve"> </v>
      </c>
      <c r="AE179" s="472">
        <f ca="1">IF(N(AA179)=0,9999,VLOOKUP(AA179,Hraci!$A$1:$I$1500,8,0))</f>
        <v>9999</v>
      </c>
      <c r="AF179" s="473">
        <f ca="1">IF(N(AA179)=0,0,VLOOKUP(AA179,Hraci!$A$1:$I$1500,9,0))</f>
        <v>0</v>
      </c>
      <c r="AG179" s="474"/>
      <c r="AH179" s="480">
        <f ca="1">IF(TYPE(VLOOKUP(H179,Nasazení!$A$3:$E$258,5,0))&lt;4,VLOOKUP(H179,Nasazení!$A$3:$E$258,5,0),0)</f>
        <v>0</v>
      </c>
      <c r="AI179" s="475" t="str">
        <f ca="1">IF(N($AH179)&gt;0,VLOOKUP($AH179,Body!$A$4:$F$259,5,0),"")</f>
        <v/>
      </c>
      <c r="AJ179" s="476" t="str">
        <f ca="1">IF(N($AH179)&gt;0,VLOOKUP($AH179,Body!$A$4:$F$259,6,0),"")</f>
        <v/>
      </c>
      <c r="AK179" s="475" t="str">
        <f ca="1">IF(N($AH179)&gt;0,VLOOKUP($AH179,Body!$A$4:$F$259,2,0),"")</f>
        <v/>
      </c>
      <c r="AL179" s="477" t="str">
        <f t="shared" ca="1" si="61"/>
        <v/>
      </c>
      <c r="AM179" s="478">
        <f t="shared" ca="1" si="62"/>
        <v>0</v>
      </c>
      <c r="AN179" s="408">
        <f ca="1">IF(OR(TYPE(I179)&gt;1,TYPE(MATCH(I179,I180:I$267,0))&gt;1),0,MATCH(I179,I180:I$267,0))+IF(OR(TYPE(I179)&gt;1,TYPE(MATCH(I179,O$11:O$267,0))&gt;1),0,MATCH(I179,O$11:O$267,0))+IF(OR(TYPE(I179)&gt;1,TYPE(MATCH(I179,U$11:U$267,0))&gt;1),0,MATCH(I179,U$11:U$267,0))+IF(OR(TYPE(I179)&gt;1,TYPE(MATCH(I179,AA$11:AA$267,0))&gt;1),0,MATCH(I179,AA$11:AA$267,0))</f>
        <v>0</v>
      </c>
      <c r="AO179" s="408">
        <f ca="1">IF(OR(TYPE(O179)&gt;1,TYPE(MATCH(O179,I$11:I$267,0))&gt;1),0,MATCH(O179,I$11:I$267,0))+IF(OR(TYPE(O179)&gt;1,TYPE(MATCH(O179,O180:O$267,0))&gt;1),0,MATCH(O179,O180:O$267,0))+IF(OR(TYPE(O179)&gt;1,TYPE(MATCH(O179,U$11:U$267,0))&gt;1),0,MATCH(O179,U$11:U$267,0))+IF(OR(TYPE(O179)&gt;1,TYPE(MATCH(O179,AA$11:AA$267,0))&gt;1),0,MATCH(O179,AA$11:AA$267,0))</f>
        <v>0</v>
      </c>
      <c r="AP179" s="408">
        <f ca="1">IF(OR(TYPE(U179)&gt;1,TYPE(MATCH(U179,I$11:I$267,0))&gt;1),0,MATCH(U179,I$11:I$267,0))+IF(OR(TYPE(U179)&gt;1,TYPE(MATCH(U179,O$11:O$267,0))&gt;1),0,MATCH(U179,O$11:O$267,0))+IF(OR(TYPE(U179)&gt;1,TYPE(MATCH(U179,U180:U$267,0))&gt;1),0,MATCH(U179,U180:U$267,0))+IF(OR(TYPE(U179)&gt;1,TYPE(MATCH(U179,AA$11:AA$267,0))&gt;1),0,MATCH(U179,AA$11:AA$267,0))</f>
        <v>0</v>
      </c>
      <c r="AQ179" s="408">
        <f ca="1">IF(OR(TYPE(AA179)&gt;1,TYPE(MATCH(AA179,I$11:I$267,0))&gt;1),0,MATCH(AA179,I$11:I$267,0))+IF(OR(TYPE(AA179)&gt;1,TYPE(MATCH(AA179,O$11:O$267,0))&gt;1),0,MATCH(AA179,O$11:O$267,0))+IF(OR(TYPE(AA179)&gt;1,TYPE(MATCH(AA179,U$11:U$267,0))&gt;1),0,MATCH(U179,U$11:U$267,0))+IF(OR(TYPE(AA179)&gt;1,TYPE(MATCH(AA179,AA180:AA$267,0))&gt;1),0,MATCH(AA179,AA180:AA$267,0))</f>
        <v>0</v>
      </c>
      <c r="AR179" s="408">
        <f t="shared" ca="1" si="75"/>
        <v>0</v>
      </c>
      <c r="BF179" s="408">
        <f t="shared" si="76"/>
        <v>169</v>
      </c>
    </row>
    <row r="180" spans="1:58" ht="14.25">
      <c r="A180" s="430">
        <f t="shared" ca="1" si="65"/>
        <v>0</v>
      </c>
      <c r="B180" s="430">
        <f t="shared" ca="1" si="66"/>
        <v>0</v>
      </c>
      <c r="C180" s="430">
        <f t="shared" ca="1" si="67"/>
        <v>0</v>
      </c>
      <c r="D180" s="430">
        <f t="shared" ca="1" si="68"/>
        <v>99999</v>
      </c>
      <c r="E180" s="430">
        <f t="shared" ca="1" si="69"/>
        <v>9999</v>
      </c>
      <c r="F180" s="431" t="str">
        <f t="shared" ca="1" si="63"/>
        <v>00000000000000000000832182</v>
      </c>
      <c r="G180" s="467" t="b">
        <f t="shared" ca="1" si="70"/>
        <v>1</v>
      </c>
      <c r="H180" s="468">
        <f t="shared" si="60"/>
        <v>170</v>
      </c>
      <c r="I180" s="469" t="str">
        <f t="shared" ca="1" si="71"/>
        <v/>
      </c>
      <c r="J180" s="470" t="str">
        <f ca="1">IF(N(I180)&gt;0,VLOOKUP(I180,Hraci!$A$1:$I$1500,2,0),IF(TYPE(INDIRECT(ADDRESS(ROW() + $A$9-9 + (ROW()-11)*4,2,1,1,"Internet")))&gt;1,INDIRECT(ADDRESS(ROW() + $A$9-9 + (ROW()-11)*4,2,1,1,"Internet"))," "))</f>
        <v xml:space="preserve"> </v>
      </c>
      <c r="K180" s="471" t="str">
        <f ca="1">IF(N(I180)&gt;0,VLOOKUP(I180,Hraci!$A$1:$I$1500,3,0)," ")</f>
        <v xml:space="preserve"> </v>
      </c>
      <c r="L180" s="471" t="str">
        <f ca="1">IF(N(I180)&gt;0,VLOOKUP(I180,Hraci!$A$1:$I$1500,5,0),IF(TYPE(INDIRECT(ADDRESS(ROW() + $A$9-9 + (ROW()-11)*4,3,1,1,"Internet")))&gt;1,INDIRECT(ADDRESS(ROW() + $A$9-9 + (ROW()-11)*4,3,1,1,"Internet"))," "))</f>
        <v xml:space="preserve"> </v>
      </c>
      <c r="M180" s="472">
        <f ca="1">IF(N(I180)=0,9999,VLOOKUP(I180,Hraci!$A$1:$I$1500,8,0))</f>
        <v>9999</v>
      </c>
      <c r="N180" s="473">
        <f ca="1">IF(N(I180)=0,0,VLOOKUP(I180,Hraci!$A$1:$I$1500,9,0))</f>
        <v>0</v>
      </c>
      <c r="O180" s="469" t="str">
        <f t="shared" ca="1" si="72"/>
        <v/>
      </c>
      <c r="P180" s="470" t="str">
        <f ca="1">IF(N(O180)&gt;0,VLOOKUP(O180,Hraci!$A$1:$I$1500,2,0),IF(TYPE(INDIRECT(ADDRESS(ROW() + $A$9-8 + (ROW()-11)*4,2,1,1,"Internet")))&gt;1,INDIRECT(ADDRESS(ROW() + $A$9-8 + (ROW()-11)*4,2,1,1,"Internet"))," "))</f>
        <v xml:space="preserve"> </v>
      </c>
      <c r="Q180" s="471" t="str">
        <f ca="1">IF(N(O180)&gt;0,VLOOKUP(O180,Hraci!$A$1:$I$1500,3,0)," ")</f>
        <v xml:space="preserve"> </v>
      </c>
      <c r="R180" s="471" t="str">
        <f ca="1">IF(N(O180)&gt;0,VLOOKUP(O180,Hraci!$A$1:$I$1500,5,0),IF(TYPE(INDIRECT(ADDRESS(ROW() + $A$9-8 + (ROW()-11)*4,3,1,1,"Internet")))&gt;1,INDIRECT(ADDRESS(ROW() + $A$9-8 + (ROW()-11)*4,3,1,1,"Internet"))," "))</f>
        <v xml:space="preserve"> </v>
      </c>
      <c r="S180" s="472">
        <f ca="1">IF(N(O180)=0,9999,VLOOKUP(O180,Hraci!$A$1:$I$1500,8,0))</f>
        <v>9999</v>
      </c>
      <c r="T180" s="473">
        <f ca="1">IF(N(O180)=0,0,VLOOKUP(O180,Hraci!$A$1:$I$1500,9,0))</f>
        <v>0</v>
      </c>
      <c r="U180" s="469" t="str">
        <f t="shared" ca="1" si="73"/>
        <v/>
      </c>
      <c r="V180" s="470" t="str">
        <f ca="1">IF(N(U180)&gt;0,VLOOKUP(U180,Hraci!$A$1:$I$1500,2,0),IF(TYPE(INDIRECT(ADDRESS(ROW() + $A$9-7 + (ROW()-11)*4,2,1,1,"Internet")))&gt;1,INDIRECT(ADDRESS(ROW() + $A$9-7 + (ROW()-11)*4,2,1,1,"Internet"))," "))</f>
        <v xml:space="preserve"> </v>
      </c>
      <c r="W180" s="471" t="str">
        <f ca="1">IF(N(U180)&gt;0,VLOOKUP(U180,Hraci!$A$1:$I$1500,3,0)," ")</f>
        <v xml:space="preserve"> </v>
      </c>
      <c r="X180" s="471" t="str">
        <f ca="1">IF(N(U180)&gt;0,VLOOKUP(U180,Hraci!$A$1:$I$1500,5,0),IF(TYPE(INDIRECT(ADDRESS(ROW() + $A$9-7 + (ROW()-11)*4,3,1,1,"Internet")))&gt;1,INDIRECT(ADDRESS(ROW() + $A$9-7 + (ROW()-11)*4,3,1,1,"Internet"))," "))</f>
        <v xml:space="preserve"> </v>
      </c>
      <c r="Y180" s="472">
        <f ca="1">IF(N(U180)=0,9999,VLOOKUP(U180,Hraci!$A$1:$I$1500,8,0))</f>
        <v>9999</v>
      </c>
      <c r="Z180" s="473">
        <f ca="1">IF(N(U180)=0,0,VLOOKUP(U180,Hraci!$A$1:$I$1500,9,0))</f>
        <v>0</v>
      </c>
      <c r="AA180" s="469" t="str">
        <f t="shared" ca="1" si="74"/>
        <v/>
      </c>
      <c r="AB180" s="470" t="str">
        <f ca="1">IF(N(AA180)&gt;0,VLOOKUP(AA180,Hraci!$A$1:$I$1500,2,0)," ")</f>
        <v xml:space="preserve"> </v>
      </c>
      <c r="AC180" s="471" t="str">
        <f ca="1">IF(N(AA180)&gt;0,VLOOKUP(AA180,Hraci!$A$1:$I$1500,3,0)," ")</f>
        <v xml:space="preserve"> </v>
      </c>
      <c r="AD180" s="471" t="str">
        <f ca="1">IF(N(AA180)&gt;0,VLOOKUP(AA180,Hraci!$A$1:$I$1500,5,0)," ")</f>
        <v xml:space="preserve"> </v>
      </c>
      <c r="AE180" s="472">
        <f ca="1">IF(N(AA180)=0,9999,VLOOKUP(AA180,Hraci!$A$1:$I$1500,8,0))</f>
        <v>9999</v>
      </c>
      <c r="AF180" s="473">
        <f ca="1">IF(N(AA180)=0,0,VLOOKUP(AA180,Hraci!$A$1:$I$1500,9,0))</f>
        <v>0</v>
      </c>
      <c r="AG180" s="474"/>
      <c r="AH180" s="480">
        <f ca="1">IF(TYPE(VLOOKUP(H180,Nasazení!$A$3:$E$258,5,0))&lt;4,VLOOKUP(H180,Nasazení!$A$3:$E$258,5,0),0)</f>
        <v>0</v>
      </c>
      <c r="AI180" s="475" t="str">
        <f ca="1">IF(N($AH180)&gt;0,VLOOKUP($AH180,Body!$A$4:$F$259,5,0),"")</f>
        <v/>
      </c>
      <c r="AJ180" s="476" t="str">
        <f ca="1">IF(N($AH180)&gt;0,VLOOKUP($AH180,Body!$A$4:$F$259,6,0),"")</f>
        <v/>
      </c>
      <c r="AK180" s="475" t="str">
        <f ca="1">IF(N($AH180)&gt;0,VLOOKUP($AH180,Body!$A$4:$F$259,2,0),"")</f>
        <v/>
      </c>
      <c r="AL180" s="477" t="str">
        <f t="shared" ca="1" si="61"/>
        <v/>
      </c>
      <c r="AM180" s="478">
        <f t="shared" ca="1" si="62"/>
        <v>0</v>
      </c>
      <c r="AN180" s="408">
        <f ca="1">IF(OR(TYPE(I180)&gt;1,TYPE(MATCH(I180,I181:I$267,0))&gt;1),0,MATCH(I180,I181:I$267,0))+IF(OR(TYPE(I180)&gt;1,TYPE(MATCH(I180,O$11:O$267,0))&gt;1),0,MATCH(I180,O$11:O$267,0))+IF(OR(TYPE(I180)&gt;1,TYPE(MATCH(I180,U$11:U$267,0))&gt;1),0,MATCH(I180,U$11:U$267,0))+IF(OR(TYPE(I180)&gt;1,TYPE(MATCH(I180,AA$11:AA$267,0))&gt;1),0,MATCH(I180,AA$11:AA$267,0))</f>
        <v>0</v>
      </c>
      <c r="AO180" s="408">
        <f ca="1">IF(OR(TYPE(O180)&gt;1,TYPE(MATCH(O180,I$11:I$267,0))&gt;1),0,MATCH(O180,I$11:I$267,0))+IF(OR(TYPE(O180)&gt;1,TYPE(MATCH(O180,O181:O$267,0))&gt;1),0,MATCH(O180,O181:O$267,0))+IF(OR(TYPE(O180)&gt;1,TYPE(MATCH(O180,U$11:U$267,0))&gt;1),0,MATCH(O180,U$11:U$267,0))+IF(OR(TYPE(O180)&gt;1,TYPE(MATCH(O180,AA$11:AA$267,0))&gt;1),0,MATCH(O180,AA$11:AA$267,0))</f>
        <v>0</v>
      </c>
      <c r="AP180" s="408">
        <f ca="1">IF(OR(TYPE(U180)&gt;1,TYPE(MATCH(U180,I$11:I$267,0))&gt;1),0,MATCH(U180,I$11:I$267,0))+IF(OR(TYPE(U180)&gt;1,TYPE(MATCH(U180,O$11:O$267,0))&gt;1),0,MATCH(U180,O$11:O$267,0))+IF(OR(TYPE(U180)&gt;1,TYPE(MATCH(U180,U181:U$267,0))&gt;1),0,MATCH(U180,U181:U$267,0))+IF(OR(TYPE(U180)&gt;1,TYPE(MATCH(U180,AA$11:AA$267,0))&gt;1),0,MATCH(U180,AA$11:AA$267,0))</f>
        <v>0</v>
      </c>
      <c r="AQ180" s="408">
        <f ca="1">IF(OR(TYPE(AA180)&gt;1,TYPE(MATCH(AA180,I$11:I$267,0))&gt;1),0,MATCH(AA180,I$11:I$267,0))+IF(OR(TYPE(AA180)&gt;1,TYPE(MATCH(AA180,O$11:O$267,0))&gt;1),0,MATCH(AA180,O$11:O$267,0))+IF(OR(TYPE(AA180)&gt;1,TYPE(MATCH(AA180,U$11:U$267,0))&gt;1),0,MATCH(U180,U$11:U$267,0))+IF(OR(TYPE(AA180)&gt;1,TYPE(MATCH(AA180,AA181:AA$267,0))&gt;1),0,MATCH(AA180,AA181:AA$267,0))</f>
        <v>0</v>
      </c>
      <c r="AR180" s="408">
        <f t="shared" ca="1" si="75"/>
        <v>0</v>
      </c>
      <c r="BF180" s="408">
        <f t="shared" si="76"/>
        <v>170</v>
      </c>
    </row>
    <row r="181" spans="1:58" ht="14.25">
      <c r="A181" s="400">
        <f t="shared" ca="1" si="65"/>
        <v>0</v>
      </c>
      <c r="B181" s="400">
        <f t="shared" ca="1" si="66"/>
        <v>0</v>
      </c>
      <c r="C181" s="400">
        <f t="shared" ca="1" si="67"/>
        <v>0</v>
      </c>
      <c r="D181" s="400">
        <f t="shared" ca="1" si="68"/>
        <v>99999</v>
      </c>
      <c r="E181" s="430">
        <f t="shared" ca="1" si="69"/>
        <v>9999</v>
      </c>
      <c r="F181" s="431" t="str">
        <f t="shared" ca="1" si="63"/>
        <v>00000000000000000000787074</v>
      </c>
      <c r="G181" s="467" t="b">
        <f t="shared" ca="1" si="70"/>
        <v>1</v>
      </c>
      <c r="H181" s="468">
        <f t="shared" si="60"/>
        <v>171</v>
      </c>
      <c r="I181" s="469" t="str">
        <f t="shared" ca="1" si="71"/>
        <v/>
      </c>
      <c r="J181" s="470" t="str">
        <f ca="1">IF(N(I181)&gt;0,VLOOKUP(I181,Hraci!$A$1:$I$1500,2,0),IF(TYPE(INDIRECT(ADDRESS(ROW() + $A$9-9 + (ROW()-11)*4,2,1,1,"Internet")))&gt;1,INDIRECT(ADDRESS(ROW() + $A$9-9 + (ROW()-11)*4,2,1,1,"Internet"))," "))</f>
        <v xml:space="preserve"> </v>
      </c>
      <c r="K181" s="471" t="str">
        <f ca="1">IF(N(I181)&gt;0,VLOOKUP(I181,Hraci!$A$1:$I$1500,3,0)," ")</f>
        <v xml:space="preserve"> </v>
      </c>
      <c r="L181" s="471" t="str">
        <f ca="1">IF(N(I181)&gt;0,VLOOKUP(I181,Hraci!$A$1:$I$1500,5,0),IF(TYPE(INDIRECT(ADDRESS(ROW() + $A$9-9 + (ROW()-11)*4,3,1,1,"Internet")))&gt;1,INDIRECT(ADDRESS(ROW() + $A$9-9 + (ROW()-11)*4,3,1,1,"Internet"))," "))</f>
        <v xml:space="preserve"> </v>
      </c>
      <c r="M181" s="472">
        <f ca="1">IF(N(I181)=0,9999,VLOOKUP(I181,Hraci!$A$1:$I$1500,8,0))</f>
        <v>9999</v>
      </c>
      <c r="N181" s="473">
        <f ca="1">IF(N(I181)=0,0,VLOOKUP(I181,Hraci!$A$1:$I$1500,9,0))</f>
        <v>0</v>
      </c>
      <c r="O181" s="469" t="str">
        <f t="shared" ca="1" si="72"/>
        <v/>
      </c>
      <c r="P181" s="470" t="str">
        <f ca="1">IF(N(O181)&gt;0,VLOOKUP(O181,Hraci!$A$1:$I$1500,2,0),IF(TYPE(INDIRECT(ADDRESS(ROW() + $A$9-8 + (ROW()-11)*4,2,1,1,"Internet")))&gt;1,INDIRECT(ADDRESS(ROW() + $A$9-8 + (ROW()-11)*4,2,1,1,"Internet"))," "))</f>
        <v xml:space="preserve"> </v>
      </c>
      <c r="Q181" s="471" t="str">
        <f ca="1">IF(N(O181)&gt;0,VLOOKUP(O181,Hraci!$A$1:$I$1500,3,0)," ")</f>
        <v xml:space="preserve"> </v>
      </c>
      <c r="R181" s="471" t="str">
        <f ca="1">IF(N(O181)&gt;0,VLOOKUP(O181,Hraci!$A$1:$I$1500,5,0),IF(TYPE(INDIRECT(ADDRESS(ROW() + $A$9-8 + (ROW()-11)*4,3,1,1,"Internet")))&gt;1,INDIRECT(ADDRESS(ROW() + $A$9-8 + (ROW()-11)*4,3,1,1,"Internet"))," "))</f>
        <v xml:space="preserve"> </v>
      </c>
      <c r="S181" s="472">
        <f ca="1">IF(N(O181)=0,9999,VLOOKUP(O181,Hraci!$A$1:$I$1500,8,0))</f>
        <v>9999</v>
      </c>
      <c r="T181" s="473">
        <f ca="1">IF(N(O181)=0,0,VLOOKUP(O181,Hraci!$A$1:$I$1500,9,0))</f>
        <v>0</v>
      </c>
      <c r="U181" s="469" t="str">
        <f t="shared" ca="1" si="73"/>
        <v/>
      </c>
      <c r="V181" s="470" t="str">
        <f ca="1">IF(N(U181)&gt;0,VLOOKUP(U181,Hraci!$A$1:$I$1500,2,0),IF(TYPE(INDIRECT(ADDRESS(ROW() + $A$9-7 + (ROW()-11)*4,2,1,1,"Internet")))&gt;1,INDIRECT(ADDRESS(ROW() + $A$9-7 + (ROW()-11)*4,2,1,1,"Internet"))," "))</f>
        <v xml:space="preserve"> </v>
      </c>
      <c r="W181" s="471" t="str">
        <f ca="1">IF(N(U181)&gt;0,VLOOKUP(U181,Hraci!$A$1:$I$1500,3,0)," ")</f>
        <v xml:space="preserve"> </v>
      </c>
      <c r="X181" s="471" t="str">
        <f ca="1">IF(N(U181)&gt;0,VLOOKUP(U181,Hraci!$A$1:$I$1500,5,0),IF(TYPE(INDIRECT(ADDRESS(ROW() + $A$9-7 + (ROW()-11)*4,3,1,1,"Internet")))&gt;1,INDIRECT(ADDRESS(ROW() + $A$9-7 + (ROW()-11)*4,3,1,1,"Internet"))," "))</f>
        <v xml:space="preserve"> </v>
      </c>
      <c r="Y181" s="472">
        <f ca="1">IF(N(U181)=0,9999,VLOOKUP(U181,Hraci!$A$1:$I$1500,8,0))</f>
        <v>9999</v>
      </c>
      <c r="Z181" s="473">
        <f ca="1">IF(N(U181)=0,0,VLOOKUP(U181,Hraci!$A$1:$I$1500,9,0))</f>
        <v>0</v>
      </c>
      <c r="AA181" s="469" t="str">
        <f t="shared" ca="1" si="74"/>
        <v/>
      </c>
      <c r="AB181" s="470" t="str">
        <f ca="1">IF(N(AA181)&gt;0,VLOOKUP(AA181,Hraci!$A$1:$I$1500,2,0)," ")</f>
        <v xml:space="preserve"> </v>
      </c>
      <c r="AC181" s="471" t="str">
        <f ca="1">IF(N(AA181)&gt;0,VLOOKUP(AA181,Hraci!$A$1:$I$1500,3,0)," ")</f>
        <v xml:space="preserve"> </v>
      </c>
      <c r="AD181" s="471" t="str">
        <f ca="1">IF(N(AA181)&gt;0,VLOOKUP(AA181,Hraci!$A$1:$I$1500,5,0)," ")</f>
        <v xml:space="preserve"> </v>
      </c>
      <c r="AE181" s="472">
        <f ca="1">IF(N(AA181)=0,9999,VLOOKUP(AA181,Hraci!$A$1:$I$1500,8,0))</f>
        <v>9999</v>
      </c>
      <c r="AF181" s="473">
        <f ca="1">IF(N(AA181)=0,0,VLOOKUP(AA181,Hraci!$A$1:$I$1500,9,0))</f>
        <v>0</v>
      </c>
      <c r="AG181" s="474"/>
      <c r="AH181" s="480">
        <f ca="1">IF(TYPE(VLOOKUP(H181,Nasazení!$A$3:$E$258,5,0))&lt;4,VLOOKUP(H181,Nasazení!$A$3:$E$258,5,0),0)</f>
        <v>0</v>
      </c>
      <c r="AI181" s="475" t="str">
        <f ca="1">IF(N($AH181)&gt;0,VLOOKUP($AH181,Body!$A$4:$F$259,5,0),"")</f>
        <v/>
      </c>
      <c r="AJ181" s="476" t="str">
        <f ca="1">IF(N($AH181)&gt;0,VLOOKUP($AH181,Body!$A$4:$F$259,6,0),"")</f>
        <v/>
      </c>
      <c r="AK181" s="475" t="str">
        <f ca="1">IF(N($AH181)&gt;0,VLOOKUP($AH181,Body!$A$4:$F$259,2,0),"")</f>
        <v/>
      </c>
      <c r="AL181" s="477" t="str">
        <f t="shared" ca="1" si="61"/>
        <v/>
      </c>
      <c r="AM181" s="478">
        <f t="shared" ca="1" si="62"/>
        <v>0</v>
      </c>
      <c r="AN181" s="408">
        <f ca="1">IF(OR(TYPE(I181)&gt;1,TYPE(MATCH(I181,I182:I$267,0))&gt;1),0,MATCH(I181,I182:I$267,0))+IF(OR(TYPE(I181)&gt;1,TYPE(MATCH(I181,O$11:O$267,0))&gt;1),0,MATCH(I181,O$11:O$267,0))+IF(OR(TYPE(I181)&gt;1,TYPE(MATCH(I181,U$11:U$267,0))&gt;1),0,MATCH(I181,U$11:U$267,0))+IF(OR(TYPE(I181)&gt;1,TYPE(MATCH(I181,AA$11:AA$267,0))&gt;1),0,MATCH(I181,AA$11:AA$267,0))</f>
        <v>0</v>
      </c>
      <c r="AO181" s="408">
        <f ca="1">IF(OR(TYPE(O181)&gt;1,TYPE(MATCH(O181,I$11:I$267,0))&gt;1),0,MATCH(O181,I$11:I$267,0))+IF(OR(TYPE(O181)&gt;1,TYPE(MATCH(O181,O182:O$267,0))&gt;1),0,MATCH(O181,O182:O$267,0))+IF(OR(TYPE(O181)&gt;1,TYPE(MATCH(O181,U$11:U$267,0))&gt;1),0,MATCH(O181,U$11:U$267,0))+IF(OR(TYPE(O181)&gt;1,TYPE(MATCH(O181,AA$11:AA$267,0))&gt;1),0,MATCH(O181,AA$11:AA$267,0))</f>
        <v>0</v>
      </c>
      <c r="AP181" s="408">
        <f ca="1">IF(OR(TYPE(U181)&gt;1,TYPE(MATCH(U181,I$11:I$267,0))&gt;1),0,MATCH(U181,I$11:I$267,0))+IF(OR(TYPE(U181)&gt;1,TYPE(MATCH(U181,O$11:O$267,0))&gt;1),0,MATCH(U181,O$11:O$267,0))+IF(OR(TYPE(U181)&gt;1,TYPE(MATCH(U181,U182:U$267,0))&gt;1),0,MATCH(U181,U182:U$267,0))+IF(OR(TYPE(U181)&gt;1,TYPE(MATCH(U181,AA$11:AA$267,0))&gt;1),0,MATCH(U181,AA$11:AA$267,0))</f>
        <v>0</v>
      </c>
      <c r="AQ181" s="408">
        <f ca="1">IF(OR(TYPE(AA181)&gt;1,TYPE(MATCH(AA181,I$11:I$267,0))&gt;1),0,MATCH(AA181,I$11:I$267,0))+IF(OR(TYPE(AA181)&gt;1,TYPE(MATCH(AA181,O$11:O$267,0))&gt;1),0,MATCH(AA181,O$11:O$267,0))+IF(OR(TYPE(AA181)&gt;1,TYPE(MATCH(AA181,U$11:U$267,0))&gt;1),0,MATCH(U181,U$11:U$267,0))+IF(OR(TYPE(AA181)&gt;1,TYPE(MATCH(AA181,AA182:AA$267,0))&gt;1),0,MATCH(AA181,AA182:AA$267,0))</f>
        <v>0</v>
      </c>
      <c r="AR181" s="408">
        <f t="shared" ca="1" si="75"/>
        <v>0</v>
      </c>
      <c r="BF181" s="408">
        <f t="shared" si="76"/>
        <v>171</v>
      </c>
    </row>
    <row r="182" spans="1:58" ht="14.25">
      <c r="A182" s="430">
        <f t="shared" ca="1" si="65"/>
        <v>0</v>
      </c>
      <c r="B182" s="430">
        <f t="shared" ca="1" si="66"/>
        <v>0</v>
      </c>
      <c r="C182" s="430">
        <f t="shared" ca="1" si="67"/>
        <v>0</v>
      </c>
      <c r="D182" s="430">
        <f t="shared" ca="1" si="68"/>
        <v>99999</v>
      </c>
      <c r="E182" s="430">
        <f t="shared" ca="1" si="69"/>
        <v>9999</v>
      </c>
      <c r="F182" s="431" t="str">
        <f t="shared" ca="1" si="63"/>
        <v>00000000000000000000154482</v>
      </c>
      <c r="G182" s="467" t="b">
        <f t="shared" ca="1" si="70"/>
        <v>1</v>
      </c>
      <c r="H182" s="468">
        <f t="shared" si="60"/>
        <v>172</v>
      </c>
      <c r="I182" s="469" t="str">
        <f t="shared" ca="1" si="71"/>
        <v/>
      </c>
      <c r="J182" s="470" t="str">
        <f ca="1">IF(N(I182)&gt;0,VLOOKUP(I182,Hraci!$A$1:$I$1500,2,0),IF(TYPE(INDIRECT(ADDRESS(ROW() + $A$9-9 + (ROW()-11)*4,2,1,1,"Internet")))&gt;1,INDIRECT(ADDRESS(ROW() + $A$9-9 + (ROW()-11)*4,2,1,1,"Internet"))," "))</f>
        <v xml:space="preserve"> </v>
      </c>
      <c r="K182" s="471" t="str">
        <f ca="1">IF(N(I182)&gt;0,VLOOKUP(I182,Hraci!$A$1:$I$1500,3,0)," ")</f>
        <v xml:space="preserve"> </v>
      </c>
      <c r="L182" s="471" t="str">
        <f ca="1">IF(N(I182)&gt;0,VLOOKUP(I182,Hraci!$A$1:$I$1500,5,0),IF(TYPE(INDIRECT(ADDRESS(ROW() + $A$9-9 + (ROW()-11)*4,3,1,1,"Internet")))&gt;1,INDIRECT(ADDRESS(ROW() + $A$9-9 + (ROW()-11)*4,3,1,1,"Internet"))," "))</f>
        <v xml:space="preserve"> </v>
      </c>
      <c r="M182" s="472">
        <f ca="1">IF(N(I182)=0,9999,VLOOKUP(I182,Hraci!$A$1:$I$1500,8,0))</f>
        <v>9999</v>
      </c>
      <c r="N182" s="473">
        <f ca="1">IF(N(I182)=0,0,VLOOKUP(I182,Hraci!$A$1:$I$1500,9,0))</f>
        <v>0</v>
      </c>
      <c r="O182" s="469" t="str">
        <f t="shared" ca="1" si="72"/>
        <v/>
      </c>
      <c r="P182" s="470" t="str">
        <f ca="1">IF(N(O182)&gt;0,VLOOKUP(O182,Hraci!$A$1:$I$1500,2,0),IF(TYPE(INDIRECT(ADDRESS(ROW() + $A$9-8 + (ROW()-11)*4,2,1,1,"Internet")))&gt;1,INDIRECT(ADDRESS(ROW() + $A$9-8 + (ROW()-11)*4,2,1,1,"Internet"))," "))</f>
        <v xml:space="preserve"> </v>
      </c>
      <c r="Q182" s="471" t="str">
        <f ca="1">IF(N(O182)&gt;0,VLOOKUP(O182,Hraci!$A$1:$I$1500,3,0)," ")</f>
        <v xml:space="preserve"> </v>
      </c>
      <c r="R182" s="471" t="str">
        <f ca="1">IF(N(O182)&gt;0,VLOOKUP(O182,Hraci!$A$1:$I$1500,5,0),IF(TYPE(INDIRECT(ADDRESS(ROW() + $A$9-8 + (ROW()-11)*4,3,1,1,"Internet")))&gt;1,INDIRECT(ADDRESS(ROW() + $A$9-8 + (ROW()-11)*4,3,1,1,"Internet"))," "))</f>
        <v xml:space="preserve"> </v>
      </c>
      <c r="S182" s="472">
        <f ca="1">IF(N(O182)=0,9999,VLOOKUP(O182,Hraci!$A$1:$I$1500,8,0))</f>
        <v>9999</v>
      </c>
      <c r="T182" s="473">
        <f ca="1">IF(N(O182)=0,0,VLOOKUP(O182,Hraci!$A$1:$I$1500,9,0))</f>
        <v>0</v>
      </c>
      <c r="U182" s="469" t="str">
        <f t="shared" ca="1" si="73"/>
        <v/>
      </c>
      <c r="V182" s="470" t="str">
        <f ca="1">IF(N(U182)&gt;0,VLOOKUP(U182,Hraci!$A$1:$I$1500,2,0),IF(TYPE(INDIRECT(ADDRESS(ROW() + $A$9-7 + (ROW()-11)*4,2,1,1,"Internet")))&gt;1,INDIRECT(ADDRESS(ROW() + $A$9-7 + (ROW()-11)*4,2,1,1,"Internet"))," "))</f>
        <v xml:space="preserve"> </v>
      </c>
      <c r="W182" s="471" t="str">
        <f ca="1">IF(N(U182)&gt;0,VLOOKUP(U182,Hraci!$A$1:$I$1500,3,0)," ")</f>
        <v xml:space="preserve"> </v>
      </c>
      <c r="X182" s="471" t="str">
        <f ca="1">IF(N(U182)&gt;0,VLOOKUP(U182,Hraci!$A$1:$I$1500,5,0),IF(TYPE(INDIRECT(ADDRESS(ROW() + $A$9-7 + (ROW()-11)*4,3,1,1,"Internet")))&gt;1,INDIRECT(ADDRESS(ROW() + $A$9-7 + (ROW()-11)*4,3,1,1,"Internet"))," "))</f>
        <v xml:space="preserve"> </v>
      </c>
      <c r="Y182" s="472">
        <f ca="1">IF(N(U182)=0,9999,VLOOKUP(U182,Hraci!$A$1:$I$1500,8,0))</f>
        <v>9999</v>
      </c>
      <c r="Z182" s="473">
        <f ca="1">IF(N(U182)=0,0,VLOOKUP(U182,Hraci!$A$1:$I$1500,9,0))</f>
        <v>0</v>
      </c>
      <c r="AA182" s="469" t="str">
        <f t="shared" ca="1" si="74"/>
        <v/>
      </c>
      <c r="AB182" s="470" t="str">
        <f ca="1">IF(N(AA182)&gt;0,VLOOKUP(AA182,Hraci!$A$1:$I$1500,2,0)," ")</f>
        <v xml:space="preserve"> </v>
      </c>
      <c r="AC182" s="471" t="str">
        <f ca="1">IF(N(AA182)&gt;0,VLOOKUP(AA182,Hraci!$A$1:$I$1500,3,0)," ")</f>
        <v xml:space="preserve"> </v>
      </c>
      <c r="AD182" s="471" t="str">
        <f ca="1">IF(N(AA182)&gt;0,VLOOKUP(AA182,Hraci!$A$1:$I$1500,5,0)," ")</f>
        <v xml:space="preserve"> </v>
      </c>
      <c r="AE182" s="472">
        <f ca="1">IF(N(AA182)=0,9999,VLOOKUP(AA182,Hraci!$A$1:$I$1500,8,0))</f>
        <v>9999</v>
      </c>
      <c r="AF182" s="473">
        <f ca="1">IF(N(AA182)=0,0,VLOOKUP(AA182,Hraci!$A$1:$I$1500,9,0))</f>
        <v>0</v>
      </c>
      <c r="AG182" s="474"/>
      <c r="AH182" s="480">
        <f ca="1">IF(TYPE(VLOOKUP(H182,Nasazení!$A$3:$E$258,5,0))&lt;4,VLOOKUP(H182,Nasazení!$A$3:$E$258,5,0),0)</f>
        <v>0</v>
      </c>
      <c r="AI182" s="475" t="str">
        <f ca="1">IF(N($AH182)&gt;0,VLOOKUP($AH182,Body!$A$4:$F$259,5,0),"")</f>
        <v/>
      </c>
      <c r="AJ182" s="476" t="str">
        <f ca="1">IF(N($AH182)&gt;0,VLOOKUP($AH182,Body!$A$4:$F$259,6,0),"")</f>
        <v/>
      </c>
      <c r="AK182" s="475" t="str">
        <f ca="1">IF(N($AH182)&gt;0,VLOOKUP($AH182,Body!$A$4:$F$259,2,0),"")</f>
        <v/>
      </c>
      <c r="AL182" s="477" t="str">
        <f t="shared" ca="1" si="61"/>
        <v/>
      </c>
      <c r="AM182" s="478">
        <f t="shared" ca="1" si="62"/>
        <v>0</v>
      </c>
      <c r="AN182" s="408">
        <f ca="1">IF(OR(TYPE(I182)&gt;1,TYPE(MATCH(I182,I183:I$267,0))&gt;1),0,MATCH(I182,I183:I$267,0))+IF(OR(TYPE(I182)&gt;1,TYPE(MATCH(I182,O$11:O$267,0))&gt;1),0,MATCH(I182,O$11:O$267,0))+IF(OR(TYPE(I182)&gt;1,TYPE(MATCH(I182,U$11:U$267,0))&gt;1),0,MATCH(I182,U$11:U$267,0))+IF(OR(TYPE(I182)&gt;1,TYPE(MATCH(I182,AA$11:AA$267,0))&gt;1),0,MATCH(I182,AA$11:AA$267,0))</f>
        <v>0</v>
      </c>
      <c r="AO182" s="408">
        <f ca="1">IF(OR(TYPE(O182)&gt;1,TYPE(MATCH(O182,I$11:I$267,0))&gt;1),0,MATCH(O182,I$11:I$267,0))+IF(OR(TYPE(O182)&gt;1,TYPE(MATCH(O182,O183:O$267,0))&gt;1),0,MATCH(O182,O183:O$267,0))+IF(OR(TYPE(O182)&gt;1,TYPE(MATCH(O182,U$11:U$267,0))&gt;1),0,MATCH(O182,U$11:U$267,0))+IF(OR(TYPE(O182)&gt;1,TYPE(MATCH(O182,AA$11:AA$267,0))&gt;1),0,MATCH(O182,AA$11:AA$267,0))</f>
        <v>0</v>
      </c>
      <c r="AP182" s="408">
        <f ca="1">IF(OR(TYPE(U182)&gt;1,TYPE(MATCH(U182,I$11:I$267,0))&gt;1),0,MATCH(U182,I$11:I$267,0))+IF(OR(TYPE(U182)&gt;1,TYPE(MATCH(U182,O$11:O$267,0))&gt;1),0,MATCH(U182,O$11:O$267,0))+IF(OR(TYPE(U182)&gt;1,TYPE(MATCH(U182,U183:U$267,0))&gt;1),0,MATCH(U182,U183:U$267,0))+IF(OR(TYPE(U182)&gt;1,TYPE(MATCH(U182,AA$11:AA$267,0))&gt;1),0,MATCH(U182,AA$11:AA$267,0))</f>
        <v>0</v>
      </c>
      <c r="AQ182" s="408">
        <f ca="1">IF(OR(TYPE(AA182)&gt;1,TYPE(MATCH(AA182,I$11:I$267,0))&gt;1),0,MATCH(AA182,I$11:I$267,0))+IF(OR(TYPE(AA182)&gt;1,TYPE(MATCH(AA182,O$11:O$267,0))&gt;1),0,MATCH(AA182,O$11:O$267,0))+IF(OR(TYPE(AA182)&gt;1,TYPE(MATCH(AA182,U$11:U$267,0))&gt;1),0,MATCH(U182,U$11:U$267,0))+IF(OR(TYPE(AA182)&gt;1,TYPE(MATCH(AA182,AA183:AA$267,0))&gt;1),0,MATCH(AA182,AA183:AA$267,0))</f>
        <v>0</v>
      </c>
      <c r="AR182" s="408">
        <f t="shared" ca="1" si="75"/>
        <v>0</v>
      </c>
      <c r="BF182" s="408">
        <f t="shared" si="76"/>
        <v>172</v>
      </c>
    </row>
    <row r="183" spans="1:58" ht="14.25">
      <c r="A183" s="430">
        <f t="shared" ca="1" si="65"/>
        <v>0</v>
      </c>
      <c r="B183" s="430">
        <f t="shared" ca="1" si="66"/>
        <v>0</v>
      </c>
      <c r="C183" s="430">
        <f t="shared" ca="1" si="67"/>
        <v>0</v>
      </c>
      <c r="D183" s="430">
        <f t="shared" ca="1" si="68"/>
        <v>99999</v>
      </c>
      <c r="E183" s="430">
        <f t="shared" ca="1" si="69"/>
        <v>9999</v>
      </c>
      <c r="F183" s="431" t="str">
        <f t="shared" ca="1" si="63"/>
        <v>00000000000000000000176460</v>
      </c>
      <c r="G183" s="467" t="b">
        <f t="shared" ca="1" si="70"/>
        <v>1</v>
      </c>
      <c r="H183" s="468">
        <f t="shared" si="60"/>
        <v>173</v>
      </c>
      <c r="I183" s="469" t="str">
        <f t="shared" ca="1" si="71"/>
        <v/>
      </c>
      <c r="J183" s="470" t="str">
        <f ca="1">IF(N(I183)&gt;0,VLOOKUP(I183,Hraci!$A$1:$I$1500,2,0),IF(TYPE(INDIRECT(ADDRESS(ROW() + $A$9-9 + (ROW()-11)*4,2,1,1,"Internet")))&gt;1,INDIRECT(ADDRESS(ROW() + $A$9-9 + (ROW()-11)*4,2,1,1,"Internet"))," "))</f>
        <v xml:space="preserve"> </v>
      </c>
      <c r="K183" s="471" t="str">
        <f ca="1">IF(N(I183)&gt;0,VLOOKUP(I183,Hraci!$A$1:$I$1500,3,0)," ")</f>
        <v xml:space="preserve"> </v>
      </c>
      <c r="L183" s="471" t="str">
        <f ca="1">IF(N(I183)&gt;0,VLOOKUP(I183,Hraci!$A$1:$I$1500,5,0),IF(TYPE(INDIRECT(ADDRESS(ROW() + $A$9-9 + (ROW()-11)*4,3,1,1,"Internet")))&gt;1,INDIRECT(ADDRESS(ROW() + $A$9-9 + (ROW()-11)*4,3,1,1,"Internet"))," "))</f>
        <v xml:space="preserve"> </v>
      </c>
      <c r="M183" s="472">
        <f ca="1">IF(N(I183)=0,9999,VLOOKUP(I183,Hraci!$A$1:$I$1500,8,0))</f>
        <v>9999</v>
      </c>
      <c r="N183" s="473">
        <f ca="1">IF(N(I183)=0,0,VLOOKUP(I183,Hraci!$A$1:$I$1500,9,0))</f>
        <v>0</v>
      </c>
      <c r="O183" s="469" t="str">
        <f t="shared" ca="1" si="72"/>
        <v/>
      </c>
      <c r="P183" s="470" t="str">
        <f ca="1">IF(N(O183)&gt;0,VLOOKUP(O183,Hraci!$A$1:$I$1500,2,0),IF(TYPE(INDIRECT(ADDRESS(ROW() + $A$9-8 + (ROW()-11)*4,2,1,1,"Internet")))&gt;1,INDIRECT(ADDRESS(ROW() + $A$9-8 + (ROW()-11)*4,2,1,1,"Internet"))," "))</f>
        <v xml:space="preserve"> </v>
      </c>
      <c r="Q183" s="471" t="str">
        <f ca="1">IF(N(O183)&gt;0,VLOOKUP(O183,Hraci!$A$1:$I$1500,3,0)," ")</f>
        <v xml:space="preserve"> </v>
      </c>
      <c r="R183" s="471" t="str">
        <f ca="1">IF(N(O183)&gt;0,VLOOKUP(O183,Hraci!$A$1:$I$1500,5,0),IF(TYPE(INDIRECT(ADDRESS(ROW() + $A$9-8 + (ROW()-11)*4,3,1,1,"Internet")))&gt;1,INDIRECT(ADDRESS(ROW() + $A$9-8 + (ROW()-11)*4,3,1,1,"Internet"))," "))</f>
        <v xml:space="preserve"> </v>
      </c>
      <c r="S183" s="472">
        <f ca="1">IF(N(O183)=0,9999,VLOOKUP(O183,Hraci!$A$1:$I$1500,8,0))</f>
        <v>9999</v>
      </c>
      <c r="T183" s="473">
        <f ca="1">IF(N(O183)=0,0,VLOOKUP(O183,Hraci!$A$1:$I$1500,9,0))</f>
        <v>0</v>
      </c>
      <c r="U183" s="469" t="str">
        <f t="shared" ca="1" si="73"/>
        <v/>
      </c>
      <c r="V183" s="470" t="str">
        <f ca="1">IF(N(U183)&gt;0,VLOOKUP(U183,Hraci!$A$1:$I$1500,2,0),IF(TYPE(INDIRECT(ADDRESS(ROW() + $A$9-7 + (ROW()-11)*4,2,1,1,"Internet")))&gt;1,INDIRECT(ADDRESS(ROW() + $A$9-7 + (ROW()-11)*4,2,1,1,"Internet"))," "))</f>
        <v xml:space="preserve"> </v>
      </c>
      <c r="W183" s="471" t="str">
        <f ca="1">IF(N(U183)&gt;0,VLOOKUP(U183,Hraci!$A$1:$I$1500,3,0)," ")</f>
        <v xml:space="preserve"> </v>
      </c>
      <c r="X183" s="471" t="str">
        <f ca="1">IF(N(U183)&gt;0,VLOOKUP(U183,Hraci!$A$1:$I$1500,5,0),IF(TYPE(INDIRECT(ADDRESS(ROW() + $A$9-7 + (ROW()-11)*4,3,1,1,"Internet")))&gt;1,INDIRECT(ADDRESS(ROW() + $A$9-7 + (ROW()-11)*4,3,1,1,"Internet"))," "))</f>
        <v xml:space="preserve"> </v>
      </c>
      <c r="Y183" s="472">
        <f ca="1">IF(N(U183)=0,9999,VLOOKUP(U183,Hraci!$A$1:$I$1500,8,0))</f>
        <v>9999</v>
      </c>
      <c r="Z183" s="473">
        <f ca="1">IF(N(U183)=0,0,VLOOKUP(U183,Hraci!$A$1:$I$1500,9,0))</f>
        <v>0</v>
      </c>
      <c r="AA183" s="469" t="str">
        <f t="shared" ca="1" si="74"/>
        <v/>
      </c>
      <c r="AB183" s="470" t="str">
        <f ca="1">IF(N(AA183)&gt;0,VLOOKUP(AA183,Hraci!$A$1:$I$1500,2,0)," ")</f>
        <v xml:space="preserve"> </v>
      </c>
      <c r="AC183" s="471" t="str">
        <f ca="1">IF(N(AA183)&gt;0,VLOOKUP(AA183,Hraci!$A$1:$I$1500,3,0)," ")</f>
        <v xml:space="preserve"> </v>
      </c>
      <c r="AD183" s="471" t="str">
        <f ca="1">IF(N(AA183)&gt;0,VLOOKUP(AA183,Hraci!$A$1:$I$1500,5,0)," ")</f>
        <v xml:space="preserve"> </v>
      </c>
      <c r="AE183" s="472">
        <f ca="1">IF(N(AA183)=0,9999,VLOOKUP(AA183,Hraci!$A$1:$I$1500,8,0))</f>
        <v>9999</v>
      </c>
      <c r="AF183" s="473">
        <f ca="1">IF(N(AA183)=0,0,VLOOKUP(AA183,Hraci!$A$1:$I$1500,9,0))</f>
        <v>0</v>
      </c>
      <c r="AG183" s="474"/>
      <c r="AH183" s="480">
        <f ca="1">IF(TYPE(VLOOKUP(H183,Nasazení!$A$3:$E$258,5,0))&lt;4,VLOOKUP(H183,Nasazení!$A$3:$E$258,5,0),0)</f>
        <v>0</v>
      </c>
      <c r="AI183" s="475" t="str">
        <f ca="1">IF(N($AH183)&gt;0,VLOOKUP($AH183,Body!$A$4:$F$259,5,0),"")</f>
        <v/>
      </c>
      <c r="AJ183" s="476" t="str">
        <f ca="1">IF(N($AH183)&gt;0,VLOOKUP($AH183,Body!$A$4:$F$259,6,0),"")</f>
        <v/>
      </c>
      <c r="AK183" s="475" t="str">
        <f ca="1">IF(N($AH183)&gt;0,VLOOKUP($AH183,Body!$A$4:$F$259,2,0),"")</f>
        <v/>
      </c>
      <c r="AL183" s="477" t="str">
        <f t="shared" ca="1" si="61"/>
        <v/>
      </c>
      <c r="AM183" s="478">
        <f t="shared" ca="1" si="62"/>
        <v>0</v>
      </c>
      <c r="AN183" s="408">
        <f ca="1">IF(OR(TYPE(I183)&gt;1,TYPE(MATCH(I183,I184:I$267,0))&gt;1),0,MATCH(I183,I184:I$267,0))+IF(OR(TYPE(I183)&gt;1,TYPE(MATCH(I183,O$11:O$267,0))&gt;1),0,MATCH(I183,O$11:O$267,0))+IF(OR(TYPE(I183)&gt;1,TYPE(MATCH(I183,U$11:U$267,0))&gt;1),0,MATCH(I183,U$11:U$267,0))+IF(OR(TYPE(I183)&gt;1,TYPE(MATCH(I183,AA$11:AA$267,0))&gt;1),0,MATCH(I183,AA$11:AA$267,0))</f>
        <v>0</v>
      </c>
      <c r="AO183" s="408">
        <f ca="1">IF(OR(TYPE(O183)&gt;1,TYPE(MATCH(O183,I$11:I$267,0))&gt;1),0,MATCH(O183,I$11:I$267,0))+IF(OR(TYPE(O183)&gt;1,TYPE(MATCH(O183,O184:O$267,0))&gt;1),0,MATCH(O183,O184:O$267,0))+IF(OR(TYPE(O183)&gt;1,TYPE(MATCH(O183,U$11:U$267,0))&gt;1),0,MATCH(O183,U$11:U$267,0))+IF(OR(TYPE(O183)&gt;1,TYPE(MATCH(O183,AA$11:AA$267,0))&gt;1),0,MATCH(O183,AA$11:AA$267,0))</f>
        <v>0</v>
      </c>
      <c r="AP183" s="408">
        <f ca="1">IF(OR(TYPE(U183)&gt;1,TYPE(MATCH(U183,I$11:I$267,0))&gt;1),0,MATCH(U183,I$11:I$267,0))+IF(OR(TYPE(U183)&gt;1,TYPE(MATCH(U183,O$11:O$267,0))&gt;1),0,MATCH(U183,O$11:O$267,0))+IF(OR(TYPE(U183)&gt;1,TYPE(MATCH(U183,U184:U$267,0))&gt;1),0,MATCH(U183,U184:U$267,0))+IF(OR(TYPE(U183)&gt;1,TYPE(MATCH(U183,AA$11:AA$267,0))&gt;1),0,MATCH(U183,AA$11:AA$267,0))</f>
        <v>0</v>
      </c>
      <c r="AQ183" s="408">
        <f ca="1">IF(OR(TYPE(AA183)&gt;1,TYPE(MATCH(AA183,I$11:I$267,0))&gt;1),0,MATCH(AA183,I$11:I$267,0))+IF(OR(TYPE(AA183)&gt;1,TYPE(MATCH(AA183,O$11:O$267,0))&gt;1),0,MATCH(AA183,O$11:O$267,0))+IF(OR(TYPE(AA183)&gt;1,TYPE(MATCH(AA183,U$11:U$267,0))&gt;1),0,MATCH(U183,U$11:U$267,0))+IF(OR(TYPE(AA183)&gt;1,TYPE(MATCH(AA183,AA184:AA$267,0))&gt;1),0,MATCH(AA183,AA184:AA$267,0))</f>
        <v>0</v>
      </c>
      <c r="AR183" s="408">
        <f t="shared" ca="1" si="75"/>
        <v>0</v>
      </c>
      <c r="BF183" s="408">
        <f t="shared" si="76"/>
        <v>173</v>
      </c>
    </row>
    <row r="184" spans="1:58" ht="14.25">
      <c r="A184" s="430">
        <f t="shared" ca="1" si="65"/>
        <v>0</v>
      </c>
      <c r="B184" s="430">
        <f t="shared" ca="1" si="66"/>
        <v>0</v>
      </c>
      <c r="C184" s="430">
        <f t="shared" ca="1" si="67"/>
        <v>0</v>
      </c>
      <c r="D184" s="430">
        <f t="shared" ca="1" si="68"/>
        <v>99999</v>
      </c>
      <c r="E184" s="430">
        <f t="shared" ca="1" si="69"/>
        <v>9999</v>
      </c>
      <c r="F184" s="431" t="str">
        <f t="shared" ca="1" si="63"/>
        <v>00000000000000000000715250</v>
      </c>
      <c r="G184" s="467" t="b">
        <f t="shared" ca="1" si="70"/>
        <v>1</v>
      </c>
      <c r="H184" s="468">
        <f t="shared" si="60"/>
        <v>174</v>
      </c>
      <c r="I184" s="469" t="str">
        <f t="shared" ca="1" si="71"/>
        <v/>
      </c>
      <c r="J184" s="470" t="str">
        <f ca="1">IF(N(I184)&gt;0,VLOOKUP(I184,Hraci!$A$1:$I$1500,2,0),IF(TYPE(INDIRECT(ADDRESS(ROW() + $A$9-9 + (ROW()-11)*4,2,1,1,"Internet")))&gt;1,INDIRECT(ADDRESS(ROW() + $A$9-9 + (ROW()-11)*4,2,1,1,"Internet"))," "))</f>
        <v xml:space="preserve"> </v>
      </c>
      <c r="K184" s="471" t="str">
        <f ca="1">IF(N(I184)&gt;0,VLOOKUP(I184,Hraci!$A$1:$I$1500,3,0)," ")</f>
        <v xml:space="preserve"> </v>
      </c>
      <c r="L184" s="471" t="str">
        <f ca="1">IF(N(I184)&gt;0,VLOOKUP(I184,Hraci!$A$1:$I$1500,5,0),IF(TYPE(INDIRECT(ADDRESS(ROW() + $A$9-9 + (ROW()-11)*4,3,1,1,"Internet")))&gt;1,INDIRECT(ADDRESS(ROW() + $A$9-9 + (ROW()-11)*4,3,1,1,"Internet"))," "))</f>
        <v xml:space="preserve"> </v>
      </c>
      <c r="M184" s="472">
        <f ca="1">IF(N(I184)=0,9999,VLOOKUP(I184,Hraci!$A$1:$I$1500,8,0))</f>
        <v>9999</v>
      </c>
      <c r="N184" s="473">
        <f ca="1">IF(N(I184)=0,0,VLOOKUP(I184,Hraci!$A$1:$I$1500,9,0))</f>
        <v>0</v>
      </c>
      <c r="O184" s="469" t="str">
        <f t="shared" ca="1" si="72"/>
        <v/>
      </c>
      <c r="P184" s="470" t="str">
        <f ca="1">IF(N(O184)&gt;0,VLOOKUP(O184,Hraci!$A$1:$I$1500,2,0),IF(TYPE(INDIRECT(ADDRESS(ROW() + $A$9-8 + (ROW()-11)*4,2,1,1,"Internet")))&gt;1,INDIRECT(ADDRESS(ROW() + $A$9-8 + (ROW()-11)*4,2,1,1,"Internet"))," "))</f>
        <v xml:space="preserve"> </v>
      </c>
      <c r="Q184" s="471" t="str">
        <f ca="1">IF(N(O184)&gt;0,VLOOKUP(O184,Hraci!$A$1:$I$1500,3,0)," ")</f>
        <v xml:space="preserve"> </v>
      </c>
      <c r="R184" s="471" t="str">
        <f ca="1">IF(N(O184)&gt;0,VLOOKUP(O184,Hraci!$A$1:$I$1500,5,0),IF(TYPE(INDIRECT(ADDRESS(ROW() + $A$9-8 + (ROW()-11)*4,3,1,1,"Internet")))&gt;1,INDIRECT(ADDRESS(ROW() + $A$9-8 + (ROW()-11)*4,3,1,1,"Internet"))," "))</f>
        <v xml:space="preserve"> </v>
      </c>
      <c r="S184" s="472">
        <f ca="1">IF(N(O184)=0,9999,VLOOKUP(O184,Hraci!$A$1:$I$1500,8,0))</f>
        <v>9999</v>
      </c>
      <c r="T184" s="473">
        <f ca="1">IF(N(O184)=0,0,VLOOKUP(O184,Hraci!$A$1:$I$1500,9,0))</f>
        <v>0</v>
      </c>
      <c r="U184" s="469" t="str">
        <f t="shared" ca="1" si="73"/>
        <v/>
      </c>
      <c r="V184" s="470" t="str">
        <f ca="1">IF(N(U184)&gt;0,VLOOKUP(U184,Hraci!$A$1:$I$1500,2,0),IF(TYPE(INDIRECT(ADDRESS(ROW() + $A$9-7 + (ROW()-11)*4,2,1,1,"Internet")))&gt;1,INDIRECT(ADDRESS(ROW() + $A$9-7 + (ROW()-11)*4,2,1,1,"Internet"))," "))</f>
        <v xml:space="preserve"> </v>
      </c>
      <c r="W184" s="471" t="str">
        <f ca="1">IF(N(U184)&gt;0,VLOOKUP(U184,Hraci!$A$1:$I$1500,3,0)," ")</f>
        <v xml:space="preserve"> </v>
      </c>
      <c r="X184" s="471" t="str">
        <f ca="1">IF(N(U184)&gt;0,VLOOKUP(U184,Hraci!$A$1:$I$1500,5,0),IF(TYPE(INDIRECT(ADDRESS(ROW() + $A$9-7 + (ROW()-11)*4,3,1,1,"Internet")))&gt;1,INDIRECT(ADDRESS(ROW() + $A$9-7 + (ROW()-11)*4,3,1,1,"Internet"))," "))</f>
        <v xml:space="preserve"> </v>
      </c>
      <c r="Y184" s="472">
        <f ca="1">IF(N(U184)=0,9999,VLOOKUP(U184,Hraci!$A$1:$I$1500,8,0))</f>
        <v>9999</v>
      </c>
      <c r="Z184" s="473">
        <f ca="1">IF(N(U184)=0,0,VLOOKUP(U184,Hraci!$A$1:$I$1500,9,0))</f>
        <v>0</v>
      </c>
      <c r="AA184" s="469" t="str">
        <f t="shared" ca="1" si="74"/>
        <v/>
      </c>
      <c r="AB184" s="470" t="str">
        <f ca="1">IF(N(AA184)&gt;0,VLOOKUP(AA184,Hraci!$A$1:$I$1500,2,0)," ")</f>
        <v xml:space="preserve"> </v>
      </c>
      <c r="AC184" s="471" t="str">
        <f ca="1">IF(N(AA184)&gt;0,VLOOKUP(AA184,Hraci!$A$1:$I$1500,3,0)," ")</f>
        <v xml:space="preserve"> </v>
      </c>
      <c r="AD184" s="471" t="str">
        <f ca="1">IF(N(AA184)&gt;0,VLOOKUP(AA184,Hraci!$A$1:$I$1500,5,0)," ")</f>
        <v xml:space="preserve"> </v>
      </c>
      <c r="AE184" s="472">
        <f ca="1">IF(N(AA184)=0,9999,VLOOKUP(AA184,Hraci!$A$1:$I$1500,8,0))</f>
        <v>9999</v>
      </c>
      <c r="AF184" s="473">
        <f ca="1">IF(N(AA184)=0,0,VLOOKUP(AA184,Hraci!$A$1:$I$1500,9,0))</f>
        <v>0</v>
      </c>
      <c r="AG184" s="474"/>
      <c r="AH184" s="480">
        <f ca="1">IF(TYPE(VLOOKUP(H184,Nasazení!$A$3:$E$258,5,0))&lt;4,VLOOKUP(H184,Nasazení!$A$3:$E$258,5,0),0)</f>
        <v>0</v>
      </c>
      <c r="AI184" s="475" t="str">
        <f ca="1">IF(N($AH184)&gt;0,VLOOKUP($AH184,Body!$A$4:$F$259,5,0),"")</f>
        <v/>
      </c>
      <c r="AJ184" s="476" t="str">
        <f ca="1">IF(N($AH184)&gt;0,VLOOKUP($AH184,Body!$A$4:$F$259,6,0),"")</f>
        <v/>
      </c>
      <c r="AK184" s="475" t="str">
        <f ca="1">IF(N($AH184)&gt;0,VLOOKUP($AH184,Body!$A$4:$F$259,2,0),"")</f>
        <v/>
      </c>
      <c r="AL184" s="477" t="str">
        <f t="shared" ca="1" si="61"/>
        <v/>
      </c>
      <c r="AM184" s="478">
        <f t="shared" ca="1" si="62"/>
        <v>0</v>
      </c>
      <c r="AN184" s="408">
        <f ca="1">IF(OR(TYPE(I184)&gt;1,TYPE(MATCH(I184,I185:I$267,0))&gt;1),0,MATCH(I184,I185:I$267,0))+IF(OR(TYPE(I184)&gt;1,TYPE(MATCH(I184,O$11:O$267,0))&gt;1),0,MATCH(I184,O$11:O$267,0))+IF(OR(TYPE(I184)&gt;1,TYPE(MATCH(I184,U$11:U$267,0))&gt;1),0,MATCH(I184,U$11:U$267,0))+IF(OR(TYPE(I184)&gt;1,TYPE(MATCH(I184,AA$11:AA$267,0))&gt;1),0,MATCH(I184,AA$11:AA$267,0))</f>
        <v>0</v>
      </c>
      <c r="AO184" s="408">
        <f ca="1">IF(OR(TYPE(O184)&gt;1,TYPE(MATCH(O184,I$11:I$267,0))&gt;1),0,MATCH(O184,I$11:I$267,0))+IF(OR(TYPE(O184)&gt;1,TYPE(MATCH(O184,O185:O$267,0))&gt;1),0,MATCH(O184,O185:O$267,0))+IF(OR(TYPE(O184)&gt;1,TYPE(MATCH(O184,U$11:U$267,0))&gt;1),0,MATCH(O184,U$11:U$267,0))+IF(OR(TYPE(O184)&gt;1,TYPE(MATCH(O184,AA$11:AA$267,0))&gt;1),0,MATCH(O184,AA$11:AA$267,0))</f>
        <v>0</v>
      </c>
      <c r="AP184" s="408">
        <f ca="1">IF(OR(TYPE(U184)&gt;1,TYPE(MATCH(U184,I$11:I$267,0))&gt;1),0,MATCH(U184,I$11:I$267,0))+IF(OR(TYPE(U184)&gt;1,TYPE(MATCH(U184,O$11:O$267,0))&gt;1),0,MATCH(U184,O$11:O$267,0))+IF(OR(TYPE(U184)&gt;1,TYPE(MATCH(U184,U185:U$267,0))&gt;1),0,MATCH(U184,U185:U$267,0))+IF(OR(TYPE(U184)&gt;1,TYPE(MATCH(U184,AA$11:AA$267,0))&gt;1),0,MATCH(U184,AA$11:AA$267,0))</f>
        <v>0</v>
      </c>
      <c r="AQ184" s="408">
        <f ca="1">IF(OR(TYPE(AA184)&gt;1,TYPE(MATCH(AA184,I$11:I$267,0))&gt;1),0,MATCH(AA184,I$11:I$267,0))+IF(OR(TYPE(AA184)&gt;1,TYPE(MATCH(AA184,O$11:O$267,0))&gt;1),0,MATCH(AA184,O$11:O$267,0))+IF(OR(TYPE(AA184)&gt;1,TYPE(MATCH(AA184,U$11:U$267,0))&gt;1),0,MATCH(U184,U$11:U$267,0))+IF(OR(TYPE(AA184)&gt;1,TYPE(MATCH(AA184,AA185:AA$267,0))&gt;1),0,MATCH(AA184,AA185:AA$267,0))</f>
        <v>0</v>
      </c>
      <c r="AR184" s="408">
        <f t="shared" ca="1" si="75"/>
        <v>0</v>
      </c>
      <c r="BF184" s="408">
        <f t="shared" si="76"/>
        <v>174</v>
      </c>
    </row>
    <row r="185" spans="1:58" ht="14.25">
      <c r="A185" s="430">
        <f t="shared" ca="1" si="65"/>
        <v>0</v>
      </c>
      <c r="B185" s="430">
        <f t="shared" ca="1" si="66"/>
        <v>0</v>
      </c>
      <c r="C185" s="430">
        <f t="shared" ca="1" si="67"/>
        <v>0</v>
      </c>
      <c r="D185" s="430">
        <f t="shared" ca="1" si="68"/>
        <v>99999</v>
      </c>
      <c r="E185" s="430">
        <f t="shared" ca="1" si="69"/>
        <v>9999</v>
      </c>
      <c r="F185" s="431" t="str">
        <f t="shared" ca="1" si="63"/>
        <v>00000000000000000000971012</v>
      </c>
      <c r="G185" s="467" t="b">
        <f t="shared" ca="1" si="70"/>
        <v>1</v>
      </c>
      <c r="H185" s="468">
        <f t="shared" si="60"/>
        <v>175</v>
      </c>
      <c r="I185" s="469" t="str">
        <f t="shared" ca="1" si="71"/>
        <v/>
      </c>
      <c r="J185" s="470" t="str">
        <f ca="1">IF(N(I185)&gt;0,VLOOKUP(I185,Hraci!$A$1:$I$1500,2,0),IF(TYPE(INDIRECT(ADDRESS(ROW() + $A$9-9 + (ROW()-11)*4,2,1,1,"Internet")))&gt;1,INDIRECT(ADDRESS(ROW() + $A$9-9 + (ROW()-11)*4,2,1,1,"Internet"))," "))</f>
        <v xml:space="preserve"> </v>
      </c>
      <c r="K185" s="471" t="str">
        <f ca="1">IF(N(I185)&gt;0,VLOOKUP(I185,Hraci!$A$1:$I$1500,3,0)," ")</f>
        <v xml:space="preserve"> </v>
      </c>
      <c r="L185" s="471" t="str">
        <f ca="1">IF(N(I185)&gt;0,VLOOKUP(I185,Hraci!$A$1:$I$1500,5,0),IF(TYPE(INDIRECT(ADDRESS(ROW() + $A$9-9 + (ROW()-11)*4,3,1,1,"Internet")))&gt;1,INDIRECT(ADDRESS(ROW() + $A$9-9 + (ROW()-11)*4,3,1,1,"Internet"))," "))</f>
        <v xml:space="preserve"> </v>
      </c>
      <c r="M185" s="472">
        <f ca="1">IF(N(I185)=0,9999,VLOOKUP(I185,Hraci!$A$1:$I$1500,8,0))</f>
        <v>9999</v>
      </c>
      <c r="N185" s="473">
        <f ca="1">IF(N(I185)=0,0,VLOOKUP(I185,Hraci!$A$1:$I$1500,9,0))</f>
        <v>0</v>
      </c>
      <c r="O185" s="469" t="str">
        <f t="shared" ca="1" si="72"/>
        <v/>
      </c>
      <c r="P185" s="470" t="str">
        <f ca="1">IF(N(O185)&gt;0,VLOOKUP(O185,Hraci!$A$1:$I$1500,2,0),IF(TYPE(INDIRECT(ADDRESS(ROW() + $A$9-8 + (ROW()-11)*4,2,1,1,"Internet")))&gt;1,INDIRECT(ADDRESS(ROW() + $A$9-8 + (ROW()-11)*4,2,1,1,"Internet"))," "))</f>
        <v xml:space="preserve"> </v>
      </c>
      <c r="Q185" s="471" t="str">
        <f ca="1">IF(N(O185)&gt;0,VLOOKUP(O185,Hraci!$A$1:$I$1500,3,0)," ")</f>
        <v xml:space="preserve"> </v>
      </c>
      <c r="R185" s="471" t="str">
        <f ca="1">IF(N(O185)&gt;0,VLOOKUP(O185,Hraci!$A$1:$I$1500,5,0),IF(TYPE(INDIRECT(ADDRESS(ROW() + $A$9-8 + (ROW()-11)*4,3,1,1,"Internet")))&gt;1,INDIRECT(ADDRESS(ROW() + $A$9-8 + (ROW()-11)*4,3,1,1,"Internet"))," "))</f>
        <v xml:space="preserve"> </v>
      </c>
      <c r="S185" s="472">
        <f ca="1">IF(N(O185)=0,9999,VLOOKUP(O185,Hraci!$A$1:$I$1500,8,0))</f>
        <v>9999</v>
      </c>
      <c r="T185" s="473">
        <f ca="1">IF(N(O185)=0,0,VLOOKUP(O185,Hraci!$A$1:$I$1500,9,0))</f>
        <v>0</v>
      </c>
      <c r="U185" s="469" t="str">
        <f t="shared" ca="1" si="73"/>
        <v/>
      </c>
      <c r="V185" s="470" t="str">
        <f ca="1">IF(N(U185)&gt;0,VLOOKUP(U185,Hraci!$A$1:$I$1500,2,0),IF(TYPE(INDIRECT(ADDRESS(ROW() + $A$9-7 + (ROW()-11)*4,2,1,1,"Internet")))&gt;1,INDIRECT(ADDRESS(ROW() + $A$9-7 + (ROW()-11)*4,2,1,1,"Internet"))," "))</f>
        <v xml:space="preserve"> </v>
      </c>
      <c r="W185" s="471" t="str">
        <f ca="1">IF(N(U185)&gt;0,VLOOKUP(U185,Hraci!$A$1:$I$1500,3,0)," ")</f>
        <v xml:space="preserve"> </v>
      </c>
      <c r="X185" s="471" t="str">
        <f ca="1">IF(N(U185)&gt;0,VLOOKUP(U185,Hraci!$A$1:$I$1500,5,0),IF(TYPE(INDIRECT(ADDRESS(ROW() + $A$9-7 + (ROW()-11)*4,3,1,1,"Internet")))&gt;1,INDIRECT(ADDRESS(ROW() + $A$9-7 + (ROW()-11)*4,3,1,1,"Internet"))," "))</f>
        <v xml:space="preserve"> </v>
      </c>
      <c r="Y185" s="472">
        <f ca="1">IF(N(U185)=0,9999,VLOOKUP(U185,Hraci!$A$1:$I$1500,8,0))</f>
        <v>9999</v>
      </c>
      <c r="Z185" s="473">
        <f ca="1">IF(N(U185)=0,0,VLOOKUP(U185,Hraci!$A$1:$I$1500,9,0))</f>
        <v>0</v>
      </c>
      <c r="AA185" s="469" t="str">
        <f t="shared" ca="1" si="74"/>
        <v/>
      </c>
      <c r="AB185" s="470" t="str">
        <f ca="1">IF(N(AA185)&gt;0,VLOOKUP(AA185,Hraci!$A$1:$I$1500,2,0)," ")</f>
        <v xml:space="preserve"> </v>
      </c>
      <c r="AC185" s="471" t="str">
        <f ca="1">IF(N(AA185)&gt;0,VLOOKUP(AA185,Hraci!$A$1:$I$1500,3,0)," ")</f>
        <v xml:space="preserve"> </v>
      </c>
      <c r="AD185" s="471" t="str">
        <f ca="1">IF(N(AA185)&gt;0,VLOOKUP(AA185,Hraci!$A$1:$I$1500,5,0)," ")</f>
        <v xml:space="preserve"> </v>
      </c>
      <c r="AE185" s="472">
        <f ca="1">IF(N(AA185)=0,9999,VLOOKUP(AA185,Hraci!$A$1:$I$1500,8,0))</f>
        <v>9999</v>
      </c>
      <c r="AF185" s="473">
        <f ca="1">IF(N(AA185)=0,0,VLOOKUP(AA185,Hraci!$A$1:$I$1500,9,0))</f>
        <v>0</v>
      </c>
      <c r="AG185" s="474"/>
      <c r="AH185" s="480">
        <f ca="1">IF(TYPE(VLOOKUP(H185,Nasazení!$A$3:$E$258,5,0))&lt;4,VLOOKUP(H185,Nasazení!$A$3:$E$258,5,0),0)</f>
        <v>0</v>
      </c>
      <c r="AI185" s="475" t="str">
        <f ca="1">IF(N($AH185)&gt;0,VLOOKUP($AH185,Body!$A$4:$F$259,5,0),"")</f>
        <v/>
      </c>
      <c r="AJ185" s="476" t="str">
        <f ca="1">IF(N($AH185)&gt;0,VLOOKUP($AH185,Body!$A$4:$F$259,6,0),"")</f>
        <v/>
      </c>
      <c r="AK185" s="475" t="str">
        <f ca="1">IF(N($AH185)&gt;0,VLOOKUP($AH185,Body!$A$4:$F$259,2,0),"")</f>
        <v/>
      </c>
      <c r="AL185" s="477" t="str">
        <f t="shared" ca="1" si="61"/>
        <v/>
      </c>
      <c r="AM185" s="478">
        <f t="shared" ca="1" si="62"/>
        <v>0</v>
      </c>
      <c r="AN185" s="408">
        <f ca="1">IF(OR(TYPE(I185)&gt;1,TYPE(MATCH(I185,I186:I$267,0))&gt;1),0,MATCH(I185,I186:I$267,0))+IF(OR(TYPE(I185)&gt;1,TYPE(MATCH(I185,O$11:O$267,0))&gt;1),0,MATCH(I185,O$11:O$267,0))+IF(OR(TYPE(I185)&gt;1,TYPE(MATCH(I185,U$11:U$267,0))&gt;1),0,MATCH(I185,U$11:U$267,0))+IF(OR(TYPE(I185)&gt;1,TYPE(MATCH(I185,AA$11:AA$267,0))&gt;1),0,MATCH(I185,AA$11:AA$267,0))</f>
        <v>0</v>
      </c>
      <c r="AO185" s="408">
        <f ca="1">IF(OR(TYPE(O185)&gt;1,TYPE(MATCH(O185,I$11:I$267,0))&gt;1),0,MATCH(O185,I$11:I$267,0))+IF(OR(TYPE(O185)&gt;1,TYPE(MATCH(O185,O186:O$267,0))&gt;1),0,MATCH(O185,O186:O$267,0))+IF(OR(TYPE(O185)&gt;1,TYPE(MATCH(O185,U$11:U$267,0))&gt;1),0,MATCH(O185,U$11:U$267,0))+IF(OR(TYPE(O185)&gt;1,TYPE(MATCH(O185,AA$11:AA$267,0))&gt;1),0,MATCH(O185,AA$11:AA$267,0))</f>
        <v>0</v>
      </c>
      <c r="AP185" s="408">
        <f ca="1">IF(OR(TYPE(U185)&gt;1,TYPE(MATCH(U185,I$11:I$267,0))&gt;1),0,MATCH(U185,I$11:I$267,0))+IF(OR(TYPE(U185)&gt;1,TYPE(MATCH(U185,O$11:O$267,0))&gt;1),0,MATCH(U185,O$11:O$267,0))+IF(OR(TYPE(U185)&gt;1,TYPE(MATCH(U185,U186:U$267,0))&gt;1),0,MATCH(U185,U186:U$267,0))+IF(OR(TYPE(U185)&gt;1,TYPE(MATCH(U185,AA$11:AA$267,0))&gt;1),0,MATCH(U185,AA$11:AA$267,0))</f>
        <v>0</v>
      </c>
      <c r="AQ185" s="408">
        <f ca="1">IF(OR(TYPE(AA185)&gt;1,TYPE(MATCH(AA185,I$11:I$267,0))&gt;1),0,MATCH(AA185,I$11:I$267,0))+IF(OR(TYPE(AA185)&gt;1,TYPE(MATCH(AA185,O$11:O$267,0))&gt;1),0,MATCH(AA185,O$11:O$267,0))+IF(OR(TYPE(AA185)&gt;1,TYPE(MATCH(AA185,U$11:U$267,0))&gt;1),0,MATCH(U185,U$11:U$267,0))+IF(OR(TYPE(AA185)&gt;1,TYPE(MATCH(AA185,AA186:AA$267,0))&gt;1),0,MATCH(AA185,AA186:AA$267,0))</f>
        <v>0</v>
      </c>
      <c r="AR185" s="408">
        <f t="shared" ca="1" si="75"/>
        <v>0</v>
      </c>
      <c r="BF185" s="408">
        <f t="shared" si="76"/>
        <v>175</v>
      </c>
    </row>
    <row r="186" spans="1:58" ht="14.25">
      <c r="A186" s="430">
        <f t="shared" ca="1" si="65"/>
        <v>0</v>
      </c>
      <c r="B186" s="430">
        <f t="shared" ca="1" si="66"/>
        <v>0</v>
      </c>
      <c r="C186" s="430">
        <f t="shared" ca="1" si="67"/>
        <v>0</v>
      </c>
      <c r="D186" s="430">
        <f t="shared" ca="1" si="68"/>
        <v>99999</v>
      </c>
      <c r="E186" s="430">
        <f t="shared" ca="1" si="69"/>
        <v>9999</v>
      </c>
      <c r="F186" s="431" t="str">
        <f t="shared" ca="1" si="63"/>
        <v>00000000000000000000242451</v>
      </c>
      <c r="G186" s="467" t="b">
        <f t="shared" ca="1" si="70"/>
        <v>1</v>
      </c>
      <c r="H186" s="468">
        <f t="shared" si="60"/>
        <v>176</v>
      </c>
      <c r="I186" s="469" t="str">
        <f t="shared" ca="1" si="71"/>
        <v/>
      </c>
      <c r="J186" s="470" t="str">
        <f ca="1">IF(N(I186)&gt;0,VLOOKUP(I186,Hraci!$A$1:$I$1500,2,0),IF(TYPE(INDIRECT(ADDRESS(ROW() + $A$9-9 + (ROW()-11)*4,2,1,1,"Internet")))&gt;1,INDIRECT(ADDRESS(ROW() + $A$9-9 + (ROW()-11)*4,2,1,1,"Internet"))," "))</f>
        <v xml:space="preserve"> </v>
      </c>
      <c r="K186" s="471" t="str">
        <f ca="1">IF(N(I186)&gt;0,VLOOKUP(I186,Hraci!$A$1:$I$1500,3,0)," ")</f>
        <v xml:space="preserve"> </v>
      </c>
      <c r="L186" s="471" t="str">
        <f ca="1">IF(N(I186)&gt;0,VLOOKUP(I186,Hraci!$A$1:$I$1500,5,0),IF(TYPE(INDIRECT(ADDRESS(ROW() + $A$9-9 + (ROW()-11)*4,3,1,1,"Internet")))&gt;1,INDIRECT(ADDRESS(ROW() + $A$9-9 + (ROW()-11)*4,3,1,1,"Internet"))," "))</f>
        <v xml:space="preserve"> </v>
      </c>
      <c r="M186" s="472">
        <f ca="1">IF(N(I186)=0,9999,VLOOKUP(I186,Hraci!$A$1:$I$1500,8,0))</f>
        <v>9999</v>
      </c>
      <c r="N186" s="473">
        <f ca="1">IF(N(I186)=0,0,VLOOKUP(I186,Hraci!$A$1:$I$1500,9,0))</f>
        <v>0</v>
      </c>
      <c r="O186" s="469" t="str">
        <f t="shared" ca="1" si="72"/>
        <v/>
      </c>
      <c r="P186" s="470" t="str">
        <f ca="1">IF(N(O186)&gt;0,VLOOKUP(O186,Hraci!$A$1:$I$1500,2,0),IF(TYPE(INDIRECT(ADDRESS(ROW() + $A$9-8 + (ROW()-11)*4,2,1,1,"Internet")))&gt;1,INDIRECT(ADDRESS(ROW() + $A$9-8 + (ROW()-11)*4,2,1,1,"Internet"))," "))</f>
        <v xml:space="preserve"> </v>
      </c>
      <c r="Q186" s="471" t="str">
        <f ca="1">IF(N(O186)&gt;0,VLOOKUP(O186,Hraci!$A$1:$I$1500,3,0)," ")</f>
        <v xml:space="preserve"> </v>
      </c>
      <c r="R186" s="471" t="str">
        <f ca="1">IF(N(O186)&gt;0,VLOOKUP(O186,Hraci!$A$1:$I$1500,5,0),IF(TYPE(INDIRECT(ADDRESS(ROW() + $A$9-8 + (ROW()-11)*4,3,1,1,"Internet")))&gt;1,INDIRECT(ADDRESS(ROW() + $A$9-8 + (ROW()-11)*4,3,1,1,"Internet"))," "))</f>
        <v xml:space="preserve"> </v>
      </c>
      <c r="S186" s="472">
        <f ca="1">IF(N(O186)=0,9999,VLOOKUP(O186,Hraci!$A$1:$I$1500,8,0))</f>
        <v>9999</v>
      </c>
      <c r="T186" s="473">
        <f ca="1">IF(N(O186)=0,0,VLOOKUP(O186,Hraci!$A$1:$I$1500,9,0))</f>
        <v>0</v>
      </c>
      <c r="U186" s="469" t="str">
        <f t="shared" ca="1" si="73"/>
        <v/>
      </c>
      <c r="V186" s="470" t="str">
        <f ca="1">IF(N(U186)&gt;0,VLOOKUP(U186,Hraci!$A$1:$I$1500,2,0),IF(TYPE(INDIRECT(ADDRESS(ROW() + $A$9-7 + (ROW()-11)*4,2,1,1,"Internet")))&gt;1,INDIRECT(ADDRESS(ROW() + $A$9-7 + (ROW()-11)*4,2,1,1,"Internet"))," "))</f>
        <v xml:space="preserve"> </v>
      </c>
      <c r="W186" s="471" t="str">
        <f ca="1">IF(N(U186)&gt;0,VLOOKUP(U186,Hraci!$A$1:$I$1500,3,0)," ")</f>
        <v xml:space="preserve"> </v>
      </c>
      <c r="X186" s="471" t="str">
        <f ca="1">IF(N(U186)&gt;0,VLOOKUP(U186,Hraci!$A$1:$I$1500,5,0),IF(TYPE(INDIRECT(ADDRESS(ROW() + $A$9-7 + (ROW()-11)*4,3,1,1,"Internet")))&gt;1,INDIRECT(ADDRESS(ROW() + $A$9-7 + (ROW()-11)*4,3,1,1,"Internet"))," "))</f>
        <v xml:space="preserve"> </v>
      </c>
      <c r="Y186" s="472">
        <f ca="1">IF(N(U186)=0,9999,VLOOKUP(U186,Hraci!$A$1:$I$1500,8,0))</f>
        <v>9999</v>
      </c>
      <c r="Z186" s="473">
        <f ca="1">IF(N(U186)=0,0,VLOOKUP(U186,Hraci!$A$1:$I$1500,9,0))</f>
        <v>0</v>
      </c>
      <c r="AA186" s="469" t="str">
        <f t="shared" ca="1" si="74"/>
        <v/>
      </c>
      <c r="AB186" s="470" t="str">
        <f ca="1">IF(N(AA186)&gt;0,VLOOKUP(AA186,Hraci!$A$1:$I$1500,2,0)," ")</f>
        <v xml:space="preserve"> </v>
      </c>
      <c r="AC186" s="471" t="str">
        <f ca="1">IF(N(AA186)&gt;0,VLOOKUP(AA186,Hraci!$A$1:$I$1500,3,0)," ")</f>
        <v xml:space="preserve"> </v>
      </c>
      <c r="AD186" s="471" t="str">
        <f ca="1">IF(N(AA186)&gt;0,VLOOKUP(AA186,Hraci!$A$1:$I$1500,5,0)," ")</f>
        <v xml:space="preserve"> </v>
      </c>
      <c r="AE186" s="472">
        <f ca="1">IF(N(AA186)=0,9999,VLOOKUP(AA186,Hraci!$A$1:$I$1500,8,0))</f>
        <v>9999</v>
      </c>
      <c r="AF186" s="473">
        <f ca="1">IF(N(AA186)=0,0,VLOOKUP(AA186,Hraci!$A$1:$I$1500,9,0))</f>
        <v>0</v>
      </c>
      <c r="AG186" s="474"/>
      <c r="AH186" s="480">
        <f ca="1">IF(TYPE(VLOOKUP(H186,Nasazení!$A$3:$E$258,5,0))&lt;4,VLOOKUP(H186,Nasazení!$A$3:$E$258,5,0),0)</f>
        <v>0</v>
      </c>
      <c r="AI186" s="475" t="str">
        <f ca="1">IF(N($AH186)&gt;0,VLOOKUP($AH186,Body!$A$4:$F$259,5,0),"")</f>
        <v/>
      </c>
      <c r="AJ186" s="476" t="str">
        <f ca="1">IF(N($AH186)&gt;0,VLOOKUP($AH186,Body!$A$4:$F$259,6,0),"")</f>
        <v/>
      </c>
      <c r="AK186" s="475" t="str">
        <f ca="1">IF(N($AH186)&gt;0,VLOOKUP($AH186,Body!$A$4:$F$259,2,0),"")</f>
        <v/>
      </c>
      <c r="AL186" s="477" t="str">
        <f t="shared" ca="1" si="61"/>
        <v/>
      </c>
      <c r="AM186" s="478">
        <f t="shared" ca="1" si="62"/>
        <v>0</v>
      </c>
      <c r="AN186" s="408">
        <f ca="1">IF(OR(TYPE(I186)&gt;1,TYPE(MATCH(I186,I187:I$267,0))&gt;1),0,MATCH(I186,I187:I$267,0))+IF(OR(TYPE(I186)&gt;1,TYPE(MATCH(I186,O$11:O$267,0))&gt;1),0,MATCH(I186,O$11:O$267,0))+IF(OR(TYPE(I186)&gt;1,TYPE(MATCH(I186,U$11:U$267,0))&gt;1),0,MATCH(I186,U$11:U$267,0))+IF(OR(TYPE(I186)&gt;1,TYPE(MATCH(I186,AA$11:AA$267,0))&gt;1),0,MATCH(I186,AA$11:AA$267,0))</f>
        <v>0</v>
      </c>
      <c r="AO186" s="408">
        <f ca="1">IF(OR(TYPE(O186)&gt;1,TYPE(MATCH(O186,I$11:I$267,0))&gt;1),0,MATCH(O186,I$11:I$267,0))+IF(OR(TYPE(O186)&gt;1,TYPE(MATCH(O186,O187:O$267,0))&gt;1),0,MATCH(O186,O187:O$267,0))+IF(OR(TYPE(O186)&gt;1,TYPE(MATCH(O186,U$11:U$267,0))&gt;1),0,MATCH(O186,U$11:U$267,0))+IF(OR(TYPE(O186)&gt;1,TYPE(MATCH(O186,AA$11:AA$267,0))&gt;1),0,MATCH(O186,AA$11:AA$267,0))</f>
        <v>0</v>
      </c>
      <c r="AP186" s="408">
        <f ca="1">IF(OR(TYPE(U186)&gt;1,TYPE(MATCH(U186,I$11:I$267,0))&gt;1),0,MATCH(U186,I$11:I$267,0))+IF(OR(TYPE(U186)&gt;1,TYPE(MATCH(U186,O$11:O$267,0))&gt;1),0,MATCH(U186,O$11:O$267,0))+IF(OR(TYPE(U186)&gt;1,TYPE(MATCH(U186,U187:U$267,0))&gt;1),0,MATCH(U186,U187:U$267,0))+IF(OR(TYPE(U186)&gt;1,TYPE(MATCH(U186,AA$11:AA$267,0))&gt;1),0,MATCH(U186,AA$11:AA$267,0))</f>
        <v>0</v>
      </c>
      <c r="AQ186" s="408">
        <f ca="1">IF(OR(TYPE(AA186)&gt;1,TYPE(MATCH(AA186,I$11:I$267,0))&gt;1),0,MATCH(AA186,I$11:I$267,0))+IF(OR(TYPE(AA186)&gt;1,TYPE(MATCH(AA186,O$11:O$267,0))&gt;1),0,MATCH(AA186,O$11:O$267,0))+IF(OR(TYPE(AA186)&gt;1,TYPE(MATCH(AA186,U$11:U$267,0))&gt;1),0,MATCH(U186,U$11:U$267,0))+IF(OR(TYPE(AA186)&gt;1,TYPE(MATCH(AA186,AA187:AA$267,0))&gt;1),0,MATCH(AA186,AA187:AA$267,0))</f>
        <v>0</v>
      </c>
      <c r="AR186" s="408">
        <f t="shared" ca="1" si="75"/>
        <v>0</v>
      </c>
      <c r="BF186" s="408">
        <f t="shared" si="76"/>
        <v>176</v>
      </c>
    </row>
    <row r="187" spans="1:58" ht="14.25">
      <c r="A187" s="430">
        <f t="shared" ca="1" si="65"/>
        <v>0</v>
      </c>
      <c r="B187" s="430">
        <f t="shared" ca="1" si="66"/>
        <v>0</v>
      </c>
      <c r="C187" s="430">
        <f t="shared" ca="1" si="67"/>
        <v>0</v>
      </c>
      <c r="D187" s="430">
        <f t="shared" ca="1" si="68"/>
        <v>99999</v>
      </c>
      <c r="E187" s="430">
        <f t="shared" ca="1" si="69"/>
        <v>9999</v>
      </c>
      <c r="F187" s="431" t="str">
        <f t="shared" ca="1" si="63"/>
        <v>00000000000000000000927258</v>
      </c>
      <c r="G187" s="467" t="b">
        <f t="shared" ca="1" si="70"/>
        <v>1</v>
      </c>
      <c r="H187" s="468">
        <f t="shared" si="60"/>
        <v>177</v>
      </c>
      <c r="I187" s="469" t="str">
        <f t="shared" ca="1" si="71"/>
        <v/>
      </c>
      <c r="J187" s="470" t="str">
        <f ca="1">IF(N(I187)&gt;0,VLOOKUP(I187,Hraci!$A$1:$I$1500,2,0),IF(TYPE(INDIRECT(ADDRESS(ROW() + $A$9-9 + (ROW()-11)*4,2,1,1,"Internet")))&gt;1,INDIRECT(ADDRESS(ROW() + $A$9-9 + (ROW()-11)*4,2,1,1,"Internet"))," "))</f>
        <v xml:space="preserve"> </v>
      </c>
      <c r="K187" s="471" t="str">
        <f ca="1">IF(N(I187)&gt;0,VLOOKUP(I187,Hraci!$A$1:$I$1500,3,0)," ")</f>
        <v xml:space="preserve"> </v>
      </c>
      <c r="L187" s="471" t="str">
        <f ca="1">IF(N(I187)&gt;0,VLOOKUP(I187,Hraci!$A$1:$I$1500,5,0),IF(TYPE(INDIRECT(ADDRESS(ROW() + $A$9-9 + (ROW()-11)*4,3,1,1,"Internet")))&gt;1,INDIRECT(ADDRESS(ROW() + $A$9-9 + (ROW()-11)*4,3,1,1,"Internet"))," "))</f>
        <v xml:space="preserve"> </v>
      </c>
      <c r="M187" s="472">
        <f ca="1">IF(N(I187)=0,9999,VLOOKUP(I187,Hraci!$A$1:$I$1500,8,0))</f>
        <v>9999</v>
      </c>
      <c r="N187" s="473">
        <f ca="1">IF(N(I187)=0,0,VLOOKUP(I187,Hraci!$A$1:$I$1500,9,0))</f>
        <v>0</v>
      </c>
      <c r="O187" s="469" t="str">
        <f t="shared" ca="1" si="72"/>
        <v/>
      </c>
      <c r="P187" s="470" t="str">
        <f ca="1">IF(N(O187)&gt;0,VLOOKUP(O187,Hraci!$A$1:$I$1500,2,0),IF(TYPE(INDIRECT(ADDRESS(ROW() + $A$9-8 + (ROW()-11)*4,2,1,1,"Internet")))&gt;1,INDIRECT(ADDRESS(ROW() + $A$9-8 + (ROW()-11)*4,2,1,1,"Internet"))," "))</f>
        <v xml:space="preserve"> </v>
      </c>
      <c r="Q187" s="471" t="str">
        <f ca="1">IF(N(O187)&gt;0,VLOOKUP(O187,Hraci!$A$1:$I$1500,3,0)," ")</f>
        <v xml:space="preserve"> </v>
      </c>
      <c r="R187" s="471" t="str">
        <f ca="1">IF(N(O187)&gt;0,VLOOKUP(O187,Hraci!$A$1:$I$1500,5,0),IF(TYPE(INDIRECT(ADDRESS(ROW() + $A$9-8 + (ROW()-11)*4,3,1,1,"Internet")))&gt;1,INDIRECT(ADDRESS(ROW() + $A$9-8 + (ROW()-11)*4,3,1,1,"Internet"))," "))</f>
        <v xml:space="preserve"> </v>
      </c>
      <c r="S187" s="472">
        <f ca="1">IF(N(O187)=0,9999,VLOOKUP(O187,Hraci!$A$1:$I$1500,8,0))</f>
        <v>9999</v>
      </c>
      <c r="T187" s="473">
        <f ca="1">IF(N(O187)=0,0,VLOOKUP(O187,Hraci!$A$1:$I$1500,9,0))</f>
        <v>0</v>
      </c>
      <c r="U187" s="469" t="str">
        <f t="shared" ca="1" si="73"/>
        <v/>
      </c>
      <c r="V187" s="470" t="str">
        <f ca="1">IF(N(U187)&gt;0,VLOOKUP(U187,Hraci!$A$1:$I$1500,2,0),IF(TYPE(INDIRECT(ADDRESS(ROW() + $A$9-7 + (ROW()-11)*4,2,1,1,"Internet")))&gt;1,INDIRECT(ADDRESS(ROW() + $A$9-7 + (ROW()-11)*4,2,1,1,"Internet"))," "))</f>
        <v xml:space="preserve"> </v>
      </c>
      <c r="W187" s="471" t="str">
        <f ca="1">IF(N(U187)&gt;0,VLOOKUP(U187,Hraci!$A$1:$I$1500,3,0)," ")</f>
        <v xml:space="preserve"> </v>
      </c>
      <c r="X187" s="471" t="str">
        <f ca="1">IF(N(U187)&gt;0,VLOOKUP(U187,Hraci!$A$1:$I$1500,5,0),IF(TYPE(INDIRECT(ADDRESS(ROW() + $A$9-7 + (ROW()-11)*4,3,1,1,"Internet")))&gt;1,INDIRECT(ADDRESS(ROW() + $A$9-7 + (ROW()-11)*4,3,1,1,"Internet"))," "))</f>
        <v xml:space="preserve"> </v>
      </c>
      <c r="Y187" s="472">
        <f ca="1">IF(N(U187)=0,9999,VLOOKUP(U187,Hraci!$A$1:$I$1500,8,0))</f>
        <v>9999</v>
      </c>
      <c r="Z187" s="473">
        <f ca="1">IF(N(U187)=0,0,VLOOKUP(U187,Hraci!$A$1:$I$1500,9,0))</f>
        <v>0</v>
      </c>
      <c r="AA187" s="469" t="str">
        <f t="shared" ca="1" si="74"/>
        <v/>
      </c>
      <c r="AB187" s="470" t="str">
        <f ca="1">IF(N(AA187)&gt;0,VLOOKUP(AA187,Hraci!$A$1:$I$1500,2,0)," ")</f>
        <v xml:space="preserve"> </v>
      </c>
      <c r="AC187" s="471" t="str">
        <f ca="1">IF(N(AA187)&gt;0,VLOOKUP(AA187,Hraci!$A$1:$I$1500,3,0)," ")</f>
        <v xml:space="preserve"> </v>
      </c>
      <c r="AD187" s="471" t="str">
        <f ca="1">IF(N(AA187)&gt;0,VLOOKUP(AA187,Hraci!$A$1:$I$1500,5,0)," ")</f>
        <v xml:space="preserve"> </v>
      </c>
      <c r="AE187" s="472">
        <f ca="1">IF(N(AA187)=0,9999,VLOOKUP(AA187,Hraci!$A$1:$I$1500,8,0))</f>
        <v>9999</v>
      </c>
      <c r="AF187" s="473">
        <f ca="1">IF(N(AA187)=0,0,VLOOKUP(AA187,Hraci!$A$1:$I$1500,9,0))</f>
        <v>0</v>
      </c>
      <c r="AG187" s="474"/>
      <c r="AH187" s="480">
        <f ca="1">IF(TYPE(VLOOKUP(H187,Nasazení!$A$3:$E$258,5,0))&lt;4,VLOOKUP(H187,Nasazení!$A$3:$E$258,5,0),0)</f>
        <v>0</v>
      </c>
      <c r="AI187" s="475" t="str">
        <f ca="1">IF(N($AH187)&gt;0,VLOOKUP($AH187,Body!$A$4:$F$259,5,0),"")</f>
        <v/>
      </c>
      <c r="AJ187" s="476" t="str">
        <f ca="1">IF(N($AH187)&gt;0,VLOOKUP($AH187,Body!$A$4:$F$259,6,0),"")</f>
        <v/>
      </c>
      <c r="AK187" s="475" t="str">
        <f ca="1">IF(N($AH187)&gt;0,VLOOKUP($AH187,Body!$A$4:$F$259,2,0),"")</f>
        <v/>
      </c>
      <c r="AL187" s="477" t="str">
        <f t="shared" ca="1" si="61"/>
        <v/>
      </c>
      <c r="AM187" s="478">
        <f t="shared" ca="1" si="62"/>
        <v>0</v>
      </c>
      <c r="AN187" s="408">
        <f ca="1">IF(OR(TYPE(I187)&gt;1,TYPE(MATCH(I187,I188:I$267,0))&gt;1),0,MATCH(I187,I188:I$267,0))+IF(OR(TYPE(I187)&gt;1,TYPE(MATCH(I187,O$11:O$267,0))&gt;1),0,MATCH(I187,O$11:O$267,0))+IF(OR(TYPE(I187)&gt;1,TYPE(MATCH(I187,U$11:U$267,0))&gt;1),0,MATCH(I187,U$11:U$267,0))+IF(OR(TYPE(I187)&gt;1,TYPE(MATCH(I187,AA$11:AA$267,0))&gt;1),0,MATCH(I187,AA$11:AA$267,0))</f>
        <v>0</v>
      </c>
      <c r="AO187" s="408">
        <f ca="1">IF(OR(TYPE(O187)&gt;1,TYPE(MATCH(O187,I$11:I$267,0))&gt;1),0,MATCH(O187,I$11:I$267,0))+IF(OR(TYPE(O187)&gt;1,TYPE(MATCH(O187,O188:O$267,0))&gt;1),0,MATCH(O187,O188:O$267,0))+IF(OR(TYPE(O187)&gt;1,TYPE(MATCH(O187,U$11:U$267,0))&gt;1),0,MATCH(O187,U$11:U$267,0))+IF(OR(TYPE(O187)&gt;1,TYPE(MATCH(O187,AA$11:AA$267,0))&gt;1),0,MATCH(O187,AA$11:AA$267,0))</f>
        <v>0</v>
      </c>
      <c r="AP187" s="408">
        <f ca="1">IF(OR(TYPE(U187)&gt;1,TYPE(MATCH(U187,I$11:I$267,0))&gt;1),0,MATCH(U187,I$11:I$267,0))+IF(OR(TYPE(U187)&gt;1,TYPE(MATCH(U187,O$11:O$267,0))&gt;1),0,MATCH(U187,O$11:O$267,0))+IF(OR(TYPE(U187)&gt;1,TYPE(MATCH(U187,U188:U$267,0))&gt;1),0,MATCH(U187,U188:U$267,0))+IF(OR(TYPE(U187)&gt;1,TYPE(MATCH(U187,AA$11:AA$267,0))&gt;1),0,MATCH(U187,AA$11:AA$267,0))</f>
        <v>0</v>
      </c>
      <c r="AQ187" s="408">
        <f ca="1">IF(OR(TYPE(AA187)&gt;1,TYPE(MATCH(AA187,I$11:I$267,0))&gt;1),0,MATCH(AA187,I$11:I$267,0))+IF(OR(TYPE(AA187)&gt;1,TYPE(MATCH(AA187,O$11:O$267,0))&gt;1),0,MATCH(AA187,O$11:O$267,0))+IF(OR(TYPE(AA187)&gt;1,TYPE(MATCH(AA187,U$11:U$267,0))&gt;1),0,MATCH(U187,U$11:U$267,0))+IF(OR(TYPE(AA187)&gt;1,TYPE(MATCH(AA187,AA188:AA$267,0))&gt;1),0,MATCH(AA187,AA188:AA$267,0))</f>
        <v>0</v>
      </c>
      <c r="AR187" s="408">
        <f t="shared" ca="1" si="75"/>
        <v>0</v>
      </c>
      <c r="BF187" s="408">
        <f t="shared" si="76"/>
        <v>177</v>
      </c>
    </row>
    <row r="188" spans="1:58" ht="14.25">
      <c r="A188" s="430">
        <f t="shared" ca="1" si="65"/>
        <v>0</v>
      </c>
      <c r="B188" s="430">
        <f t="shared" ca="1" si="66"/>
        <v>0</v>
      </c>
      <c r="C188" s="430">
        <f t="shared" ca="1" si="67"/>
        <v>0</v>
      </c>
      <c r="D188" s="430">
        <f t="shared" ca="1" si="68"/>
        <v>99999</v>
      </c>
      <c r="E188" s="430">
        <f t="shared" ca="1" si="69"/>
        <v>9999</v>
      </c>
      <c r="F188" s="431" t="str">
        <f t="shared" ca="1" si="63"/>
        <v>00000000000000000000141298</v>
      </c>
      <c r="G188" s="467" t="b">
        <f t="shared" ca="1" si="70"/>
        <v>1</v>
      </c>
      <c r="H188" s="468">
        <f t="shared" si="60"/>
        <v>178</v>
      </c>
      <c r="I188" s="469" t="str">
        <f t="shared" ca="1" si="71"/>
        <v/>
      </c>
      <c r="J188" s="470" t="str">
        <f ca="1">IF(N(I188)&gt;0,VLOOKUP(I188,Hraci!$A$1:$I$1500,2,0),IF(TYPE(INDIRECT(ADDRESS(ROW() + $A$9-9 + (ROW()-11)*4,2,1,1,"Internet")))&gt;1,INDIRECT(ADDRESS(ROW() + $A$9-9 + (ROW()-11)*4,2,1,1,"Internet"))," "))</f>
        <v xml:space="preserve"> </v>
      </c>
      <c r="K188" s="471" t="str">
        <f ca="1">IF(N(I188)&gt;0,VLOOKUP(I188,Hraci!$A$1:$I$1500,3,0)," ")</f>
        <v xml:space="preserve"> </v>
      </c>
      <c r="L188" s="471" t="str">
        <f ca="1">IF(N(I188)&gt;0,VLOOKUP(I188,Hraci!$A$1:$I$1500,5,0),IF(TYPE(INDIRECT(ADDRESS(ROW() + $A$9-9 + (ROW()-11)*4,3,1,1,"Internet")))&gt;1,INDIRECT(ADDRESS(ROW() + $A$9-9 + (ROW()-11)*4,3,1,1,"Internet"))," "))</f>
        <v xml:space="preserve"> </v>
      </c>
      <c r="M188" s="472">
        <f ca="1">IF(N(I188)=0,9999,VLOOKUP(I188,Hraci!$A$1:$I$1500,8,0))</f>
        <v>9999</v>
      </c>
      <c r="N188" s="473">
        <f ca="1">IF(N(I188)=0,0,VLOOKUP(I188,Hraci!$A$1:$I$1500,9,0))</f>
        <v>0</v>
      </c>
      <c r="O188" s="469" t="str">
        <f t="shared" ca="1" si="72"/>
        <v/>
      </c>
      <c r="P188" s="470" t="str">
        <f ca="1">IF(N(O188)&gt;0,VLOOKUP(O188,Hraci!$A$1:$I$1500,2,0),IF(TYPE(INDIRECT(ADDRESS(ROW() + $A$9-8 + (ROW()-11)*4,2,1,1,"Internet")))&gt;1,INDIRECT(ADDRESS(ROW() + $A$9-8 + (ROW()-11)*4,2,1,1,"Internet"))," "))</f>
        <v xml:space="preserve"> </v>
      </c>
      <c r="Q188" s="471" t="str">
        <f ca="1">IF(N(O188)&gt;0,VLOOKUP(O188,Hraci!$A$1:$I$1500,3,0)," ")</f>
        <v xml:space="preserve"> </v>
      </c>
      <c r="R188" s="471" t="str">
        <f ca="1">IF(N(O188)&gt;0,VLOOKUP(O188,Hraci!$A$1:$I$1500,5,0),IF(TYPE(INDIRECT(ADDRESS(ROW() + $A$9-8 + (ROW()-11)*4,3,1,1,"Internet")))&gt;1,INDIRECT(ADDRESS(ROW() + $A$9-8 + (ROW()-11)*4,3,1,1,"Internet"))," "))</f>
        <v xml:space="preserve"> </v>
      </c>
      <c r="S188" s="472">
        <f ca="1">IF(N(O188)=0,9999,VLOOKUP(O188,Hraci!$A$1:$I$1500,8,0))</f>
        <v>9999</v>
      </c>
      <c r="T188" s="473">
        <f ca="1">IF(N(O188)=0,0,VLOOKUP(O188,Hraci!$A$1:$I$1500,9,0))</f>
        <v>0</v>
      </c>
      <c r="U188" s="469" t="str">
        <f t="shared" ca="1" si="73"/>
        <v/>
      </c>
      <c r="V188" s="470" t="str">
        <f ca="1">IF(N(U188)&gt;0,VLOOKUP(U188,Hraci!$A$1:$I$1500,2,0),IF(TYPE(INDIRECT(ADDRESS(ROW() + $A$9-7 + (ROW()-11)*4,2,1,1,"Internet")))&gt;1,INDIRECT(ADDRESS(ROW() + $A$9-7 + (ROW()-11)*4,2,1,1,"Internet"))," "))</f>
        <v xml:space="preserve"> </v>
      </c>
      <c r="W188" s="471" t="str">
        <f ca="1">IF(N(U188)&gt;0,VLOOKUP(U188,Hraci!$A$1:$I$1500,3,0)," ")</f>
        <v xml:space="preserve"> </v>
      </c>
      <c r="X188" s="471" t="str">
        <f ca="1">IF(N(U188)&gt;0,VLOOKUP(U188,Hraci!$A$1:$I$1500,5,0),IF(TYPE(INDIRECT(ADDRESS(ROW() + $A$9-7 + (ROW()-11)*4,3,1,1,"Internet")))&gt;1,INDIRECT(ADDRESS(ROW() + $A$9-7 + (ROW()-11)*4,3,1,1,"Internet"))," "))</f>
        <v xml:space="preserve"> </v>
      </c>
      <c r="Y188" s="472">
        <f ca="1">IF(N(U188)=0,9999,VLOOKUP(U188,Hraci!$A$1:$I$1500,8,0))</f>
        <v>9999</v>
      </c>
      <c r="Z188" s="473">
        <f ca="1">IF(N(U188)=0,0,VLOOKUP(U188,Hraci!$A$1:$I$1500,9,0))</f>
        <v>0</v>
      </c>
      <c r="AA188" s="469" t="str">
        <f t="shared" ca="1" si="74"/>
        <v/>
      </c>
      <c r="AB188" s="470" t="str">
        <f ca="1">IF(N(AA188)&gt;0,VLOOKUP(AA188,Hraci!$A$1:$I$1500,2,0)," ")</f>
        <v xml:space="preserve"> </v>
      </c>
      <c r="AC188" s="471" t="str">
        <f ca="1">IF(N(AA188)&gt;0,VLOOKUP(AA188,Hraci!$A$1:$I$1500,3,0)," ")</f>
        <v xml:space="preserve"> </v>
      </c>
      <c r="AD188" s="471" t="str">
        <f ca="1">IF(N(AA188)&gt;0,VLOOKUP(AA188,Hraci!$A$1:$I$1500,5,0)," ")</f>
        <v xml:space="preserve"> </v>
      </c>
      <c r="AE188" s="472">
        <f ca="1">IF(N(AA188)=0,9999,VLOOKUP(AA188,Hraci!$A$1:$I$1500,8,0))</f>
        <v>9999</v>
      </c>
      <c r="AF188" s="473">
        <f ca="1">IF(N(AA188)=0,0,VLOOKUP(AA188,Hraci!$A$1:$I$1500,9,0))</f>
        <v>0</v>
      </c>
      <c r="AG188" s="474"/>
      <c r="AH188" s="480">
        <f ca="1">IF(TYPE(VLOOKUP(H188,Nasazení!$A$3:$E$258,5,0))&lt;4,VLOOKUP(H188,Nasazení!$A$3:$E$258,5,0),0)</f>
        <v>0</v>
      </c>
      <c r="AI188" s="475" t="str">
        <f ca="1">IF(N($AH188)&gt;0,VLOOKUP($AH188,Body!$A$4:$F$259,5,0),"")</f>
        <v/>
      </c>
      <c r="AJ188" s="476" t="str">
        <f ca="1">IF(N($AH188)&gt;0,VLOOKUP($AH188,Body!$A$4:$F$259,6,0),"")</f>
        <v/>
      </c>
      <c r="AK188" s="475" t="str">
        <f ca="1">IF(N($AH188)&gt;0,VLOOKUP($AH188,Body!$A$4:$F$259,2,0),"")</f>
        <v/>
      </c>
      <c r="AL188" s="477" t="str">
        <f t="shared" ca="1" si="61"/>
        <v/>
      </c>
      <c r="AM188" s="478">
        <f t="shared" ca="1" si="62"/>
        <v>0</v>
      </c>
      <c r="AN188" s="408">
        <f ca="1">IF(OR(TYPE(I188)&gt;1,TYPE(MATCH(I188,I189:I$267,0))&gt;1),0,MATCH(I188,I189:I$267,0))+IF(OR(TYPE(I188)&gt;1,TYPE(MATCH(I188,O$11:O$267,0))&gt;1),0,MATCH(I188,O$11:O$267,0))+IF(OR(TYPE(I188)&gt;1,TYPE(MATCH(I188,U$11:U$267,0))&gt;1),0,MATCH(I188,U$11:U$267,0))+IF(OR(TYPE(I188)&gt;1,TYPE(MATCH(I188,AA$11:AA$267,0))&gt;1),0,MATCH(I188,AA$11:AA$267,0))</f>
        <v>0</v>
      </c>
      <c r="AO188" s="408">
        <f ca="1">IF(OR(TYPE(O188)&gt;1,TYPE(MATCH(O188,I$11:I$267,0))&gt;1),0,MATCH(O188,I$11:I$267,0))+IF(OR(TYPE(O188)&gt;1,TYPE(MATCH(O188,O189:O$267,0))&gt;1),0,MATCH(O188,O189:O$267,0))+IF(OR(TYPE(O188)&gt;1,TYPE(MATCH(O188,U$11:U$267,0))&gt;1),0,MATCH(O188,U$11:U$267,0))+IF(OR(TYPE(O188)&gt;1,TYPE(MATCH(O188,AA$11:AA$267,0))&gt;1),0,MATCH(O188,AA$11:AA$267,0))</f>
        <v>0</v>
      </c>
      <c r="AP188" s="408">
        <f ca="1">IF(OR(TYPE(U188)&gt;1,TYPE(MATCH(U188,I$11:I$267,0))&gt;1),0,MATCH(U188,I$11:I$267,0))+IF(OR(TYPE(U188)&gt;1,TYPE(MATCH(U188,O$11:O$267,0))&gt;1),0,MATCH(U188,O$11:O$267,0))+IF(OR(TYPE(U188)&gt;1,TYPE(MATCH(U188,U189:U$267,0))&gt;1),0,MATCH(U188,U189:U$267,0))+IF(OR(TYPE(U188)&gt;1,TYPE(MATCH(U188,AA$11:AA$267,0))&gt;1),0,MATCH(U188,AA$11:AA$267,0))</f>
        <v>0</v>
      </c>
      <c r="AQ188" s="408">
        <f ca="1">IF(OR(TYPE(AA188)&gt;1,TYPE(MATCH(AA188,I$11:I$267,0))&gt;1),0,MATCH(AA188,I$11:I$267,0))+IF(OR(TYPE(AA188)&gt;1,TYPE(MATCH(AA188,O$11:O$267,0))&gt;1),0,MATCH(AA188,O$11:O$267,0))+IF(OR(TYPE(AA188)&gt;1,TYPE(MATCH(AA188,U$11:U$267,0))&gt;1),0,MATCH(U188,U$11:U$267,0))+IF(OR(TYPE(AA188)&gt;1,TYPE(MATCH(AA188,AA189:AA$267,0))&gt;1),0,MATCH(AA188,AA189:AA$267,0))</f>
        <v>0</v>
      </c>
      <c r="AR188" s="408">
        <f t="shared" ca="1" si="75"/>
        <v>0</v>
      </c>
      <c r="BF188" s="408">
        <f t="shared" si="76"/>
        <v>178</v>
      </c>
    </row>
    <row r="189" spans="1:58" ht="14.25">
      <c r="A189" s="400">
        <f t="shared" ca="1" si="65"/>
        <v>0</v>
      </c>
      <c r="B189" s="400">
        <f t="shared" ca="1" si="66"/>
        <v>0</v>
      </c>
      <c r="C189" s="400">
        <f t="shared" ca="1" si="67"/>
        <v>0</v>
      </c>
      <c r="D189" s="400">
        <f t="shared" ca="1" si="68"/>
        <v>99999</v>
      </c>
      <c r="E189" s="430">
        <f t="shared" ca="1" si="69"/>
        <v>9999</v>
      </c>
      <c r="F189" s="431" t="str">
        <f t="shared" ca="1" si="63"/>
        <v>00000000000000000000797364</v>
      </c>
      <c r="G189" s="467" t="b">
        <f t="shared" ca="1" si="70"/>
        <v>1</v>
      </c>
      <c r="H189" s="468">
        <f t="shared" si="60"/>
        <v>179</v>
      </c>
      <c r="I189" s="469" t="str">
        <f t="shared" ca="1" si="71"/>
        <v/>
      </c>
      <c r="J189" s="470" t="str">
        <f ca="1">IF(N(I189)&gt;0,VLOOKUP(I189,Hraci!$A$1:$I$1500,2,0),IF(TYPE(INDIRECT(ADDRESS(ROW() + $A$9-9 + (ROW()-11)*4,2,1,1,"Internet")))&gt;1,INDIRECT(ADDRESS(ROW() + $A$9-9 + (ROW()-11)*4,2,1,1,"Internet"))," "))</f>
        <v xml:space="preserve"> </v>
      </c>
      <c r="K189" s="471" t="str">
        <f ca="1">IF(N(I189)&gt;0,VLOOKUP(I189,Hraci!$A$1:$I$1500,3,0)," ")</f>
        <v xml:space="preserve"> </v>
      </c>
      <c r="L189" s="471" t="str">
        <f ca="1">IF(N(I189)&gt;0,VLOOKUP(I189,Hraci!$A$1:$I$1500,5,0),IF(TYPE(INDIRECT(ADDRESS(ROW() + $A$9-9 + (ROW()-11)*4,3,1,1,"Internet")))&gt;1,INDIRECT(ADDRESS(ROW() + $A$9-9 + (ROW()-11)*4,3,1,1,"Internet"))," "))</f>
        <v xml:space="preserve"> </v>
      </c>
      <c r="M189" s="472">
        <f ca="1">IF(N(I189)=0,9999,VLOOKUP(I189,Hraci!$A$1:$I$1500,8,0))</f>
        <v>9999</v>
      </c>
      <c r="N189" s="473">
        <f ca="1">IF(N(I189)=0,0,VLOOKUP(I189,Hraci!$A$1:$I$1500,9,0))</f>
        <v>0</v>
      </c>
      <c r="O189" s="469" t="str">
        <f t="shared" ca="1" si="72"/>
        <v/>
      </c>
      <c r="P189" s="470" t="str">
        <f ca="1">IF(N(O189)&gt;0,VLOOKUP(O189,Hraci!$A$1:$I$1500,2,0),IF(TYPE(INDIRECT(ADDRESS(ROW() + $A$9-8 + (ROW()-11)*4,2,1,1,"Internet")))&gt;1,INDIRECT(ADDRESS(ROW() + $A$9-8 + (ROW()-11)*4,2,1,1,"Internet"))," "))</f>
        <v xml:space="preserve"> </v>
      </c>
      <c r="Q189" s="471" t="str">
        <f ca="1">IF(N(O189)&gt;0,VLOOKUP(O189,Hraci!$A$1:$I$1500,3,0)," ")</f>
        <v xml:space="preserve"> </v>
      </c>
      <c r="R189" s="471" t="str">
        <f ca="1">IF(N(O189)&gt;0,VLOOKUP(O189,Hraci!$A$1:$I$1500,5,0),IF(TYPE(INDIRECT(ADDRESS(ROW() + $A$9-8 + (ROW()-11)*4,3,1,1,"Internet")))&gt;1,INDIRECT(ADDRESS(ROW() + $A$9-8 + (ROW()-11)*4,3,1,1,"Internet"))," "))</f>
        <v xml:space="preserve"> </v>
      </c>
      <c r="S189" s="472">
        <f ca="1">IF(N(O189)=0,9999,VLOOKUP(O189,Hraci!$A$1:$I$1500,8,0))</f>
        <v>9999</v>
      </c>
      <c r="T189" s="473">
        <f ca="1">IF(N(O189)=0,0,VLOOKUP(O189,Hraci!$A$1:$I$1500,9,0))</f>
        <v>0</v>
      </c>
      <c r="U189" s="469" t="str">
        <f t="shared" ca="1" si="73"/>
        <v/>
      </c>
      <c r="V189" s="470" t="str">
        <f ca="1">IF(N(U189)&gt;0,VLOOKUP(U189,Hraci!$A$1:$I$1500,2,0),IF(TYPE(INDIRECT(ADDRESS(ROW() + $A$9-7 + (ROW()-11)*4,2,1,1,"Internet")))&gt;1,INDIRECT(ADDRESS(ROW() + $A$9-7 + (ROW()-11)*4,2,1,1,"Internet"))," "))</f>
        <v xml:space="preserve"> </v>
      </c>
      <c r="W189" s="471" t="str">
        <f ca="1">IF(N(U189)&gt;0,VLOOKUP(U189,Hraci!$A$1:$I$1500,3,0)," ")</f>
        <v xml:space="preserve"> </v>
      </c>
      <c r="X189" s="471" t="str">
        <f ca="1">IF(N(U189)&gt;0,VLOOKUP(U189,Hraci!$A$1:$I$1500,5,0),IF(TYPE(INDIRECT(ADDRESS(ROW() + $A$9-7 + (ROW()-11)*4,3,1,1,"Internet")))&gt;1,INDIRECT(ADDRESS(ROW() + $A$9-7 + (ROW()-11)*4,3,1,1,"Internet"))," "))</f>
        <v xml:space="preserve"> </v>
      </c>
      <c r="Y189" s="472">
        <f ca="1">IF(N(U189)=0,9999,VLOOKUP(U189,Hraci!$A$1:$I$1500,8,0))</f>
        <v>9999</v>
      </c>
      <c r="Z189" s="473">
        <f ca="1">IF(N(U189)=0,0,VLOOKUP(U189,Hraci!$A$1:$I$1500,9,0))</f>
        <v>0</v>
      </c>
      <c r="AA189" s="469" t="str">
        <f t="shared" ca="1" si="74"/>
        <v/>
      </c>
      <c r="AB189" s="470" t="str">
        <f ca="1">IF(N(AA189)&gt;0,VLOOKUP(AA189,Hraci!$A$1:$I$1500,2,0)," ")</f>
        <v xml:space="preserve"> </v>
      </c>
      <c r="AC189" s="471" t="str">
        <f ca="1">IF(N(AA189)&gt;0,VLOOKUP(AA189,Hraci!$A$1:$I$1500,3,0)," ")</f>
        <v xml:space="preserve"> </v>
      </c>
      <c r="AD189" s="471" t="str">
        <f ca="1">IF(N(AA189)&gt;0,VLOOKUP(AA189,Hraci!$A$1:$I$1500,5,0)," ")</f>
        <v xml:space="preserve"> </v>
      </c>
      <c r="AE189" s="472">
        <f ca="1">IF(N(AA189)=0,9999,VLOOKUP(AA189,Hraci!$A$1:$I$1500,8,0))</f>
        <v>9999</v>
      </c>
      <c r="AF189" s="473">
        <f ca="1">IF(N(AA189)=0,0,VLOOKUP(AA189,Hraci!$A$1:$I$1500,9,0))</f>
        <v>0</v>
      </c>
      <c r="AG189" s="474"/>
      <c r="AH189" s="480">
        <f ca="1">IF(TYPE(VLOOKUP(H189,Nasazení!$A$3:$E$258,5,0))&lt;4,VLOOKUP(H189,Nasazení!$A$3:$E$258,5,0),0)</f>
        <v>0</v>
      </c>
      <c r="AI189" s="475" t="str">
        <f ca="1">IF(N($AH189)&gt;0,VLOOKUP($AH189,Body!$A$4:$F$259,5,0),"")</f>
        <v/>
      </c>
      <c r="AJ189" s="476" t="str">
        <f ca="1">IF(N($AH189)&gt;0,VLOOKUP($AH189,Body!$A$4:$F$259,6,0),"")</f>
        <v/>
      </c>
      <c r="AK189" s="475" t="str">
        <f ca="1">IF(N($AH189)&gt;0,VLOOKUP($AH189,Body!$A$4:$F$259,2,0),"")</f>
        <v/>
      </c>
      <c r="AL189" s="477" t="str">
        <f t="shared" ca="1" si="61"/>
        <v/>
      </c>
      <c r="AM189" s="478">
        <f t="shared" ca="1" si="62"/>
        <v>0</v>
      </c>
      <c r="AN189" s="408">
        <f ca="1">IF(OR(TYPE(I189)&gt;1,TYPE(MATCH(I189,I190:I$267,0))&gt;1),0,MATCH(I189,I190:I$267,0))+IF(OR(TYPE(I189)&gt;1,TYPE(MATCH(I189,O$11:O$267,0))&gt;1),0,MATCH(I189,O$11:O$267,0))+IF(OR(TYPE(I189)&gt;1,TYPE(MATCH(I189,U$11:U$267,0))&gt;1),0,MATCH(I189,U$11:U$267,0))+IF(OR(TYPE(I189)&gt;1,TYPE(MATCH(I189,AA$11:AA$267,0))&gt;1),0,MATCH(I189,AA$11:AA$267,0))</f>
        <v>0</v>
      </c>
      <c r="AO189" s="408">
        <f ca="1">IF(OR(TYPE(O189)&gt;1,TYPE(MATCH(O189,I$11:I$267,0))&gt;1),0,MATCH(O189,I$11:I$267,0))+IF(OR(TYPE(O189)&gt;1,TYPE(MATCH(O189,O190:O$267,0))&gt;1),0,MATCH(O189,O190:O$267,0))+IF(OR(TYPE(O189)&gt;1,TYPE(MATCH(O189,U$11:U$267,0))&gt;1),0,MATCH(O189,U$11:U$267,0))+IF(OR(TYPE(O189)&gt;1,TYPE(MATCH(O189,AA$11:AA$267,0))&gt;1),0,MATCH(O189,AA$11:AA$267,0))</f>
        <v>0</v>
      </c>
      <c r="AP189" s="408">
        <f ca="1">IF(OR(TYPE(U189)&gt;1,TYPE(MATCH(U189,I$11:I$267,0))&gt;1),0,MATCH(U189,I$11:I$267,0))+IF(OR(TYPE(U189)&gt;1,TYPE(MATCH(U189,O$11:O$267,0))&gt;1),0,MATCH(U189,O$11:O$267,0))+IF(OR(TYPE(U189)&gt;1,TYPE(MATCH(U189,U190:U$267,0))&gt;1),0,MATCH(U189,U190:U$267,0))+IF(OR(TYPE(U189)&gt;1,TYPE(MATCH(U189,AA$11:AA$267,0))&gt;1),0,MATCH(U189,AA$11:AA$267,0))</f>
        <v>0</v>
      </c>
      <c r="AQ189" s="408">
        <f ca="1">IF(OR(TYPE(AA189)&gt;1,TYPE(MATCH(AA189,I$11:I$267,0))&gt;1),0,MATCH(AA189,I$11:I$267,0))+IF(OR(TYPE(AA189)&gt;1,TYPE(MATCH(AA189,O$11:O$267,0))&gt;1),0,MATCH(AA189,O$11:O$267,0))+IF(OR(TYPE(AA189)&gt;1,TYPE(MATCH(AA189,U$11:U$267,0))&gt;1),0,MATCH(U189,U$11:U$267,0))+IF(OR(TYPE(AA189)&gt;1,TYPE(MATCH(AA189,AA190:AA$267,0))&gt;1),0,MATCH(AA189,AA190:AA$267,0))</f>
        <v>0</v>
      </c>
      <c r="AR189" s="408">
        <f t="shared" ca="1" si="75"/>
        <v>0</v>
      </c>
      <c r="BF189" s="408">
        <f t="shared" si="76"/>
        <v>179</v>
      </c>
    </row>
    <row r="190" spans="1:58" ht="14.25">
      <c r="A190" s="430">
        <f t="shared" ca="1" si="65"/>
        <v>0</v>
      </c>
      <c r="B190" s="430">
        <f t="shared" ca="1" si="66"/>
        <v>0</v>
      </c>
      <c r="C190" s="430">
        <f t="shared" ca="1" si="67"/>
        <v>0</v>
      </c>
      <c r="D190" s="430">
        <f t="shared" ca="1" si="68"/>
        <v>99999</v>
      </c>
      <c r="E190" s="430">
        <f t="shared" ca="1" si="69"/>
        <v>9999</v>
      </c>
      <c r="F190" s="431" t="str">
        <f t="shared" ca="1" si="63"/>
        <v>00000000000000000000425818</v>
      </c>
      <c r="G190" s="467" t="b">
        <f t="shared" ca="1" si="70"/>
        <v>1</v>
      </c>
      <c r="H190" s="468">
        <f t="shared" si="60"/>
        <v>180</v>
      </c>
      <c r="I190" s="469" t="str">
        <f t="shared" ca="1" si="71"/>
        <v/>
      </c>
      <c r="J190" s="470" t="str">
        <f ca="1">IF(N(I190)&gt;0,VLOOKUP(I190,Hraci!$A$1:$I$1500,2,0),IF(TYPE(INDIRECT(ADDRESS(ROW() + $A$9-9 + (ROW()-11)*4,2,1,1,"Internet")))&gt;1,INDIRECT(ADDRESS(ROW() + $A$9-9 + (ROW()-11)*4,2,1,1,"Internet"))," "))</f>
        <v xml:space="preserve"> </v>
      </c>
      <c r="K190" s="471" t="str">
        <f ca="1">IF(N(I190)&gt;0,VLOOKUP(I190,Hraci!$A$1:$I$1500,3,0)," ")</f>
        <v xml:space="preserve"> </v>
      </c>
      <c r="L190" s="471" t="str">
        <f ca="1">IF(N(I190)&gt;0,VLOOKUP(I190,Hraci!$A$1:$I$1500,5,0),IF(TYPE(INDIRECT(ADDRESS(ROW() + $A$9-9 + (ROW()-11)*4,3,1,1,"Internet")))&gt;1,INDIRECT(ADDRESS(ROW() + $A$9-9 + (ROW()-11)*4,3,1,1,"Internet"))," "))</f>
        <v xml:space="preserve"> </v>
      </c>
      <c r="M190" s="472">
        <f ca="1">IF(N(I190)=0,9999,VLOOKUP(I190,Hraci!$A$1:$I$1500,8,0))</f>
        <v>9999</v>
      </c>
      <c r="N190" s="473">
        <f ca="1">IF(N(I190)=0,0,VLOOKUP(I190,Hraci!$A$1:$I$1500,9,0))</f>
        <v>0</v>
      </c>
      <c r="O190" s="469" t="str">
        <f t="shared" ca="1" si="72"/>
        <v/>
      </c>
      <c r="P190" s="470" t="str">
        <f ca="1">IF(N(O190)&gt;0,VLOOKUP(O190,Hraci!$A$1:$I$1500,2,0),IF(TYPE(INDIRECT(ADDRESS(ROW() + $A$9-8 + (ROW()-11)*4,2,1,1,"Internet")))&gt;1,INDIRECT(ADDRESS(ROW() + $A$9-8 + (ROW()-11)*4,2,1,1,"Internet"))," "))</f>
        <v xml:space="preserve"> </v>
      </c>
      <c r="Q190" s="471" t="str">
        <f ca="1">IF(N(O190)&gt;0,VLOOKUP(O190,Hraci!$A$1:$I$1500,3,0)," ")</f>
        <v xml:space="preserve"> </v>
      </c>
      <c r="R190" s="471" t="str">
        <f ca="1">IF(N(O190)&gt;0,VLOOKUP(O190,Hraci!$A$1:$I$1500,5,0),IF(TYPE(INDIRECT(ADDRESS(ROW() + $A$9-8 + (ROW()-11)*4,3,1,1,"Internet")))&gt;1,INDIRECT(ADDRESS(ROW() + $A$9-8 + (ROW()-11)*4,3,1,1,"Internet"))," "))</f>
        <v xml:space="preserve"> </v>
      </c>
      <c r="S190" s="472">
        <f ca="1">IF(N(O190)=0,9999,VLOOKUP(O190,Hraci!$A$1:$I$1500,8,0))</f>
        <v>9999</v>
      </c>
      <c r="T190" s="473">
        <f ca="1">IF(N(O190)=0,0,VLOOKUP(O190,Hraci!$A$1:$I$1500,9,0))</f>
        <v>0</v>
      </c>
      <c r="U190" s="469" t="str">
        <f t="shared" ca="1" si="73"/>
        <v/>
      </c>
      <c r="V190" s="470" t="str">
        <f ca="1">IF(N(U190)&gt;0,VLOOKUP(U190,Hraci!$A$1:$I$1500,2,0),IF(TYPE(INDIRECT(ADDRESS(ROW() + $A$9-7 + (ROW()-11)*4,2,1,1,"Internet")))&gt;1,INDIRECT(ADDRESS(ROW() + $A$9-7 + (ROW()-11)*4,2,1,1,"Internet"))," "))</f>
        <v xml:space="preserve"> </v>
      </c>
      <c r="W190" s="471" t="str">
        <f ca="1">IF(N(U190)&gt;0,VLOOKUP(U190,Hraci!$A$1:$I$1500,3,0)," ")</f>
        <v xml:space="preserve"> </v>
      </c>
      <c r="X190" s="471" t="str">
        <f ca="1">IF(N(U190)&gt;0,VLOOKUP(U190,Hraci!$A$1:$I$1500,5,0),IF(TYPE(INDIRECT(ADDRESS(ROW() + $A$9-7 + (ROW()-11)*4,3,1,1,"Internet")))&gt;1,INDIRECT(ADDRESS(ROW() + $A$9-7 + (ROW()-11)*4,3,1,1,"Internet"))," "))</f>
        <v xml:space="preserve"> </v>
      </c>
      <c r="Y190" s="472">
        <f ca="1">IF(N(U190)=0,9999,VLOOKUP(U190,Hraci!$A$1:$I$1500,8,0))</f>
        <v>9999</v>
      </c>
      <c r="Z190" s="473">
        <f ca="1">IF(N(U190)=0,0,VLOOKUP(U190,Hraci!$A$1:$I$1500,9,0))</f>
        <v>0</v>
      </c>
      <c r="AA190" s="469" t="str">
        <f t="shared" ca="1" si="74"/>
        <v/>
      </c>
      <c r="AB190" s="470" t="str">
        <f ca="1">IF(N(AA190)&gt;0,VLOOKUP(AA190,Hraci!$A$1:$I$1500,2,0)," ")</f>
        <v xml:space="preserve"> </v>
      </c>
      <c r="AC190" s="471" t="str">
        <f ca="1">IF(N(AA190)&gt;0,VLOOKUP(AA190,Hraci!$A$1:$I$1500,3,0)," ")</f>
        <v xml:space="preserve"> </v>
      </c>
      <c r="AD190" s="471" t="str">
        <f ca="1">IF(N(AA190)&gt;0,VLOOKUP(AA190,Hraci!$A$1:$I$1500,5,0)," ")</f>
        <v xml:space="preserve"> </v>
      </c>
      <c r="AE190" s="472">
        <f ca="1">IF(N(AA190)=0,9999,VLOOKUP(AA190,Hraci!$A$1:$I$1500,8,0))</f>
        <v>9999</v>
      </c>
      <c r="AF190" s="473">
        <f ca="1">IF(N(AA190)=0,0,VLOOKUP(AA190,Hraci!$A$1:$I$1500,9,0))</f>
        <v>0</v>
      </c>
      <c r="AG190" s="474"/>
      <c r="AH190" s="480">
        <f ca="1">IF(TYPE(VLOOKUP(H190,Nasazení!$A$3:$E$258,5,0))&lt;4,VLOOKUP(H190,Nasazení!$A$3:$E$258,5,0),0)</f>
        <v>0</v>
      </c>
      <c r="AI190" s="475" t="str">
        <f ca="1">IF(N($AH190)&gt;0,VLOOKUP($AH190,Body!$A$4:$F$259,5,0),"")</f>
        <v/>
      </c>
      <c r="AJ190" s="476" t="str">
        <f ca="1">IF(N($AH190)&gt;0,VLOOKUP($AH190,Body!$A$4:$F$259,6,0),"")</f>
        <v/>
      </c>
      <c r="AK190" s="475" t="str">
        <f ca="1">IF(N($AH190)&gt;0,VLOOKUP($AH190,Body!$A$4:$F$259,2,0),"")</f>
        <v/>
      </c>
      <c r="AL190" s="477" t="str">
        <f t="shared" ca="1" si="61"/>
        <v/>
      </c>
      <c r="AM190" s="478">
        <f t="shared" ca="1" si="62"/>
        <v>0</v>
      </c>
      <c r="AN190" s="408">
        <f ca="1">IF(OR(TYPE(I190)&gt;1,TYPE(MATCH(I190,I191:I$267,0))&gt;1),0,MATCH(I190,I191:I$267,0))+IF(OR(TYPE(I190)&gt;1,TYPE(MATCH(I190,O$11:O$267,0))&gt;1),0,MATCH(I190,O$11:O$267,0))+IF(OR(TYPE(I190)&gt;1,TYPE(MATCH(I190,U$11:U$267,0))&gt;1),0,MATCH(I190,U$11:U$267,0))+IF(OR(TYPE(I190)&gt;1,TYPE(MATCH(I190,AA$11:AA$267,0))&gt;1),0,MATCH(I190,AA$11:AA$267,0))</f>
        <v>0</v>
      </c>
      <c r="AO190" s="408">
        <f ca="1">IF(OR(TYPE(O190)&gt;1,TYPE(MATCH(O190,I$11:I$267,0))&gt;1),0,MATCH(O190,I$11:I$267,0))+IF(OR(TYPE(O190)&gt;1,TYPE(MATCH(O190,O191:O$267,0))&gt;1),0,MATCH(O190,O191:O$267,0))+IF(OR(TYPE(O190)&gt;1,TYPE(MATCH(O190,U$11:U$267,0))&gt;1),0,MATCH(O190,U$11:U$267,0))+IF(OR(TYPE(O190)&gt;1,TYPE(MATCH(O190,AA$11:AA$267,0))&gt;1),0,MATCH(O190,AA$11:AA$267,0))</f>
        <v>0</v>
      </c>
      <c r="AP190" s="408">
        <f ca="1">IF(OR(TYPE(U190)&gt;1,TYPE(MATCH(U190,I$11:I$267,0))&gt;1),0,MATCH(U190,I$11:I$267,0))+IF(OR(TYPE(U190)&gt;1,TYPE(MATCH(U190,O$11:O$267,0))&gt;1),0,MATCH(U190,O$11:O$267,0))+IF(OR(TYPE(U190)&gt;1,TYPE(MATCH(U190,U191:U$267,0))&gt;1),0,MATCH(U190,U191:U$267,0))+IF(OR(TYPE(U190)&gt;1,TYPE(MATCH(U190,AA$11:AA$267,0))&gt;1),0,MATCH(U190,AA$11:AA$267,0))</f>
        <v>0</v>
      </c>
      <c r="AQ190" s="408">
        <f ca="1">IF(OR(TYPE(AA190)&gt;1,TYPE(MATCH(AA190,I$11:I$267,0))&gt;1),0,MATCH(AA190,I$11:I$267,0))+IF(OR(TYPE(AA190)&gt;1,TYPE(MATCH(AA190,O$11:O$267,0))&gt;1),0,MATCH(AA190,O$11:O$267,0))+IF(OR(TYPE(AA190)&gt;1,TYPE(MATCH(AA190,U$11:U$267,0))&gt;1),0,MATCH(U190,U$11:U$267,0))+IF(OR(TYPE(AA190)&gt;1,TYPE(MATCH(AA190,AA191:AA$267,0))&gt;1),0,MATCH(AA190,AA191:AA$267,0))</f>
        <v>0</v>
      </c>
      <c r="AR190" s="408">
        <f t="shared" ca="1" si="75"/>
        <v>0</v>
      </c>
      <c r="BF190" s="408">
        <f t="shared" si="76"/>
        <v>180</v>
      </c>
    </row>
    <row r="191" spans="1:58" ht="14.25">
      <c r="A191" s="430">
        <f t="shared" ca="1" si="65"/>
        <v>0</v>
      </c>
      <c r="B191" s="430">
        <f t="shared" ca="1" si="66"/>
        <v>0</v>
      </c>
      <c r="C191" s="430">
        <f t="shared" ca="1" si="67"/>
        <v>0</v>
      </c>
      <c r="D191" s="430">
        <f t="shared" ca="1" si="68"/>
        <v>99999</v>
      </c>
      <c r="E191" s="430">
        <f t="shared" ca="1" si="69"/>
        <v>9999</v>
      </c>
      <c r="F191" s="431" t="str">
        <f t="shared" ca="1" si="63"/>
        <v>00000000000000000000521047</v>
      </c>
      <c r="G191" s="467" t="b">
        <f t="shared" ca="1" si="70"/>
        <v>1</v>
      </c>
      <c r="H191" s="468">
        <f t="shared" si="60"/>
        <v>181</v>
      </c>
      <c r="I191" s="469" t="str">
        <f t="shared" ca="1" si="71"/>
        <v/>
      </c>
      <c r="J191" s="470" t="str">
        <f ca="1">IF(N(I191)&gt;0,VLOOKUP(I191,Hraci!$A$1:$I$1500,2,0),IF(TYPE(INDIRECT(ADDRESS(ROW() + $A$9-9 + (ROW()-11)*4,2,1,1,"Internet")))&gt;1,INDIRECT(ADDRESS(ROW() + $A$9-9 + (ROW()-11)*4,2,1,1,"Internet"))," "))</f>
        <v xml:space="preserve"> </v>
      </c>
      <c r="K191" s="471" t="str">
        <f ca="1">IF(N(I191)&gt;0,VLOOKUP(I191,Hraci!$A$1:$I$1500,3,0)," ")</f>
        <v xml:space="preserve"> </v>
      </c>
      <c r="L191" s="471" t="str">
        <f ca="1">IF(N(I191)&gt;0,VLOOKUP(I191,Hraci!$A$1:$I$1500,5,0),IF(TYPE(INDIRECT(ADDRESS(ROW() + $A$9-9 + (ROW()-11)*4,3,1,1,"Internet")))&gt;1,INDIRECT(ADDRESS(ROW() + $A$9-9 + (ROW()-11)*4,3,1,1,"Internet"))," "))</f>
        <v xml:space="preserve"> </v>
      </c>
      <c r="M191" s="472">
        <f ca="1">IF(N(I191)=0,9999,VLOOKUP(I191,Hraci!$A$1:$I$1500,8,0))</f>
        <v>9999</v>
      </c>
      <c r="N191" s="473">
        <f ca="1">IF(N(I191)=0,0,VLOOKUP(I191,Hraci!$A$1:$I$1500,9,0))</f>
        <v>0</v>
      </c>
      <c r="O191" s="469" t="str">
        <f t="shared" ca="1" si="72"/>
        <v/>
      </c>
      <c r="P191" s="470" t="str">
        <f ca="1">IF(N(O191)&gt;0,VLOOKUP(O191,Hraci!$A$1:$I$1500,2,0),IF(TYPE(INDIRECT(ADDRESS(ROW() + $A$9-8 + (ROW()-11)*4,2,1,1,"Internet")))&gt;1,INDIRECT(ADDRESS(ROW() + $A$9-8 + (ROW()-11)*4,2,1,1,"Internet"))," "))</f>
        <v xml:space="preserve"> </v>
      </c>
      <c r="Q191" s="471" t="str">
        <f ca="1">IF(N(O191)&gt;0,VLOOKUP(O191,Hraci!$A$1:$I$1500,3,0)," ")</f>
        <v xml:space="preserve"> </v>
      </c>
      <c r="R191" s="471" t="str">
        <f ca="1">IF(N(O191)&gt;0,VLOOKUP(O191,Hraci!$A$1:$I$1500,5,0),IF(TYPE(INDIRECT(ADDRESS(ROW() + $A$9-8 + (ROW()-11)*4,3,1,1,"Internet")))&gt;1,INDIRECT(ADDRESS(ROW() + $A$9-8 + (ROW()-11)*4,3,1,1,"Internet"))," "))</f>
        <v xml:space="preserve"> </v>
      </c>
      <c r="S191" s="472">
        <f ca="1">IF(N(O191)=0,9999,VLOOKUP(O191,Hraci!$A$1:$I$1500,8,0))</f>
        <v>9999</v>
      </c>
      <c r="T191" s="473">
        <f ca="1">IF(N(O191)=0,0,VLOOKUP(O191,Hraci!$A$1:$I$1500,9,0))</f>
        <v>0</v>
      </c>
      <c r="U191" s="469" t="str">
        <f t="shared" ca="1" si="73"/>
        <v/>
      </c>
      <c r="V191" s="470" t="str">
        <f ca="1">IF(N(U191)&gt;0,VLOOKUP(U191,Hraci!$A$1:$I$1500,2,0),IF(TYPE(INDIRECT(ADDRESS(ROW() + $A$9-7 + (ROW()-11)*4,2,1,1,"Internet")))&gt;1,INDIRECT(ADDRESS(ROW() + $A$9-7 + (ROW()-11)*4,2,1,1,"Internet"))," "))</f>
        <v xml:space="preserve"> </v>
      </c>
      <c r="W191" s="471" t="str">
        <f ca="1">IF(N(U191)&gt;0,VLOOKUP(U191,Hraci!$A$1:$I$1500,3,0)," ")</f>
        <v xml:space="preserve"> </v>
      </c>
      <c r="X191" s="471" t="str">
        <f ca="1">IF(N(U191)&gt;0,VLOOKUP(U191,Hraci!$A$1:$I$1500,5,0),IF(TYPE(INDIRECT(ADDRESS(ROW() + $A$9-7 + (ROW()-11)*4,3,1,1,"Internet")))&gt;1,INDIRECT(ADDRESS(ROW() + $A$9-7 + (ROW()-11)*4,3,1,1,"Internet"))," "))</f>
        <v xml:space="preserve"> </v>
      </c>
      <c r="Y191" s="472">
        <f ca="1">IF(N(U191)=0,9999,VLOOKUP(U191,Hraci!$A$1:$I$1500,8,0))</f>
        <v>9999</v>
      </c>
      <c r="Z191" s="473">
        <f ca="1">IF(N(U191)=0,0,VLOOKUP(U191,Hraci!$A$1:$I$1500,9,0))</f>
        <v>0</v>
      </c>
      <c r="AA191" s="469" t="str">
        <f t="shared" ca="1" si="74"/>
        <v/>
      </c>
      <c r="AB191" s="470" t="str">
        <f ca="1">IF(N(AA191)&gt;0,VLOOKUP(AA191,Hraci!$A$1:$I$1500,2,0)," ")</f>
        <v xml:space="preserve"> </v>
      </c>
      <c r="AC191" s="471" t="str">
        <f ca="1">IF(N(AA191)&gt;0,VLOOKUP(AA191,Hraci!$A$1:$I$1500,3,0)," ")</f>
        <v xml:space="preserve"> </v>
      </c>
      <c r="AD191" s="471" t="str">
        <f ca="1">IF(N(AA191)&gt;0,VLOOKUP(AA191,Hraci!$A$1:$I$1500,5,0)," ")</f>
        <v xml:space="preserve"> </v>
      </c>
      <c r="AE191" s="472">
        <f ca="1">IF(N(AA191)=0,9999,VLOOKUP(AA191,Hraci!$A$1:$I$1500,8,0))</f>
        <v>9999</v>
      </c>
      <c r="AF191" s="473">
        <f ca="1">IF(N(AA191)=0,0,VLOOKUP(AA191,Hraci!$A$1:$I$1500,9,0))</f>
        <v>0</v>
      </c>
      <c r="AG191" s="474"/>
      <c r="AH191" s="480">
        <f ca="1">IF(TYPE(VLOOKUP(H191,Nasazení!$A$3:$E$258,5,0))&lt;4,VLOOKUP(H191,Nasazení!$A$3:$E$258,5,0),0)</f>
        <v>0</v>
      </c>
      <c r="AI191" s="475" t="str">
        <f ca="1">IF(N($AH191)&gt;0,VLOOKUP($AH191,Body!$A$4:$F$259,5,0),"")</f>
        <v/>
      </c>
      <c r="AJ191" s="476" t="str">
        <f ca="1">IF(N($AH191)&gt;0,VLOOKUP($AH191,Body!$A$4:$F$259,6,0),"")</f>
        <v/>
      </c>
      <c r="AK191" s="475" t="str">
        <f ca="1">IF(N($AH191)&gt;0,VLOOKUP($AH191,Body!$A$4:$F$259,2,0),"")</f>
        <v/>
      </c>
      <c r="AL191" s="477" t="str">
        <f t="shared" ca="1" si="61"/>
        <v/>
      </c>
      <c r="AM191" s="478">
        <f t="shared" ca="1" si="62"/>
        <v>0</v>
      </c>
      <c r="AN191" s="408">
        <f ca="1">IF(OR(TYPE(I191)&gt;1,TYPE(MATCH(I191,I192:I$267,0))&gt;1),0,MATCH(I191,I192:I$267,0))+IF(OR(TYPE(I191)&gt;1,TYPE(MATCH(I191,O$11:O$267,0))&gt;1),0,MATCH(I191,O$11:O$267,0))+IF(OR(TYPE(I191)&gt;1,TYPE(MATCH(I191,U$11:U$267,0))&gt;1),0,MATCH(I191,U$11:U$267,0))+IF(OR(TYPE(I191)&gt;1,TYPE(MATCH(I191,AA$11:AA$267,0))&gt;1),0,MATCH(I191,AA$11:AA$267,0))</f>
        <v>0</v>
      </c>
      <c r="AO191" s="408">
        <f ca="1">IF(OR(TYPE(O191)&gt;1,TYPE(MATCH(O191,I$11:I$267,0))&gt;1),0,MATCH(O191,I$11:I$267,0))+IF(OR(TYPE(O191)&gt;1,TYPE(MATCH(O191,O192:O$267,0))&gt;1),0,MATCH(O191,O192:O$267,0))+IF(OR(TYPE(O191)&gt;1,TYPE(MATCH(O191,U$11:U$267,0))&gt;1),0,MATCH(O191,U$11:U$267,0))+IF(OR(TYPE(O191)&gt;1,TYPE(MATCH(O191,AA$11:AA$267,0))&gt;1),0,MATCH(O191,AA$11:AA$267,0))</f>
        <v>0</v>
      </c>
      <c r="AP191" s="408">
        <f ca="1">IF(OR(TYPE(U191)&gt;1,TYPE(MATCH(U191,I$11:I$267,0))&gt;1),0,MATCH(U191,I$11:I$267,0))+IF(OR(TYPE(U191)&gt;1,TYPE(MATCH(U191,O$11:O$267,0))&gt;1),0,MATCH(U191,O$11:O$267,0))+IF(OR(TYPE(U191)&gt;1,TYPE(MATCH(U191,U192:U$267,0))&gt;1),0,MATCH(U191,U192:U$267,0))+IF(OR(TYPE(U191)&gt;1,TYPE(MATCH(U191,AA$11:AA$267,0))&gt;1),0,MATCH(U191,AA$11:AA$267,0))</f>
        <v>0</v>
      </c>
      <c r="AQ191" s="408">
        <f ca="1">IF(OR(TYPE(AA191)&gt;1,TYPE(MATCH(AA191,I$11:I$267,0))&gt;1),0,MATCH(AA191,I$11:I$267,0))+IF(OR(TYPE(AA191)&gt;1,TYPE(MATCH(AA191,O$11:O$267,0))&gt;1),0,MATCH(AA191,O$11:O$267,0))+IF(OR(TYPE(AA191)&gt;1,TYPE(MATCH(AA191,U$11:U$267,0))&gt;1),0,MATCH(U191,U$11:U$267,0))+IF(OR(TYPE(AA191)&gt;1,TYPE(MATCH(AA191,AA192:AA$267,0))&gt;1),0,MATCH(AA191,AA192:AA$267,0))</f>
        <v>0</v>
      </c>
      <c r="AR191" s="408">
        <f t="shared" ca="1" si="75"/>
        <v>0</v>
      </c>
      <c r="BF191" s="408">
        <f t="shared" si="76"/>
        <v>181</v>
      </c>
    </row>
    <row r="192" spans="1:58" ht="14.25">
      <c r="A192" s="430">
        <f t="shared" ca="1" si="65"/>
        <v>0</v>
      </c>
      <c r="B192" s="430">
        <f t="shared" ca="1" si="66"/>
        <v>0</v>
      </c>
      <c r="C192" s="430">
        <f t="shared" ca="1" si="67"/>
        <v>0</v>
      </c>
      <c r="D192" s="430">
        <f t="shared" ca="1" si="68"/>
        <v>99999</v>
      </c>
      <c r="E192" s="430">
        <f t="shared" ca="1" si="69"/>
        <v>9999</v>
      </c>
      <c r="F192" s="431" t="str">
        <f t="shared" ca="1" si="63"/>
        <v>00000000000000000000779719</v>
      </c>
      <c r="G192" s="467" t="b">
        <f t="shared" ca="1" si="70"/>
        <v>1</v>
      </c>
      <c r="H192" s="468">
        <f t="shared" si="60"/>
        <v>182</v>
      </c>
      <c r="I192" s="469" t="str">
        <f t="shared" ca="1" si="71"/>
        <v/>
      </c>
      <c r="J192" s="470" t="str">
        <f ca="1">IF(N(I192)&gt;0,VLOOKUP(I192,Hraci!$A$1:$I$1500,2,0),IF(TYPE(INDIRECT(ADDRESS(ROW() + $A$9-9 + (ROW()-11)*4,2,1,1,"Internet")))&gt;1,INDIRECT(ADDRESS(ROW() + $A$9-9 + (ROW()-11)*4,2,1,1,"Internet"))," "))</f>
        <v xml:space="preserve"> </v>
      </c>
      <c r="K192" s="471" t="str">
        <f ca="1">IF(N(I192)&gt;0,VLOOKUP(I192,Hraci!$A$1:$I$1500,3,0)," ")</f>
        <v xml:space="preserve"> </v>
      </c>
      <c r="L192" s="471" t="str">
        <f ca="1">IF(N(I192)&gt;0,VLOOKUP(I192,Hraci!$A$1:$I$1500,5,0),IF(TYPE(INDIRECT(ADDRESS(ROW() + $A$9-9 + (ROW()-11)*4,3,1,1,"Internet")))&gt;1,INDIRECT(ADDRESS(ROW() + $A$9-9 + (ROW()-11)*4,3,1,1,"Internet"))," "))</f>
        <v xml:space="preserve"> </v>
      </c>
      <c r="M192" s="472">
        <f ca="1">IF(N(I192)=0,9999,VLOOKUP(I192,Hraci!$A$1:$I$1500,8,0))</f>
        <v>9999</v>
      </c>
      <c r="N192" s="473">
        <f ca="1">IF(N(I192)=0,0,VLOOKUP(I192,Hraci!$A$1:$I$1500,9,0))</f>
        <v>0</v>
      </c>
      <c r="O192" s="469" t="str">
        <f t="shared" ca="1" si="72"/>
        <v/>
      </c>
      <c r="P192" s="470" t="str">
        <f ca="1">IF(N(O192)&gt;0,VLOOKUP(O192,Hraci!$A$1:$I$1500,2,0),IF(TYPE(INDIRECT(ADDRESS(ROW() + $A$9-8 + (ROW()-11)*4,2,1,1,"Internet")))&gt;1,INDIRECT(ADDRESS(ROW() + $A$9-8 + (ROW()-11)*4,2,1,1,"Internet"))," "))</f>
        <v xml:space="preserve"> </v>
      </c>
      <c r="Q192" s="471" t="str">
        <f ca="1">IF(N(O192)&gt;0,VLOOKUP(O192,Hraci!$A$1:$I$1500,3,0)," ")</f>
        <v xml:space="preserve"> </v>
      </c>
      <c r="R192" s="471" t="str">
        <f ca="1">IF(N(O192)&gt;0,VLOOKUP(O192,Hraci!$A$1:$I$1500,5,0),IF(TYPE(INDIRECT(ADDRESS(ROW() + $A$9-8 + (ROW()-11)*4,3,1,1,"Internet")))&gt;1,INDIRECT(ADDRESS(ROW() + $A$9-8 + (ROW()-11)*4,3,1,1,"Internet"))," "))</f>
        <v xml:space="preserve"> </v>
      </c>
      <c r="S192" s="472">
        <f ca="1">IF(N(O192)=0,9999,VLOOKUP(O192,Hraci!$A$1:$I$1500,8,0))</f>
        <v>9999</v>
      </c>
      <c r="T192" s="473">
        <f ca="1">IF(N(O192)=0,0,VLOOKUP(O192,Hraci!$A$1:$I$1500,9,0))</f>
        <v>0</v>
      </c>
      <c r="U192" s="469" t="str">
        <f t="shared" ca="1" si="73"/>
        <v/>
      </c>
      <c r="V192" s="470" t="str">
        <f ca="1">IF(N(U192)&gt;0,VLOOKUP(U192,Hraci!$A$1:$I$1500,2,0),IF(TYPE(INDIRECT(ADDRESS(ROW() + $A$9-7 + (ROW()-11)*4,2,1,1,"Internet")))&gt;1,INDIRECT(ADDRESS(ROW() + $A$9-7 + (ROW()-11)*4,2,1,1,"Internet"))," "))</f>
        <v xml:space="preserve"> </v>
      </c>
      <c r="W192" s="471" t="str">
        <f ca="1">IF(N(U192)&gt;0,VLOOKUP(U192,Hraci!$A$1:$I$1500,3,0)," ")</f>
        <v xml:space="preserve"> </v>
      </c>
      <c r="X192" s="471" t="str">
        <f ca="1">IF(N(U192)&gt;0,VLOOKUP(U192,Hraci!$A$1:$I$1500,5,0),IF(TYPE(INDIRECT(ADDRESS(ROW() + $A$9-7 + (ROW()-11)*4,3,1,1,"Internet")))&gt;1,INDIRECT(ADDRESS(ROW() + $A$9-7 + (ROW()-11)*4,3,1,1,"Internet"))," "))</f>
        <v xml:space="preserve"> </v>
      </c>
      <c r="Y192" s="472">
        <f ca="1">IF(N(U192)=0,9999,VLOOKUP(U192,Hraci!$A$1:$I$1500,8,0))</f>
        <v>9999</v>
      </c>
      <c r="Z192" s="473">
        <f ca="1">IF(N(U192)=0,0,VLOOKUP(U192,Hraci!$A$1:$I$1500,9,0))</f>
        <v>0</v>
      </c>
      <c r="AA192" s="469" t="str">
        <f t="shared" ca="1" si="74"/>
        <v/>
      </c>
      <c r="AB192" s="470" t="str">
        <f ca="1">IF(N(AA192)&gt;0,VLOOKUP(AA192,Hraci!$A$1:$I$1500,2,0)," ")</f>
        <v xml:space="preserve"> </v>
      </c>
      <c r="AC192" s="471" t="str">
        <f ca="1">IF(N(AA192)&gt;0,VLOOKUP(AA192,Hraci!$A$1:$I$1500,3,0)," ")</f>
        <v xml:space="preserve"> </v>
      </c>
      <c r="AD192" s="471" t="str">
        <f ca="1">IF(N(AA192)&gt;0,VLOOKUP(AA192,Hraci!$A$1:$I$1500,5,0)," ")</f>
        <v xml:space="preserve"> </v>
      </c>
      <c r="AE192" s="472">
        <f ca="1">IF(N(AA192)=0,9999,VLOOKUP(AA192,Hraci!$A$1:$I$1500,8,0))</f>
        <v>9999</v>
      </c>
      <c r="AF192" s="473">
        <f ca="1">IF(N(AA192)=0,0,VLOOKUP(AA192,Hraci!$A$1:$I$1500,9,0))</f>
        <v>0</v>
      </c>
      <c r="AG192" s="474"/>
      <c r="AH192" s="480">
        <f ca="1">IF(TYPE(VLOOKUP(H192,Nasazení!$A$3:$E$258,5,0))&lt;4,VLOOKUP(H192,Nasazení!$A$3:$E$258,5,0),0)</f>
        <v>0</v>
      </c>
      <c r="AI192" s="475" t="str">
        <f ca="1">IF(N($AH192)&gt;0,VLOOKUP($AH192,Body!$A$4:$F$259,5,0),"")</f>
        <v/>
      </c>
      <c r="AJ192" s="476" t="str">
        <f ca="1">IF(N($AH192)&gt;0,VLOOKUP($AH192,Body!$A$4:$F$259,6,0),"")</f>
        <v/>
      </c>
      <c r="AK192" s="475" t="str">
        <f ca="1">IF(N($AH192)&gt;0,VLOOKUP($AH192,Body!$A$4:$F$259,2,0),"")</f>
        <v/>
      </c>
      <c r="AL192" s="477" t="str">
        <f t="shared" ca="1" si="61"/>
        <v/>
      </c>
      <c r="AM192" s="478">
        <f t="shared" ca="1" si="62"/>
        <v>0</v>
      </c>
      <c r="AN192" s="408">
        <f ca="1">IF(OR(TYPE(I192)&gt;1,TYPE(MATCH(I192,I193:I$267,0))&gt;1),0,MATCH(I192,I193:I$267,0))+IF(OR(TYPE(I192)&gt;1,TYPE(MATCH(I192,O$11:O$267,0))&gt;1),0,MATCH(I192,O$11:O$267,0))+IF(OR(TYPE(I192)&gt;1,TYPE(MATCH(I192,U$11:U$267,0))&gt;1),0,MATCH(I192,U$11:U$267,0))+IF(OR(TYPE(I192)&gt;1,TYPE(MATCH(I192,AA$11:AA$267,0))&gt;1),0,MATCH(I192,AA$11:AA$267,0))</f>
        <v>0</v>
      </c>
      <c r="AO192" s="408">
        <f ca="1">IF(OR(TYPE(O192)&gt;1,TYPE(MATCH(O192,I$11:I$267,0))&gt;1),0,MATCH(O192,I$11:I$267,0))+IF(OR(TYPE(O192)&gt;1,TYPE(MATCH(O192,O193:O$267,0))&gt;1),0,MATCH(O192,O193:O$267,0))+IF(OR(TYPE(O192)&gt;1,TYPE(MATCH(O192,U$11:U$267,0))&gt;1),0,MATCH(O192,U$11:U$267,0))+IF(OR(TYPE(O192)&gt;1,TYPE(MATCH(O192,AA$11:AA$267,0))&gt;1),0,MATCH(O192,AA$11:AA$267,0))</f>
        <v>0</v>
      </c>
      <c r="AP192" s="408">
        <f ca="1">IF(OR(TYPE(U192)&gt;1,TYPE(MATCH(U192,I$11:I$267,0))&gt;1),0,MATCH(U192,I$11:I$267,0))+IF(OR(TYPE(U192)&gt;1,TYPE(MATCH(U192,O$11:O$267,0))&gt;1),0,MATCH(U192,O$11:O$267,0))+IF(OR(TYPE(U192)&gt;1,TYPE(MATCH(U192,U193:U$267,0))&gt;1),0,MATCH(U192,U193:U$267,0))+IF(OR(TYPE(U192)&gt;1,TYPE(MATCH(U192,AA$11:AA$267,0))&gt;1),0,MATCH(U192,AA$11:AA$267,0))</f>
        <v>0</v>
      </c>
      <c r="AQ192" s="408">
        <f ca="1">IF(OR(TYPE(AA192)&gt;1,TYPE(MATCH(AA192,I$11:I$267,0))&gt;1),0,MATCH(AA192,I$11:I$267,0))+IF(OR(TYPE(AA192)&gt;1,TYPE(MATCH(AA192,O$11:O$267,0))&gt;1),0,MATCH(AA192,O$11:O$267,0))+IF(OR(TYPE(AA192)&gt;1,TYPE(MATCH(AA192,U$11:U$267,0))&gt;1),0,MATCH(U192,U$11:U$267,0))+IF(OR(TYPE(AA192)&gt;1,TYPE(MATCH(AA192,AA193:AA$267,0))&gt;1),0,MATCH(AA192,AA193:AA$267,0))</f>
        <v>0</v>
      </c>
      <c r="AR192" s="408">
        <f t="shared" ca="1" si="75"/>
        <v>0</v>
      </c>
      <c r="BF192" s="408">
        <f t="shared" si="76"/>
        <v>182</v>
      </c>
    </row>
    <row r="193" spans="1:58" ht="14.25">
      <c r="A193" s="430">
        <f t="shared" ca="1" si="65"/>
        <v>0</v>
      </c>
      <c r="B193" s="430">
        <f t="shared" ca="1" si="66"/>
        <v>0</v>
      </c>
      <c r="C193" s="430">
        <f t="shared" ca="1" si="67"/>
        <v>0</v>
      </c>
      <c r="D193" s="430">
        <f t="shared" ca="1" si="68"/>
        <v>99999</v>
      </c>
      <c r="E193" s="430">
        <f t="shared" ca="1" si="69"/>
        <v>9999</v>
      </c>
      <c r="F193" s="431" t="str">
        <f t="shared" ca="1" si="63"/>
        <v>00000000000000000000662745</v>
      </c>
      <c r="G193" s="467" t="b">
        <f t="shared" ca="1" si="70"/>
        <v>1</v>
      </c>
      <c r="H193" s="468">
        <f t="shared" si="60"/>
        <v>183</v>
      </c>
      <c r="I193" s="469" t="str">
        <f t="shared" ca="1" si="71"/>
        <v/>
      </c>
      <c r="J193" s="470" t="str">
        <f ca="1">IF(N(I193)&gt;0,VLOOKUP(I193,Hraci!$A$1:$I$1500,2,0),IF(TYPE(INDIRECT(ADDRESS(ROW() + $A$9-9 + (ROW()-11)*4,2,1,1,"Internet")))&gt;1,INDIRECT(ADDRESS(ROW() + $A$9-9 + (ROW()-11)*4,2,1,1,"Internet"))," "))</f>
        <v xml:space="preserve"> </v>
      </c>
      <c r="K193" s="471" t="str">
        <f ca="1">IF(N(I193)&gt;0,VLOOKUP(I193,Hraci!$A$1:$I$1500,3,0)," ")</f>
        <v xml:space="preserve"> </v>
      </c>
      <c r="L193" s="471" t="str">
        <f ca="1">IF(N(I193)&gt;0,VLOOKUP(I193,Hraci!$A$1:$I$1500,5,0),IF(TYPE(INDIRECT(ADDRESS(ROW() + $A$9-9 + (ROW()-11)*4,3,1,1,"Internet")))&gt;1,INDIRECT(ADDRESS(ROW() + $A$9-9 + (ROW()-11)*4,3,1,1,"Internet"))," "))</f>
        <v xml:space="preserve"> </v>
      </c>
      <c r="M193" s="472">
        <f ca="1">IF(N(I193)=0,9999,VLOOKUP(I193,Hraci!$A$1:$I$1500,8,0))</f>
        <v>9999</v>
      </c>
      <c r="N193" s="473">
        <f ca="1">IF(N(I193)=0,0,VLOOKUP(I193,Hraci!$A$1:$I$1500,9,0))</f>
        <v>0</v>
      </c>
      <c r="O193" s="469" t="str">
        <f t="shared" ca="1" si="72"/>
        <v/>
      </c>
      <c r="P193" s="470" t="str">
        <f ca="1">IF(N(O193)&gt;0,VLOOKUP(O193,Hraci!$A$1:$I$1500,2,0),IF(TYPE(INDIRECT(ADDRESS(ROW() + $A$9-8 + (ROW()-11)*4,2,1,1,"Internet")))&gt;1,INDIRECT(ADDRESS(ROW() + $A$9-8 + (ROW()-11)*4,2,1,1,"Internet"))," "))</f>
        <v xml:space="preserve"> </v>
      </c>
      <c r="Q193" s="471" t="str">
        <f ca="1">IF(N(O193)&gt;0,VLOOKUP(O193,Hraci!$A$1:$I$1500,3,0)," ")</f>
        <v xml:space="preserve"> </v>
      </c>
      <c r="R193" s="471" t="str">
        <f ca="1">IF(N(O193)&gt;0,VLOOKUP(O193,Hraci!$A$1:$I$1500,5,0),IF(TYPE(INDIRECT(ADDRESS(ROW() + $A$9-8 + (ROW()-11)*4,3,1,1,"Internet")))&gt;1,INDIRECT(ADDRESS(ROW() + $A$9-8 + (ROW()-11)*4,3,1,1,"Internet"))," "))</f>
        <v xml:space="preserve"> </v>
      </c>
      <c r="S193" s="472">
        <f ca="1">IF(N(O193)=0,9999,VLOOKUP(O193,Hraci!$A$1:$I$1500,8,0))</f>
        <v>9999</v>
      </c>
      <c r="T193" s="473">
        <f ca="1">IF(N(O193)=0,0,VLOOKUP(O193,Hraci!$A$1:$I$1500,9,0))</f>
        <v>0</v>
      </c>
      <c r="U193" s="469" t="str">
        <f t="shared" ca="1" si="73"/>
        <v/>
      </c>
      <c r="V193" s="470" t="str">
        <f ca="1">IF(N(U193)&gt;0,VLOOKUP(U193,Hraci!$A$1:$I$1500,2,0),IF(TYPE(INDIRECT(ADDRESS(ROW() + $A$9-7 + (ROW()-11)*4,2,1,1,"Internet")))&gt;1,INDIRECT(ADDRESS(ROW() + $A$9-7 + (ROW()-11)*4,2,1,1,"Internet"))," "))</f>
        <v xml:space="preserve"> </v>
      </c>
      <c r="W193" s="471" t="str">
        <f ca="1">IF(N(U193)&gt;0,VLOOKUP(U193,Hraci!$A$1:$I$1500,3,0)," ")</f>
        <v xml:space="preserve"> </v>
      </c>
      <c r="X193" s="471" t="str">
        <f ca="1">IF(N(U193)&gt;0,VLOOKUP(U193,Hraci!$A$1:$I$1500,5,0),IF(TYPE(INDIRECT(ADDRESS(ROW() + $A$9-7 + (ROW()-11)*4,3,1,1,"Internet")))&gt;1,INDIRECT(ADDRESS(ROW() + $A$9-7 + (ROW()-11)*4,3,1,1,"Internet"))," "))</f>
        <v xml:space="preserve"> </v>
      </c>
      <c r="Y193" s="472">
        <f ca="1">IF(N(U193)=0,9999,VLOOKUP(U193,Hraci!$A$1:$I$1500,8,0))</f>
        <v>9999</v>
      </c>
      <c r="Z193" s="473">
        <f ca="1">IF(N(U193)=0,0,VLOOKUP(U193,Hraci!$A$1:$I$1500,9,0))</f>
        <v>0</v>
      </c>
      <c r="AA193" s="469" t="str">
        <f t="shared" ca="1" si="74"/>
        <v/>
      </c>
      <c r="AB193" s="470" t="str">
        <f ca="1">IF(N(AA193)&gt;0,VLOOKUP(AA193,Hraci!$A$1:$I$1500,2,0)," ")</f>
        <v xml:space="preserve"> </v>
      </c>
      <c r="AC193" s="471" t="str">
        <f ca="1">IF(N(AA193)&gt;0,VLOOKUP(AA193,Hraci!$A$1:$I$1500,3,0)," ")</f>
        <v xml:space="preserve"> </v>
      </c>
      <c r="AD193" s="471" t="str">
        <f ca="1">IF(N(AA193)&gt;0,VLOOKUP(AA193,Hraci!$A$1:$I$1500,5,0)," ")</f>
        <v xml:space="preserve"> </v>
      </c>
      <c r="AE193" s="472">
        <f ca="1">IF(N(AA193)=0,9999,VLOOKUP(AA193,Hraci!$A$1:$I$1500,8,0))</f>
        <v>9999</v>
      </c>
      <c r="AF193" s="473">
        <f ca="1">IF(N(AA193)=0,0,VLOOKUP(AA193,Hraci!$A$1:$I$1500,9,0))</f>
        <v>0</v>
      </c>
      <c r="AG193" s="474"/>
      <c r="AH193" s="480">
        <f ca="1">IF(TYPE(VLOOKUP(H193,Nasazení!$A$3:$E$258,5,0))&lt;4,VLOOKUP(H193,Nasazení!$A$3:$E$258,5,0),0)</f>
        <v>0</v>
      </c>
      <c r="AI193" s="475" t="str">
        <f ca="1">IF(N($AH193)&gt;0,VLOOKUP($AH193,Body!$A$4:$F$259,5,0),"")</f>
        <v/>
      </c>
      <c r="AJ193" s="476" t="str">
        <f ca="1">IF(N($AH193)&gt;0,VLOOKUP($AH193,Body!$A$4:$F$259,6,0),"")</f>
        <v/>
      </c>
      <c r="AK193" s="475" t="str">
        <f ca="1">IF(N($AH193)&gt;0,VLOOKUP($AH193,Body!$A$4:$F$259,2,0),"")</f>
        <v/>
      </c>
      <c r="AL193" s="477" t="str">
        <f t="shared" ca="1" si="61"/>
        <v/>
      </c>
      <c r="AM193" s="478">
        <f t="shared" ca="1" si="62"/>
        <v>0</v>
      </c>
      <c r="AN193" s="408">
        <f ca="1">IF(OR(TYPE(I193)&gt;1,TYPE(MATCH(I193,I194:I$267,0))&gt;1),0,MATCH(I193,I194:I$267,0))+IF(OR(TYPE(I193)&gt;1,TYPE(MATCH(I193,O$11:O$267,0))&gt;1),0,MATCH(I193,O$11:O$267,0))+IF(OR(TYPE(I193)&gt;1,TYPE(MATCH(I193,U$11:U$267,0))&gt;1),0,MATCH(I193,U$11:U$267,0))+IF(OR(TYPE(I193)&gt;1,TYPE(MATCH(I193,AA$11:AA$267,0))&gt;1),0,MATCH(I193,AA$11:AA$267,0))</f>
        <v>0</v>
      </c>
      <c r="AO193" s="408">
        <f ca="1">IF(OR(TYPE(O193)&gt;1,TYPE(MATCH(O193,I$11:I$267,0))&gt;1),0,MATCH(O193,I$11:I$267,0))+IF(OR(TYPE(O193)&gt;1,TYPE(MATCH(O193,O194:O$267,0))&gt;1),0,MATCH(O193,O194:O$267,0))+IF(OR(TYPE(O193)&gt;1,TYPE(MATCH(O193,U$11:U$267,0))&gt;1),0,MATCH(O193,U$11:U$267,0))+IF(OR(TYPE(O193)&gt;1,TYPE(MATCH(O193,AA$11:AA$267,0))&gt;1),0,MATCH(O193,AA$11:AA$267,0))</f>
        <v>0</v>
      </c>
      <c r="AP193" s="408">
        <f ca="1">IF(OR(TYPE(U193)&gt;1,TYPE(MATCH(U193,I$11:I$267,0))&gt;1),0,MATCH(U193,I$11:I$267,0))+IF(OR(TYPE(U193)&gt;1,TYPE(MATCH(U193,O$11:O$267,0))&gt;1),0,MATCH(U193,O$11:O$267,0))+IF(OR(TYPE(U193)&gt;1,TYPE(MATCH(U193,U194:U$267,0))&gt;1),0,MATCH(U193,U194:U$267,0))+IF(OR(TYPE(U193)&gt;1,TYPE(MATCH(U193,AA$11:AA$267,0))&gt;1),0,MATCH(U193,AA$11:AA$267,0))</f>
        <v>0</v>
      </c>
      <c r="AQ193" s="408">
        <f ca="1">IF(OR(TYPE(AA193)&gt;1,TYPE(MATCH(AA193,I$11:I$267,0))&gt;1),0,MATCH(AA193,I$11:I$267,0))+IF(OR(TYPE(AA193)&gt;1,TYPE(MATCH(AA193,O$11:O$267,0))&gt;1),0,MATCH(AA193,O$11:O$267,0))+IF(OR(TYPE(AA193)&gt;1,TYPE(MATCH(AA193,U$11:U$267,0))&gt;1),0,MATCH(U193,U$11:U$267,0))+IF(OR(TYPE(AA193)&gt;1,TYPE(MATCH(AA193,AA194:AA$267,0))&gt;1),0,MATCH(AA193,AA194:AA$267,0))</f>
        <v>0</v>
      </c>
      <c r="AR193" s="408">
        <f t="shared" ca="1" si="75"/>
        <v>0</v>
      </c>
      <c r="BF193" s="408">
        <f t="shared" si="76"/>
        <v>183</v>
      </c>
    </row>
    <row r="194" spans="1:58" ht="14.25">
      <c r="A194" s="430">
        <f t="shared" ca="1" si="65"/>
        <v>0</v>
      </c>
      <c r="B194" s="430">
        <f t="shared" ca="1" si="66"/>
        <v>0</v>
      </c>
      <c r="C194" s="430">
        <f t="shared" ca="1" si="67"/>
        <v>0</v>
      </c>
      <c r="D194" s="430">
        <f t="shared" ca="1" si="68"/>
        <v>99999</v>
      </c>
      <c r="E194" s="430">
        <f t="shared" ca="1" si="69"/>
        <v>9999</v>
      </c>
      <c r="F194" s="431" t="str">
        <f t="shared" ca="1" si="63"/>
        <v>00000000000000000000748405</v>
      </c>
      <c r="G194" s="467" t="b">
        <f t="shared" ca="1" si="70"/>
        <v>1</v>
      </c>
      <c r="H194" s="468">
        <f t="shared" si="60"/>
        <v>184</v>
      </c>
      <c r="I194" s="469" t="str">
        <f t="shared" ca="1" si="71"/>
        <v/>
      </c>
      <c r="J194" s="470" t="str">
        <f ca="1">IF(N(I194)&gt;0,VLOOKUP(I194,Hraci!$A$1:$I$1500,2,0),IF(TYPE(INDIRECT(ADDRESS(ROW() + $A$9-9 + (ROW()-11)*4,2,1,1,"Internet")))&gt;1,INDIRECT(ADDRESS(ROW() + $A$9-9 + (ROW()-11)*4,2,1,1,"Internet"))," "))</f>
        <v xml:space="preserve"> </v>
      </c>
      <c r="K194" s="471" t="str">
        <f ca="1">IF(N(I194)&gt;0,VLOOKUP(I194,Hraci!$A$1:$I$1500,3,0)," ")</f>
        <v xml:space="preserve"> </v>
      </c>
      <c r="L194" s="471" t="str">
        <f ca="1">IF(N(I194)&gt;0,VLOOKUP(I194,Hraci!$A$1:$I$1500,5,0),IF(TYPE(INDIRECT(ADDRESS(ROW() + $A$9-9 + (ROW()-11)*4,3,1,1,"Internet")))&gt;1,INDIRECT(ADDRESS(ROW() + $A$9-9 + (ROW()-11)*4,3,1,1,"Internet"))," "))</f>
        <v xml:space="preserve"> </v>
      </c>
      <c r="M194" s="472">
        <f ca="1">IF(N(I194)=0,9999,VLOOKUP(I194,Hraci!$A$1:$I$1500,8,0))</f>
        <v>9999</v>
      </c>
      <c r="N194" s="473">
        <f ca="1">IF(N(I194)=0,0,VLOOKUP(I194,Hraci!$A$1:$I$1500,9,0))</f>
        <v>0</v>
      </c>
      <c r="O194" s="469" t="str">
        <f t="shared" ca="1" si="72"/>
        <v/>
      </c>
      <c r="P194" s="470" t="str">
        <f ca="1">IF(N(O194)&gt;0,VLOOKUP(O194,Hraci!$A$1:$I$1500,2,0),IF(TYPE(INDIRECT(ADDRESS(ROW() + $A$9-8 + (ROW()-11)*4,2,1,1,"Internet")))&gt;1,INDIRECT(ADDRESS(ROW() + $A$9-8 + (ROW()-11)*4,2,1,1,"Internet"))," "))</f>
        <v xml:space="preserve"> </v>
      </c>
      <c r="Q194" s="471" t="str">
        <f ca="1">IF(N(O194)&gt;0,VLOOKUP(O194,Hraci!$A$1:$I$1500,3,0)," ")</f>
        <v xml:space="preserve"> </v>
      </c>
      <c r="R194" s="471" t="str">
        <f ca="1">IF(N(O194)&gt;0,VLOOKUP(O194,Hraci!$A$1:$I$1500,5,0),IF(TYPE(INDIRECT(ADDRESS(ROW() + $A$9-8 + (ROW()-11)*4,3,1,1,"Internet")))&gt;1,INDIRECT(ADDRESS(ROW() + $A$9-8 + (ROW()-11)*4,3,1,1,"Internet"))," "))</f>
        <v xml:space="preserve"> </v>
      </c>
      <c r="S194" s="472">
        <f ca="1">IF(N(O194)=0,9999,VLOOKUP(O194,Hraci!$A$1:$I$1500,8,0))</f>
        <v>9999</v>
      </c>
      <c r="T194" s="473">
        <f ca="1">IF(N(O194)=0,0,VLOOKUP(O194,Hraci!$A$1:$I$1500,9,0))</f>
        <v>0</v>
      </c>
      <c r="U194" s="469" t="str">
        <f t="shared" ca="1" si="73"/>
        <v/>
      </c>
      <c r="V194" s="470" t="str">
        <f ca="1">IF(N(U194)&gt;0,VLOOKUP(U194,Hraci!$A$1:$I$1500,2,0),IF(TYPE(INDIRECT(ADDRESS(ROW() + $A$9-7 + (ROW()-11)*4,2,1,1,"Internet")))&gt;1,INDIRECT(ADDRESS(ROW() + $A$9-7 + (ROW()-11)*4,2,1,1,"Internet"))," "))</f>
        <v xml:space="preserve"> </v>
      </c>
      <c r="W194" s="471" t="str">
        <f ca="1">IF(N(U194)&gt;0,VLOOKUP(U194,Hraci!$A$1:$I$1500,3,0)," ")</f>
        <v xml:space="preserve"> </v>
      </c>
      <c r="X194" s="471" t="str">
        <f ca="1">IF(N(U194)&gt;0,VLOOKUP(U194,Hraci!$A$1:$I$1500,5,0),IF(TYPE(INDIRECT(ADDRESS(ROW() + $A$9-7 + (ROW()-11)*4,3,1,1,"Internet")))&gt;1,INDIRECT(ADDRESS(ROW() + $A$9-7 + (ROW()-11)*4,3,1,1,"Internet"))," "))</f>
        <v xml:space="preserve"> </v>
      </c>
      <c r="Y194" s="472">
        <f ca="1">IF(N(U194)=0,9999,VLOOKUP(U194,Hraci!$A$1:$I$1500,8,0))</f>
        <v>9999</v>
      </c>
      <c r="Z194" s="473">
        <f ca="1">IF(N(U194)=0,0,VLOOKUP(U194,Hraci!$A$1:$I$1500,9,0))</f>
        <v>0</v>
      </c>
      <c r="AA194" s="469" t="str">
        <f t="shared" ca="1" si="74"/>
        <v/>
      </c>
      <c r="AB194" s="470" t="str">
        <f ca="1">IF(N(AA194)&gt;0,VLOOKUP(AA194,Hraci!$A$1:$I$1500,2,0)," ")</f>
        <v xml:space="preserve"> </v>
      </c>
      <c r="AC194" s="471" t="str">
        <f ca="1">IF(N(AA194)&gt;0,VLOOKUP(AA194,Hraci!$A$1:$I$1500,3,0)," ")</f>
        <v xml:space="preserve"> </v>
      </c>
      <c r="AD194" s="471" t="str">
        <f ca="1">IF(N(AA194)&gt;0,VLOOKUP(AA194,Hraci!$A$1:$I$1500,5,0)," ")</f>
        <v xml:space="preserve"> </v>
      </c>
      <c r="AE194" s="472">
        <f ca="1">IF(N(AA194)=0,9999,VLOOKUP(AA194,Hraci!$A$1:$I$1500,8,0))</f>
        <v>9999</v>
      </c>
      <c r="AF194" s="473">
        <f ca="1">IF(N(AA194)=0,0,VLOOKUP(AA194,Hraci!$A$1:$I$1500,9,0))</f>
        <v>0</v>
      </c>
      <c r="AG194" s="474"/>
      <c r="AH194" s="480">
        <f ca="1">IF(TYPE(VLOOKUP(H194,Nasazení!$A$3:$E$258,5,0))&lt;4,VLOOKUP(H194,Nasazení!$A$3:$E$258,5,0),0)</f>
        <v>0</v>
      </c>
      <c r="AI194" s="475" t="str">
        <f ca="1">IF(N($AH194)&gt;0,VLOOKUP($AH194,Body!$A$4:$F$259,5,0),"")</f>
        <v/>
      </c>
      <c r="AJ194" s="476" t="str">
        <f ca="1">IF(N($AH194)&gt;0,VLOOKUP($AH194,Body!$A$4:$F$259,6,0),"")</f>
        <v/>
      </c>
      <c r="AK194" s="475" t="str">
        <f ca="1">IF(N($AH194)&gt;0,VLOOKUP($AH194,Body!$A$4:$F$259,2,0),"")</f>
        <v/>
      </c>
      <c r="AL194" s="477" t="str">
        <f t="shared" ca="1" si="61"/>
        <v/>
      </c>
      <c r="AM194" s="478">
        <f t="shared" ca="1" si="62"/>
        <v>0</v>
      </c>
      <c r="AN194" s="408">
        <f ca="1">IF(OR(TYPE(I194)&gt;1,TYPE(MATCH(I194,I195:I$267,0))&gt;1),0,MATCH(I194,I195:I$267,0))+IF(OR(TYPE(I194)&gt;1,TYPE(MATCH(I194,O$11:O$267,0))&gt;1),0,MATCH(I194,O$11:O$267,0))+IF(OR(TYPE(I194)&gt;1,TYPE(MATCH(I194,U$11:U$267,0))&gt;1),0,MATCH(I194,U$11:U$267,0))+IF(OR(TYPE(I194)&gt;1,TYPE(MATCH(I194,AA$11:AA$267,0))&gt;1),0,MATCH(I194,AA$11:AA$267,0))</f>
        <v>0</v>
      </c>
      <c r="AO194" s="408">
        <f ca="1">IF(OR(TYPE(O194)&gt;1,TYPE(MATCH(O194,I$11:I$267,0))&gt;1),0,MATCH(O194,I$11:I$267,0))+IF(OR(TYPE(O194)&gt;1,TYPE(MATCH(O194,O195:O$267,0))&gt;1),0,MATCH(O194,O195:O$267,0))+IF(OR(TYPE(O194)&gt;1,TYPE(MATCH(O194,U$11:U$267,0))&gt;1),0,MATCH(O194,U$11:U$267,0))+IF(OR(TYPE(O194)&gt;1,TYPE(MATCH(O194,AA$11:AA$267,0))&gt;1),0,MATCH(O194,AA$11:AA$267,0))</f>
        <v>0</v>
      </c>
      <c r="AP194" s="408">
        <f ca="1">IF(OR(TYPE(U194)&gt;1,TYPE(MATCH(U194,I$11:I$267,0))&gt;1),0,MATCH(U194,I$11:I$267,0))+IF(OR(TYPE(U194)&gt;1,TYPE(MATCH(U194,O$11:O$267,0))&gt;1),0,MATCH(U194,O$11:O$267,0))+IF(OR(TYPE(U194)&gt;1,TYPE(MATCH(U194,U195:U$267,0))&gt;1),0,MATCH(U194,U195:U$267,0))+IF(OR(TYPE(U194)&gt;1,TYPE(MATCH(U194,AA$11:AA$267,0))&gt;1),0,MATCH(U194,AA$11:AA$267,0))</f>
        <v>0</v>
      </c>
      <c r="AQ194" s="408">
        <f ca="1">IF(OR(TYPE(AA194)&gt;1,TYPE(MATCH(AA194,I$11:I$267,0))&gt;1),0,MATCH(AA194,I$11:I$267,0))+IF(OR(TYPE(AA194)&gt;1,TYPE(MATCH(AA194,O$11:O$267,0))&gt;1),0,MATCH(AA194,O$11:O$267,0))+IF(OR(TYPE(AA194)&gt;1,TYPE(MATCH(AA194,U$11:U$267,0))&gt;1),0,MATCH(U194,U$11:U$267,0))+IF(OR(TYPE(AA194)&gt;1,TYPE(MATCH(AA194,AA195:AA$267,0))&gt;1),0,MATCH(AA194,AA195:AA$267,0))</f>
        <v>0</v>
      </c>
      <c r="AR194" s="408">
        <f t="shared" ca="1" si="75"/>
        <v>0</v>
      </c>
      <c r="BF194" s="408">
        <f t="shared" si="76"/>
        <v>184</v>
      </c>
    </row>
    <row r="195" spans="1:58" ht="14.25">
      <c r="A195" s="430">
        <f t="shared" ca="1" si="65"/>
        <v>0</v>
      </c>
      <c r="B195" s="430">
        <f t="shared" ca="1" si="66"/>
        <v>0</v>
      </c>
      <c r="C195" s="430">
        <f t="shared" ca="1" si="67"/>
        <v>0</v>
      </c>
      <c r="D195" s="430">
        <f t="shared" ca="1" si="68"/>
        <v>99999</v>
      </c>
      <c r="E195" s="430">
        <f t="shared" ca="1" si="69"/>
        <v>9999</v>
      </c>
      <c r="F195" s="431" t="str">
        <f t="shared" ca="1" si="63"/>
        <v>00000000000000000000772284</v>
      </c>
      <c r="G195" s="467" t="b">
        <f t="shared" ca="1" si="70"/>
        <v>1</v>
      </c>
      <c r="H195" s="468">
        <f t="shared" si="60"/>
        <v>185</v>
      </c>
      <c r="I195" s="469" t="str">
        <f t="shared" ca="1" si="71"/>
        <v/>
      </c>
      <c r="J195" s="470" t="str">
        <f ca="1">IF(N(I195)&gt;0,VLOOKUP(I195,Hraci!$A$1:$I$1500,2,0),IF(TYPE(INDIRECT(ADDRESS(ROW() + $A$9-9 + (ROW()-11)*4,2,1,1,"Internet")))&gt;1,INDIRECT(ADDRESS(ROW() + $A$9-9 + (ROW()-11)*4,2,1,1,"Internet"))," "))</f>
        <v xml:space="preserve"> </v>
      </c>
      <c r="K195" s="471" t="str">
        <f ca="1">IF(N(I195)&gt;0,VLOOKUP(I195,Hraci!$A$1:$I$1500,3,0)," ")</f>
        <v xml:space="preserve"> </v>
      </c>
      <c r="L195" s="471" t="str">
        <f ca="1">IF(N(I195)&gt;0,VLOOKUP(I195,Hraci!$A$1:$I$1500,5,0),IF(TYPE(INDIRECT(ADDRESS(ROW() + $A$9-9 + (ROW()-11)*4,3,1,1,"Internet")))&gt;1,INDIRECT(ADDRESS(ROW() + $A$9-9 + (ROW()-11)*4,3,1,1,"Internet"))," "))</f>
        <v xml:space="preserve"> </v>
      </c>
      <c r="M195" s="472">
        <f ca="1">IF(N(I195)=0,9999,VLOOKUP(I195,Hraci!$A$1:$I$1500,8,0))</f>
        <v>9999</v>
      </c>
      <c r="N195" s="473">
        <f ca="1">IF(N(I195)=0,0,VLOOKUP(I195,Hraci!$A$1:$I$1500,9,0))</f>
        <v>0</v>
      </c>
      <c r="O195" s="469" t="str">
        <f t="shared" ca="1" si="72"/>
        <v/>
      </c>
      <c r="P195" s="470" t="str">
        <f ca="1">IF(N(O195)&gt;0,VLOOKUP(O195,Hraci!$A$1:$I$1500,2,0),IF(TYPE(INDIRECT(ADDRESS(ROW() + $A$9-8 + (ROW()-11)*4,2,1,1,"Internet")))&gt;1,INDIRECT(ADDRESS(ROW() + $A$9-8 + (ROW()-11)*4,2,1,1,"Internet"))," "))</f>
        <v xml:space="preserve"> </v>
      </c>
      <c r="Q195" s="471" t="str">
        <f ca="1">IF(N(O195)&gt;0,VLOOKUP(O195,Hraci!$A$1:$I$1500,3,0)," ")</f>
        <v xml:space="preserve"> </v>
      </c>
      <c r="R195" s="471" t="str">
        <f ca="1">IF(N(O195)&gt;0,VLOOKUP(O195,Hraci!$A$1:$I$1500,5,0),IF(TYPE(INDIRECT(ADDRESS(ROW() + $A$9-8 + (ROW()-11)*4,3,1,1,"Internet")))&gt;1,INDIRECT(ADDRESS(ROW() + $A$9-8 + (ROW()-11)*4,3,1,1,"Internet"))," "))</f>
        <v xml:space="preserve"> </v>
      </c>
      <c r="S195" s="472">
        <f ca="1">IF(N(O195)=0,9999,VLOOKUP(O195,Hraci!$A$1:$I$1500,8,0))</f>
        <v>9999</v>
      </c>
      <c r="T195" s="473">
        <f ca="1">IF(N(O195)=0,0,VLOOKUP(O195,Hraci!$A$1:$I$1500,9,0))</f>
        <v>0</v>
      </c>
      <c r="U195" s="469" t="str">
        <f t="shared" ca="1" si="73"/>
        <v/>
      </c>
      <c r="V195" s="470" t="str">
        <f ca="1">IF(N(U195)&gt;0,VLOOKUP(U195,Hraci!$A$1:$I$1500,2,0),IF(TYPE(INDIRECT(ADDRESS(ROW() + $A$9-7 + (ROW()-11)*4,2,1,1,"Internet")))&gt;1,INDIRECT(ADDRESS(ROW() + $A$9-7 + (ROW()-11)*4,2,1,1,"Internet"))," "))</f>
        <v xml:space="preserve"> </v>
      </c>
      <c r="W195" s="471" t="str">
        <f ca="1">IF(N(U195)&gt;0,VLOOKUP(U195,Hraci!$A$1:$I$1500,3,0)," ")</f>
        <v xml:space="preserve"> </v>
      </c>
      <c r="X195" s="471" t="str">
        <f ca="1">IF(N(U195)&gt;0,VLOOKUP(U195,Hraci!$A$1:$I$1500,5,0),IF(TYPE(INDIRECT(ADDRESS(ROW() + $A$9-7 + (ROW()-11)*4,3,1,1,"Internet")))&gt;1,INDIRECT(ADDRESS(ROW() + $A$9-7 + (ROW()-11)*4,3,1,1,"Internet"))," "))</f>
        <v xml:space="preserve"> </v>
      </c>
      <c r="Y195" s="472">
        <f ca="1">IF(N(U195)=0,9999,VLOOKUP(U195,Hraci!$A$1:$I$1500,8,0))</f>
        <v>9999</v>
      </c>
      <c r="Z195" s="473">
        <f ca="1">IF(N(U195)=0,0,VLOOKUP(U195,Hraci!$A$1:$I$1500,9,0))</f>
        <v>0</v>
      </c>
      <c r="AA195" s="469" t="str">
        <f t="shared" ca="1" si="74"/>
        <v/>
      </c>
      <c r="AB195" s="470" t="str">
        <f ca="1">IF(N(AA195)&gt;0,VLOOKUP(AA195,Hraci!$A$1:$I$1500,2,0)," ")</f>
        <v xml:space="preserve"> </v>
      </c>
      <c r="AC195" s="471" t="str">
        <f ca="1">IF(N(AA195)&gt;0,VLOOKUP(AA195,Hraci!$A$1:$I$1500,3,0)," ")</f>
        <v xml:space="preserve"> </v>
      </c>
      <c r="AD195" s="471" t="str">
        <f ca="1">IF(N(AA195)&gt;0,VLOOKUP(AA195,Hraci!$A$1:$I$1500,5,0)," ")</f>
        <v xml:space="preserve"> </v>
      </c>
      <c r="AE195" s="472">
        <f ca="1">IF(N(AA195)=0,9999,VLOOKUP(AA195,Hraci!$A$1:$I$1500,8,0))</f>
        <v>9999</v>
      </c>
      <c r="AF195" s="473">
        <f ca="1">IF(N(AA195)=0,0,VLOOKUP(AA195,Hraci!$A$1:$I$1500,9,0))</f>
        <v>0</v>
      </c>
      <c r="AG195" s="474"/>
      <c r="AH195" s="480">
        <f ca="1">IF(TYPE(VLOOKUP(H195,Nasazení!$A$3:$E$258,5,0))&lt;4,VLOOKUP(H195,Nasazení!$A$3:$E$258,5,0),0)</f>
        <v>0</v>
      </c>
      <c r="AI195" s="475" t="str">
        <f ca="1">IF(N($AH195)&gt;0,VLOOKUP($AH195,Body!$A$4:$F$259,5,0),"")</f>
        <v/>
      </c>
      <c r="AJ195" s="476" t="str">
        <f ca="1">IF(N($AH195)&gt;0,VLOOKUP($AH195,Body!$A$4:$F$259,6,0),"")</f>
        <v/>
      </c>
      <c r="AK195" s="475" t="str">
        <f ca="1">IF(N($AH195)&gt;0,VLOOKUP($AH195,Body!$A$4:$F$259,2,0),"")</f>
        <v/>
      </c>
      <c r="AL195" s="477" t="str">
        <f t="shared" ca="1" si="61"/>
        <v/>
      </c>
      <c r="AM195" s="478">
        <f t="shared" ca="1" si="62"/>
        <v>0</v>
      </c>
      <c r="AN195" s="408">
        <f ca="1">IF(OR(TYPE(I195)&gt;1,TYPE(MATCH(I195,I196:I$267,0))&gt;1),0,MATCH(I195,I196:I$267,0))+IF(OR(TYPE(I195)&gt;1,TYPE(MATCH(I195,O$11:O$267,0))&gt;1),0,MATCH(I195,O$11:O$267,0))+IF(OR(TYPE(I195)&gt;1,TYPE(MATCH(I195,U$11:U$267,0))&gt;1),0,MATCH(I195,U$11:U$267,0))+IF(OR(TYPE(I195)&gt;1,TYPE(MATCH(I195,AA$11:AA$267,0))&gt;1),0,MATCH(I195,AA$11:AA$267,0))</f>
        <v>0</v>
      </c>
      <c r="AO195" s="408">
        <f ca="1">IF(OR(TYPE(O195)&gt;1,TYPE(MATCH(O195,I$11:I$267,0))&gt;1),0,MATCH(O195,I$11:I$267,0))+IF(OR(TYPE(O195)&gt;1,TYPE(MATCH(O195,O196:O$267,0))&gt;1),0,MATCH(O195,O196:O$267,0))+IF(OR(TYPE(O195)&gt;1,TYPE(MATCH(O195,U$11:U$267,0))&gt;1),0,MATCH(O195,U$11:U$267,0))+IF(OR(TYPE(O195)&gt;1,TYPE(MATCH(O195,AA$11:AA$267,0))&gt;1),0,MATCH(O195,AA$11:AA$267,0))</f>
        <v>0</v>
      </c>
      <c r="AP195" s="408">
        <f ca="1">IF(OR(TYPE(U195)&gt;1,TYPE(MATCH(U195,I$11:I$267,0))&gt;1),0,MATCH(U195,I$11:I$267,0))+IF(OR(TYPE(U195)&gt;1,TYPE(MATCH(U195,O$11:O$267,0))&gt;1),0,MATCH(U195,O$11:O$267,0))+IF(OR(TYPE(U195)&gt;1,TYPE(MATCH(U195,U196:U$267,0))&gt;1),0,MATCH(U195,U196:U$267,0))+IF(OR(TYPE(U195)&gt;1,TYPE(MATCH(U195,AA$11:AA$267,0))&gt;1),0,MATCH(U195,AA$11:AA$267,0))</f>
        <v>0</v>
      </c>
      <c r="AQ195" s="408">
        <f ca="1">IF(OR(TYPE(AA195)&gt;1,TYPE(MATCH(AA195,I$11:I$267,0))&gt;1),0,MATCH(AA195,I$11:I$267,0))+IF(OR(TYPE(AA195)&gt;1,TYPE(MATCH(AA195,O$11:O$267,0))&gt;1),0,MATCH(AA195,O$11:O$267,0))+IF(OR(TYPE(AA195)&gt;1,TYPE(MATCH(AA195,U$11:U$267,0))&gt;1),0,MATCH(U195,U$11:U$267,0))+IF(OR(TYPE(AA195)&gt;1,TYPE(MATCH(AA195,AA196:AA$267,0))&gt;1),0,MATCH(AA195,AA196:AA$267,0))</f>
        <v>0</v>
      </c>
      <c r="AR195" s="408">
        <f t="shared" ca="1" si="75"/>
        <v>0</v>
      </c>
      <c r="BF195" s="408">
        <f t="shared" si="76"/>
        <v>185</v>
      </c>
    </row>
    <row r="196" spans="1:58" ht="14.25">
      <c r="A196" s="430">
        <f t="shared" ca="1" si="65"/>
        <v>0</v>
      </c>
      <c r="B196" s="430">
        <f t="shared" ca="1" si="66"/>
        <v>0</v>
      </c>
      <c r="C196" s="430">
        <f t="shared" ca="1" si="67"/>
        <v>0</v>
      </c>
      <c r="D196" s="430">
        <f t="shared" ca="1" si="68"/>
        <v>99999</v>
      </c>
      <c r="E196" s="430">
        <f t="shared" ca="1" si="69"/>
        <v>9999</v>
      </c>
      <c r="F196" s="431" t="str">
        <f t="shared" ca="1" si="63"/>
        <v>00000000000000000000120341</v>
      </c>
      <c r="G196" s="467" t="b">
        <f t="shared" ca="1" si="70"/>
        <v>1</v>
      </c>
      <c r="H196" s="468">
        <f t="shared" si="60"/>
        <v>186</v>
      </c>
      <c r="I196" s="469" t="str">
        <f t="shared" ca="1" si="71"/>
        <v/>
      </c>
      <c r="J196" s="470" t="str">
        <f ca="1">IF(N(I196)&gt;0,VLOOKUP(I196,Hraci!$A$1:$I$1500,2,0),IF(TYPE(INDIRECT(ADDRESS(ROW() + $A$9-9 + (ROW()-11)*4,2,1,1,"Internet")))&gt;1,INDIRECT(ADDRESS(ROW() + $A$9-9 + (ROW()-11)*4,2,1,1,"Internet"))," "))</f>
        <v xml:space="preserve"> </v>
      </c>
      <c r="K196" s="471" t="str">
        <f ca="1">IF(N(I196)&gt;0,VLOOKUP(I196,Hraci!$A$1:$I$1500,3,0)," ")</f>
        <v xml:space="preserve"> </v>
      </c>
      <c r="L196" s="471" t="str">
        <f ca="1">IF(N(I196)&gt;0,VLOOKUP(I196,Hraci!$A$1:$I$1500,5,0),IF(TYPE(INDIRECT(ADDRESS(ROW() + $A$9-9 + (ROW()-11)*4,3,1,1,"Internet")))&gt;1,INDIRECT(ADDRESS(ROW() + $A$9-9 + (ROW()-11)*4,3,1,1,"Internet"))," "))</f>
        <v xml:space="preserve"> </v>
      </c>
      <c r="M196" s="472">
        <f ca="1">IF(N(I196)=0,9999,VLOOKUP(I196,Hraci!$A$1:$I$1500,8,0))</f>
        <v>9999</v>
      </c>
      <c r="N196" s="473">
        <f ca="1">IF(N(I196)=0,0,VLOOKUP(I196,Hraci!$A$1:$I$1500,9,0))</f>
        <v>0</v>
      </c>
      <c r="O196" s="469" t="str">
        <f t="shared" ca="1" si="72"/>
        <v/>
      </c>
      <c r="P196" s="470" t="str">
        <f ca="1">IF(N(O196)&gt;0,VLOOKUP(O196,Hraci!$A$1:$I$1500,2,0),IF(TYPE(INDIRECT(ADDRESS(ROW() + $A$9-8 + (ROW()-11)*4,2,1,1,"Internet")))&gt;1,INDIRECT(ADDRESS(ROW() + $A$9-8 + (ROW()-11)*4,2,1,1,"Internet"))," "))</f>
        <v xml:space="preserve"> </v>
      </c>
      <c r="Q196" s="471" t="str">
        <f ca="1">IF(N(O196)&gt;0,VLOOKUP(O196,Hraci!$A$1:$I$1500,3,0)," ")</f>
        <v xml:space="preserve"> </v>
      </c>
      <c r="R196" s="471" t="str">
        <f ca="1">IF(N(O196)&gt;0,VLOOKUP(O196,Hraci!$A$1:$I$1500,5,0),IF(TYPE(INDIRECT(ADDRESS(ROW() + $A$9-8 + (ROW()-11)*4,3,1,1,"Internet")))&gt;1,INDIRECT(ADDRESS(ROW() + $A$9-8 + (ROW()-11)*4,3,1,1,"Internet"))," "))</f>
        <v xml:space="preserve"> </v>
      </c>
      <c r="S196" s="472">
        <f ca="1">IF(N(O196)=0,9999,VLOOKUP(O196,Hraci!$A$1:$I$1500,8,0))</f>
        <v>9999</v>
      </c>
      <c r="T196" s="473">
        <f ca="1">IF(N(O196)=0,0,VLOOKUP(O196,Hraci!$A$1:$I$1500,9,0))</f>
        <v>0</v>
      </c>
      <c r="U196" s="469" t="str">
        <f t="shared" ca="1" si="73"/>
        <v/>
      </c>
      <c r="V196" s="470" t="str">
        <f ca="1">IF(N(U196)&gt;0,VLOOKUP(U196,Hraci!$A$1:$I$1500,2,0),IF(TYPE(INDIRECT(ADDRESS(ROW() + $A$9-7 + (ROW()-11)*4,2,1,1,"Internet")))&gt;1,INDIRECT(ADDRESS(ROW() + $A$9-7 + (ROW()-11)*4,2,1,1,"Internet"))," "))</f>
        <v xml:space="preserve"> </v>
      </c>
      <c r="W196" s="471" t="str">
        <f ca="1">IF(N(U196)&gt;0,VLOOKUP(U196,Hraci!$A$1:$I$1500,3,0)," ")</f>
        <v xml:space="preserve"> </v>
      </c>
      <c r="X196" s="471" t="str">
        <f ca="1">IF(N(U196)&gt;0,VLOOKUP(U196,Hraci!$A$1:$I$1500,5,0),IF(TYPE(INDIRECT(ADDRESS(ROW() + $A$9-7 + (ROW()-11)*4,3,1,1,"Internet")))&gt;1,INDIRECT(ADDRESS(ROW() + $A$9-7 + (ROW()-11)*4,3,1,1,"Internet"))," "))</f>
        <v xml:space="preserve"> </v>
      </c>
      <c r="Y196" s="472">
        <f ca="1">IF(N(U196)=0,9999,VLOOKUP(U196,Hraci!$A$1:$I$1500,8,0))</f>
        <v>9999</v>
      </c>
      <c r="Z196" s="473">
        <f ca="1">IF(N(U196)=0,0,VLOOKUP(U196,Hraci!$A$1:$I$1500,9,0))</f>
        <v>0</v>
      </c>
      <c r="AA196" s="469" t="str">
        <f t="shared" ca="1" si="74"/>
        <v/>
      </c>
      <c r="AB196" s="470" t="str">
        <f ca="1">IF(N(AA196)&gt;0,VLOOKUP(AA196,Hraci!$A$1:$I$1500,2,0)," ")</f>
        <v xml:space="preserve"> </v>
      </c>
      <c r="AC196" s="471" t="str">
        <f ca="1">IF(N(AA196)&gt;0,VLOOKUP(AA196,Hraci!$A$1:$I$1500,3,0)," ")</f>
        <v xml:space="preserve"> </v>
      </c>
      <c r="AD196" s="471" t="str">
        <f ca="1">IF(N(AA196)&gt;0,VLOOKUP(AA196,Hraci!$A$1:$I$1500,5,0)," ")</f>
        <v xml:space="preserve"> </v>
      </c>
      <c r="AE196" s="472">
        <f ca="1">IF(N(AA196)=0,9999,VLOOKUP(AA196,Hraci!$A$1:$I$1500,8,0))</f>
        <v>9999</v>
      </c>
      <c r="AF196" s="473">
        <f ca="1">IF(N(AA196)=0,0,VLOOKUP(AA196,Hraci!$A$1:$I$1500,9,0))</f>
        <v>0</v>
      </c>
      <c r="AG196" s="474"/>
      <c r="AH196" s="480">
        <f ca="1">IF(TYPE(VLOOKUP(H196,Nasazení!$A$3:$E$258,5,0))&lt;4,VLOOKUP(H196,Nasazení!$A$3:$E$258,5,0),0)</f>
        <v>0</v>
      </c>
      <c r="AI196" s="475" t="str">
        <f ca="1">IF(N($AH196)&gt;0,VLOOKUP($AH196,Body!$A$4:$F$259,5,0),"")</f>
        <v/>
      </c>
      <c r="AJ196" s="476" t="str">
        <f ca="1">IF(N($AH196)&gt;0,VLOOKUP($AH196,Body!$A$4:$F$259,6,0),"")</f>
        <v/>
      </c>
      <c r="AK196" s="475" t="str">
        <f ca="1">IF(N($AH196)&gt;0,VLOOKUP($AH196,Body!$A$4:$F$259,2,0),"")</f>
        <v/>
      </c>
      <c r="AL196" s="477" t="str">
        <f t="shared" ca="1" si="61"/>
        <v/>
      </c>
      <c r="AM196" s="478">
        <f t="shared" ca="1" si="62"/>
        <v>0</v>
      </c>
      <c r="AN196" s="408">
        <f ca="1">IF(OR(TYPE(I196)&gt;1,TYPE(MATCH(I196,I197:I$267,0))&gt;1),0,MATCH(I196,I197:I$267,0))+IF(OR(TYPE(I196)&gt;1,TYPE(MATCH(I196,O$11:O$267,0))&gt;1),0,MATCH(I196,O$11:O$267,0))+IF(OR(TYPE(I196)&gt;1,TYPE(MATCH(I196,U$11:U$267,0))&gt;1),0,MATCH(I196,U$11:U$267,0))+IF(OR(TYPE(I196)&gt;1,TYPE(MATCH(I196,AA$11:AA$267,0))&gt;1),0,MATCH(I196,AA$11:AA$267,0))</f>
        <v>0</v>
      </c>
      <c r="AO196" s="408">
        <f ca="1">IF(OR(TYPE(O196)&gt;1,TYPE(MATCH(O196,I$11:I$267,0))&gt;1),0,MATCH(O196,I$11:I$267,0))+IF(OR(TYPE(O196)&gt;1,TYPE(MATCH(O196,O197:O$267,0))&gt;1),0,MATCH(O196,O197:O$267,0))+IF(OR(TYPE(O196)&gt;1,TYPE(MATCH(O196,U$11:U$267,0))&gt;1),0,MATCH(O196,U$11:U$267,0))+IF(OR(TYPE(O196)&gt;1,TYPE(MATCH(O196,AA$11:AA$267,0))&gt;1),0,MATCH(O196,AA$11:AA$267,0))</f>
        <v>0</v>
      </c>
      <c r="AP196" s="408">
        <f ca="1">IF(OR(TYPE(U196)&gt;1,TYPE(MATCH(U196,I$11:I$267,0))&gt;1),0,MATCH(U196,I$11:I$267,0))+IF(OR(TYPE(U196)&gt;1,TYPE(MATCH(U196,O$11:O$267,0))&gt;1),0,MATCH(U196,O$11:O$267,0))+IF(OR(TYPE(U196)&gt;1,TYPE(MATCH(U196,U197:U$267,0))&gt;1),0,MATCH(U196,U197:U$267,0))+IF(OR(TYPE(U196)&gt;1,TYPE(MATCH(U196,AA$11:AA$267,0))&gt;1),0,MATCH(U196,AA$11:AA$267,0))</f>
        <v>0</v>
      </c>
      <c r="AQ196" s="408">
        <f ca="1">IF(OR(TYPE(AA196)&gt;1,TYPE(MATCH(AA196,I$11:I$267,0))&gt;1),0,MATCH(AA196,I$11:I$267,0))+IF(OR(TYPE(AA196)&gt;1,TYPE(MATCH(AA196,O$11:O$267,0))&gt;1),0,MATCH(AA196,O$11:O$267,0))+IF(OR(TYPE(AA196)&gt;1,TYPE(MATCH(AA196,U$11:U$267,0))&gt;1),0,MATCH(U196,U$11:U$267,0))+IF(OR(TYPE(AA196)&gt;1,TYPE(MATCH(AA196,AA197:AA$267,0))&gt;1),0,MATCH(AA196,AA197:AA$267,0))</f>
        <v>0</v>
      </c>
      <c r="AR196" s="408">
        <f t="shared" ca="1" si="75"/>
        <v>0</v>
      </c>
      <c r="BF196" s="408">
        <f t="shared" si="76"/>
        <v>186</v>
      </c>
    </row>
    <row r="197" spans="1:58" ht="14.25">
      <c r="A197" s="430">
        <f t="shared" ca="1" si="65"/>
        <v>0</v>
      </c>
      <c r="B197" s="430">
        <f t="shared" ca="1" si="66"/>
        <v>0</v>
      </c>
      <c r="C197" s="430">
        <f t="shared" ca="1" si="67"/>
        <v>0</v>
      </c>
      <c r="D197" s="430">
        <f t="shared" ca="1" si="68"/>
        <v>99999</v>
      </c>
      <c r="E197" s="430">
        <f t="shared" ca="1" si="69"/>
        <v>9999</v>
      </c>
      <c r="F197" s="431" t="str">
        <f t="shared" ca="1" si="63"/>
        <v>00000000000000000000852772</v>
      </c>
      <c r="G197" s="467" t="b">
        <f t="shared" ca="1" si="70"/>
        <v>1</v>
      </c>
      <c r="H197" s="468">
        <f t="shared" si="60"/>
        <v>187</v>
      </c>
      <c r="I197" s="469" t="str">
        <f t="shared" ca="1" si="71"/>
        <v/>
      </c>
      <c r="J197" s="470" t="str">
        <f ca="1">IF(N(I197)&gt;0,VLOOKUP(I197,Hraci!$A$1:$I$1500,2,0),IF(TYPE(INDIRECT(ADDRESS(ROW() + $A$9-9 + (ROW()-11)*4,2,1,1,"Internet")))&gt;1,INDIRECT(ADDRESS(ROW() + $A$9-9 + (ROW()-11)*4,2,1,1,"Internet"))," "))</f>
        <v xml:space="preserve"> </v>
      </c>
      <c r="K197" s="471" t="str">
        <f ca="1">IF(N(I197)&gt;0,VLOOKUP(I197,Hraci!$A$1:$I$1500,3,0)," ")</f>
        <v xml:space="preserve"> </v>
      </c>
      <c r="L197" s="471" t="str">
        <f ca="1">IF(N(I197)&gt;0,VLOOKUP(I197,Hraci!$A$1:$I$1500,5,0),IF(TYPE(INDIRECT(ADDRESS(ROW() + $A$9-9 + (ROW()-11)*4,3,1,1,"Internet")))&gt;1,INDIRECT(ADDRESS(ROW() + $A$9-9 + (ROW()-11)*4,3,1,1,"Internet"))," "))</f>
        <v xml:space="preserve"> </v>
      </c>
      <c r="M197" s="472">
        <f ca="1">IF(N(I197)=0,9999,VLOOKUP(I197,Hraci!$A$1:$I$1500,8,0))</f>
        <v>9999</v>
      </c>
      <c r="N197" s="473">
        <f ca="1">IF(N(I197)=0,0,VLOOKUP(I197,Hraci!$A$1:$I$1500,9,0))</f>
        <v>0</v>
      </c>
      <c r="O197" s="469" t="str">
        <f t="shared" ca="1" si="72"/>
        <v/>
      </c>
      <c r="P197" s="470" t="str">
        <f ca="1">IF(N(O197)&gt;0,VLOOKUP(O197,Hraci!$A$1:$I$1500,2,0),IF(TYPE(INDIRECT(ADDRESS(ROW() + $A$9-8 + (ROW()-11)*4,2,1,1,"Internet")))&gt;1,INDIRECT(ADDRESS(ROW() + $A$9-8 + (ROW()-11)*4,2,1,1,"Internet"))," "))</f>
        <v xml:space="preserve"> </v>
      </c>
      <c r="Q197" s="471" t="str">
        <f ca="1">IF(N(O197)&gt;0,VLOOKUP(O197,Hraci!$A$1:$I$1500,3,0)," ")</f>
        <v xml:space="preserve"> </v>
      </c>
      <c r="R197" s="471" t="str">
        <f ca="1">IF(N(O197)&gt;0,VLOOKUP(O197,Hraci!$A$1:$I$1500,5,0),IF(TYPE(INDIRECT(ADDRESS(ROW() + $A$9-8 + (ROW()-11)*4,3,1,1,"Internet")))&gt;1,INDIRECT(ADDRESS(ROW() + $A$9-8 + (ROW()-11)*4,3,1,1,"Internet"))," "))</f>
        <v xml:space="preserve"> </v>
      </c>
      <c r="S197" s="472">
        <f ca="1">IF(N(O197)=0,9999,VLOOKUP(O197,Hraci!$A$1:$I$1500,8,0))</f>
        <v>9999</v>
      </c>
      <c r="T197" s="473">
        <f ca="1">IF(N(O197)=0,0,VLOOKUP(O197,Hraci!$A$1:$I$1500,9,0))</f>
        <v>0</v>
      </c>
      <c r="U197" s="469" t="str">
        <f t="shared" ca="1" si="73"/>
        <v/>
      </c>
      <c r="V197" s="470" t="str">
        <f ca="1">IF(N(U197)&gt;0,VLOOKUP(U197,Hraci!$A$1:$I$1500,2,0),IF(TYPE(INDIRECT(ADDRESS(ROW() + $A$9-7 + (ROW()-11)*4,2,1,1,"Internet")))&gt;1,INDIRECT(ADDRESS(ROW() + $A$9-7 + (ROW()-11)*4,2,1,1,"Internet"))," "))</f>
        <v xml:space="preserve"> </v>
      </c>
      <c r="W197" s="471" t="str">
        <f ca="1">IF(N(U197)&gt;0,VLOOKUP(U197,Hraci!$A$1:$I$1500,3,0)," ")</f>
        <v xml:space="preserve"> </v>
      </c>
      <c r="X197" s="471" t="str">
        <f ca="1">IF(N(U197)&gt;0,VLOOKUP(U197,Hraci!$A$1:$I$1500,5,0),IF(TYPE(INDIRECT(ADDRESS(ROW() + $A$9-7 + (ROW()-11)*4,3,1,1,"Internet")))&gt;1,INDIRECT(ADDRESS(ROW() + $A$9-7 + (ROW()-11)*4,3,1,1,"Internet"))," "))</f>
        <v xml:space="preserve"> </v>
      </c>
      <c r="Y197" s="472">
        <f ca="1">IF(N(U197)=0,9999,VLOOKUP(U197,Hraci!$A$1:$I$1500,8,0))</f>
        <v>9999</v>
      </c>
      <c r="Z197" s="473">
        <f ca="1">IF(N(U197)=0,0,VLOOKUP(U197,Hraci!$A$1:$I$1500,9,0))</f>
        <v>0</v>
      </c>
      <c r="AA197" s="469" t="str">
        <f t="shared" ca="1" si="74"/>
        <v/>
      </c>
      <c r="AB197" s="470" t="str">
        <f ca="1">IF(N(AA197)&gt;0,VLOOKUP(AA197,Hraci!$A$1:$I$1500,2,0)," ")</f>
        <v xml:space="preserve"> </v>
      </c>
      <c r="AC197" s="471" t="str">
        <f ca="1">IF(N(AA197)&gt;0,VLOOKUP(AA197,Hraci!$A$1:$I$1500,3,0)," ")</f>
        <v xml:space="preserve"> </v>
      </c>
      <c r="AD197" s="471" t="str">
        <f ca="1">IF(N(AA197)&gt;0,VLOOKUP(AA197,Hraci!$A$1:$I$1500,5,0)," ")</f>
        <v xml:space="preserve"> </v>
      </c>
      <c r="AE197" s="472">
        <f ca="1">IF(N(AA197)=0,9999,VLOOKUP(AA197,Hraci!$A$1:$I$1500,8,0))</f>
        <v>9999</v>
      </c>
      <c r="AF197" s="473">
        <f ca="1">IF(N(AA197)=0,0,VLOOKUP(AA197,Hraci!$A$1:$I$1500,9,0))</f>
        <v>0</v>
      </c>
      <c r="AG197" s="474"/>
      <c r="AH197" s="480">
        <f ca="1">IF(TYPE(VLOOKUP(H197,Nasazení!$A$3:$E$258,5,0))&lt;4,VLOOKUP(H197,Nasazení!$A$3:$E$258,5,0),0)</f>
        <v>0</v>
      </c>
      <c r="AI197" s="475" t="str">
        <f ca="1">IF(N($AH197)&gt;0,VLOOKUP($AH197,Body!$A$4:$F$259,5,0),"")</f>
        <v/>
      </c>
      <c r="AJ197" s="476" t="str">
        <f ca="1">IF(N($AH197)&gt;0,VLOOKUP($AH197,Body!$A$4:$F$259,6,0),"")</f>
        <v/>
      </c>
      <c r="AK197" s="475" t="str">
        <f ca="1">IF(N($AH197)&gt;0,VLOOKUP($AH197,Body!$A$4:$F$259,2,0),"")</f>
        <v/>
      </c>
      <c r="AL197" s="477" t="str">
        <f t="shared" ca="1" si="61"/>
        <v/>
      </c>
      <c r="AM197" s="478">
        <f t="shared" ca="1" si="62"/>
        <v>0</v>
      </c>
      <c r="AN197" s="408">
        <f ca="1">IF(OR(TYPE(I197)&gt;1,TYPE(MATCH(I197,I198:I$267,0))&gt;1),0,MATCH(I197,I198:I$267,0))+IF(OR(TYPE(I197)&gt;1,TYPE(MATCH(I197,O$11:O$267,0))&gt;1),0,MATCH(I197,O$11:O$267,0))+IF(OR(TYPE(I197)&gt;1,TYPE(MATCH(I197,U$11:U$267,0))&gt;1),0,MATCH(I197,U$11:U$267,0))+IF(OR(TYPE(I197)&gt;1,TYPE(MATCH(I197,AA$11:AA$267,0))&gt;1),0,MATCH(I197,AA$11:AA$267,0))</f>
        <v>0</v>
      </c>
      <c r="AO197" s="408">
        <f ca="1">IF(OR(TYPE(O197)&gt;1,TYPE(MATCH(O197,I$11:I$267,0))&gt;1),0,MATCH(O197,I$11:I$267,0))+IF(OR(TYPE(O197)&gt;1,TYPE(MATCH(O197,O198:O$267,0))&gt;1),0,MATCH(O197,O198:O$267,0))+IF(OR(TYPE(O197)&gt;1,TYPE(MATCH(O197,U$11:U$267,0))&gt;1),0,MATCH(O197,U$11:U$267,0))+IF(OR(TYPE(O197)&gt;1,TYPE(MATCH(O197,AA$11:AA$267,0))&gt;1),0,MATCH(O197,AA$11:AA$267,0))</f>
        <v>0</v>
      </c>
      <c r="AP197" s="408">
        <f ca="1">IF(OR(TYPE(U197)&gt;1,TYPE(MATCH(U197,I$11:I$267,0))&gt;1),0,MATCH(U197,I$11:I$267,0))+IF(OR(TYPE(U197)&gt;1,TYPE(MATCH(U197,O$11:O$267,0))&gt;1),0,MATCH(U197,O$11:O$267,0))+IF(OR(TYPE(U197)&gt;1,TYPE(MATCH(U197,U198:U$267,0))&gt;1),0,MATCH(U197,U198:U$267,0))+IF(OR(TYPE(U197)&gt;1,TYPE(MATCH(U197,AA$11:AA$267,0))&gt;1),0,MATCH(U197,AA$11:AA$267,0))</f>
        <v>0</v>
      </c>
      <c r="AQ197" s="408">
        <f ca="1">IF(OR(TYPE(AA197)&gt;1,TYPE(MATCH(AA197,I$11:I$267,0))&gt;1),0,MATCH(AA197,I$11:I$267,0))+IF(OR(TYPE(AA197)&gt;1,TYPE(MATCH(AA197,O$11:O$267,0))&gt;1),0,MATCH(AA197,O$11:O$267,0))+IF(OR(TYPE(AA197)&gt;1,TYPE(MATCH(AA197,U$11:U$267,0))&gt;1),0,MATCH(U197,U$11:U$267,0))+IF(OR(TYPE(AA197)&gt;1,TYPE(MATCH(AA197,AA198:AA$267,0))&gt;1),0,MATCH(AA197,AA198:AA$267,0))</f>
        <v>0</v>
      </c>
      <c r="AR197" s="408">
        <f t="shared" ca="1" si="75"/>
        <v>0</v>
      </c>
      <c r="BF197" s="408">
        <f t="shared" si="76"/>
        <v>187</v>
      </c>
    </row>
    <row r="198" spans="1:58" ht="14.25">
      <c r="A198" s="430">
        <f t="shared" ca="1" si="65"/>
        <v>0</v>
      </c>
      <c r="B198" s="430">
        <f t="shared" ca="1" si="66"/>
        <v>0</v>
      </c>
      <c r="C198" s="430">
        <f t="shared" ca="1" si="67"/>
        <v>0</v>
      </c>
      <c r="D198" s="430">
        <f t="shared" ca="1" si="68"/>
        <v>99999</v>
      </c>
      <c r="E198" s="430">
        <f t="shared" ca="1" si="69"/>
        <v>9999</v>
      </c>
      <c r="F198" s="431" t="str">
        <f t="shared" ca="1" si="63"/>
        <v>00000000000000000000185482</v>
      </c>
      <c r="G198" s="467" t="b">
        <f t="shared" ca="1" si="70"/>
        <v>1</v>
      </c>
      <c r="H198" s="468">
        <f t="shared" si="60"/>
        <v>188</v>
      </c>
      <c r="I198" s="469" t="str">
        <f t="shared" ca="1" si="71"/>
        <v/>
      </c>
      <c r="J198" s="470" t="str">
        <f ca="1">IF(N(I198)&gt;0,VLOOKUP(I198,Hraci!$A$1:$I$1500,2,0),IF(TYPE(INDIRECT(ADDRESS(ROW() + $A$9-9 + (ROW()-11)*4,2,1,1,"Internet")))&gt;1,INDIRECT(ADDRESS(ROW() + $A$9-9 + (ROW()-11)*4,2,1,1,"Internet"))," "))</f>
        <v xml:space="preserve"> </v>
      </c>
      <c r="K198" s="471" t="str">
        <f ca="1">IF(N(I198)&gt;0,VLOOKUP(I198,Hraci!$A$1:$I$1500,3,0)," ")</f>
        <v xml:space="preserve"> </v>
      </c>
      <c r="L198" s="471" t="str">
        <f ca="1">IF(N(I198)&gt;0,VLOOKUP(I198,Hraci!$A$1:$I$1500,5,0),IF(TYPE(INDIRECT(ADDRESS(ROW() + $A$9-9 + (ROW()-11)*4,3,1,1,"Internet")))&gt;1,INDIRECT(ADDRESS(ROW() + $A$9-9 + (ROW()-11)*4,3,1,1,"Internet"))," "))</f>
        <v xml:space="preserve"> </v>
      </c>
      <c r="M198" s="472">
        <f ca="1">IF(N(I198)=0,9999,VLOOKUP(I198,Hraci!$A$1:$I$1500,8,0))</f>
        <v>9999</v>
      </c>
      <c r="N198" s="473">
        <f ca="1">IF(N(I198)=0,0,VLOOKUP(I198,Hraci!$A$1:$I$1500,9,0))</f>
        <v>0</v>
      </c>
      <c r="O198" s="469" t="str">
        <f t="shared" ca="1" si="72"/>
        <v/>
      </c>
      <c r="P198" s="470" t="str">
        <f ca="1">IF(N(O198)&gt;0,VLOOKUP(O198,Hraci!$A$1:$I$1500,2,0),IF(TYPE(INDIRECT(ADDRESS(ROW() + $A$9-8 + (ROW()-11)*4,2,1,1,"Internet")))&gt;1,INDIRECT(ADDRESS(ROW() + $A$9-8 + (ROW()-11)*4,2,1,1,"Internet"))," "))</f>
        <v xml:space="preserve"> </v>
      </c>
      <c r="Q198" s="471" t="str">
        <f ca="1">IF(N(O198)&gt;0,VLOOKUP(O198,Hraci!$A$1:$I$1500,3,0)," ")</f>
        <v xml:space="preserve"> </v>
      </c>
      <c r="R198" s="471" t="str">
        <f ca="1">IF(N(O198)&gt;0,VLOOKUP(O198,Hraci!$A$1:$I$1500,5,0),IF(TYPE(INDIRECT(ADDRESS(ROW() + $A$9-8 + (ROW()-11)*4,3,1,1,"Internet")))&gt;1,INDIRECT(ADDRESS(ROW() + $A$9-8 + (ROW()-11)*4,3,1,1,"Internet"))," "))</f>
        <v xml:space="preserve"> </v>
      </c>
      <c r="S198" s="472">
        <f ca="1">IF(N(O198)=0,9999,VLOOKUP(O198,Hraci!$A$1:$I$1500,8,0))</f>
        <v>9999</v>
      </c>
      <c r="T198" s="473">
        <f ca="1">IF(N(O198)=0,0,VLOOKUP(O198,Hraci!$A$1:$I$1500,9,0))</f>
        <v>0</v>
      </c>
      <c r="U198" s="469" t="str">
        <f t="shared" ca="1" si="73"/>
        <v/>
      </c>
      <c r="V198" s="470" t="str">
        <f ca="1">IF(N(U198)&gt;0,VLOOKUP(U198,Hraci!$A$1:$I$1500,2,0),IF(TYPE(INDIRECT(ADDRESS(ROW() + $A$9-7 + (ROW()-11)*4,2,1,1,"Internet")))&gt;1,INDIRECT(ADDRESS(ROW() + $A$9-7 + (ROW()-11)*4,2,1,1,"Internet"))," "))</f>
        <v xml:space="preserve"> </v>
      </c>
      <c r="W198" s="471" t="str">
        <f ca="1">IF(N(U198)&gt;0,VLOOKUP(U198,Hraci!$A$1:$I$1500,3,0)," ")</f>
        <v xml:space="preserve"> </v>
      </c>
      <c r="X198" s="471" t="str">
        <f ca="1">IF(N(U198)&gt;0,VLOOKUP(U198,Hraci!$A$1:$I$1500,5,0),IF(TYPE(INDIRECT(ADDRESS(ROW() + $A$9-7 + (ROW()-11)*4,3,1,1,"Internet")))&gt;1,INDIRECT(ADDRESS(ROW() + $A$9-7 + (ROW()-11)*4,3,1,1,"Internet"))," "))</f>
        <v xml:space="preserve"> </v>
      </c>
      <c r="Y198" s="472">
        <f ca="1">IF(N(U198)=0,9999,VLOOKUP(U198,Hraci!$A$1:$I$1500,8,0))</f>
        <v>9999</v>
      </c>
      <c r="Z198" s="473">
        <f ca="1">IF(N(U198)=0,0,VLOOKUP(U198,Hraci!$A$1:$I$1500,9,0))</f>
        <v>0</v>
      </c>
      <c r="AA198" s="469" t="str">
        <f t="shared" ca="1" si="74"/>
        <v/>
      </c>
      <c r="AB198" s="470" t="str">
        <f ca="1">IF(N(AA198)&gt;0,VLOOKUP(AA198,Hraci!$A$1:$I$1500,2,0)," ")</f>
        <v xml:space="preserve"> </v>
      </c>
      <c r="AC198" s="471" t="str">
        <f ca="1">IF(N(AA198)&gt;0,VLOOKUP(AA198,Hraci!$A$1:$I$1500,3,0)," ")</f>
        <v xml:space="preserve"> </v>
      </c>
      <c r="AD198" s="471" t="str">
        <f ca="1">IF(N(AA198)&gt;0,VLOOKUP(AA198,Hraci!$A$1:$I$1500,5,0)," ")</f>
        <v xml:space="preserve"> </v>
      </c>
      <c r="AE198" s="472">
        <f ca="1">IF(N(AA198)=0,9999,VLOOKUP(AA198,Hraci!$A$1:$I$1500,8,0))</f>
        <v>9999</v>
      </c>
      <c r="AF198" s="473">
        <f ca="1">IF(N(AA198)=0,0,VLOOKUP(AA198,Hraci!$A$1:$I$1500,9,0))</f>
        <v>0</v>
      </c>
      <c r="AG198" s="474"/>
      <c r="AH198" s="480">
        <f ca="1">IF(TYPE(VLOOKUP(H198,Nasazení!$A$3:$E$258,5,0))&lt;4,VLOOKUP(H198,Nasazení!$A$3:$E$258,5,0),0)</f>
        <v>0</v>
      </c>
      <c r="AI198" s="475" t="str">
        <f ca="1">IF(N($AH198)&gt;0,VLOOKUP($AH198,Body!$A$4:$F$259,5,0),"")</f>
        <v/>
      </c>
      <c r="AJ198" s="476" t="str">
        <f ca="1">IF(N($AH198)&gt;0,VLOOKUP($AH198,Body!$A$4:$F$259,6,0),"")</f>
        <v/>
      </c>
      <c r="AK198" s="475" t="str">
        <f ca="1">IF(N($AH198)&gt;0,VLOOKUP($AH198,Body!$A$4:$F$259,2,0),"")</f>
        <v/>
      </c>
      <c r="AL198" s="477" t="str">
        <f t="shared" ca="1" si="61"/>
        <v/>
      </c>
      <c r="AM198" s="478">
        <f t="shared" ca="1" si="62"/>
        <v>0</v>
      </c>
      <c r="AN198" s="408">
        <f ca="1">IF(OR(TYPE(I198)&gt;1,TYPE(MATCH(I198,I199:I$267,0))&gt;1),0,MATCH(I198,I199:I$267,0))+IF(OR(TYPE(I198)&gt;1,TYPE(MATCH(I198,O$11:O$267,0))&gt;1),0,MATCH(I198,O$11:O$267,0))+IF(OR(TYPE(I198)&gt;1,TYPE(MATCH(I198,U$11:U$267,0))&gt;1),0,MATCH(I198,U$11:U$267,0))+IF(OR(TYPE(I198)&gt;1,TYPE(MATCH(I198,AA$11:AA$267,0))&gt;1),0,MATCH(I198,AA$11:AA$267,0))</f>
        <v>0</v>
      </c>
      <c r="AO198" s="408">
        <f ca="1">IF(OR(TYPE(O198)&gt;1,TYPE(MATCH(O198,I$11:I$267,0))&gt;1),0,MATCH(O198,I$11:I$267,0))+IF(OR(TYPE(O198)&gt;1,TYPE(MATCH(O198,O199:O$267,0))&gt;1),0,MATCH(O198,O199:O$267,0))+IF(OR(TYPE(O198)&gt;1,TYPE(MATCH(O198,U$11:U$267,0))&gt;1),0,MATCH(O198,U$11:U$267,0))+IF(OR(TYPE(O198)&gt;1,TYPE(MATCH(O198,AA$11:AA$267,0))&gt;1),0,MATCH(O198,AA$11:AA$267,0))</f>
        <v>0</v>
      </c>
      <c r="AP198" s="408">
        <f ca="1">IF(OR(TYPE(U198)&gt;1,TYPE(MATCH(U198,I$11:I$267,0))&gt;1),0,MATCH(U198,I$11:I$267,0))+IF(OR(TYPE(U198)&gt;1,TYPE(MATCH(U198,O$11:O$267,0))&gt;1),0,MATCH(U198,O$11:O$267,0))+IF(OR(TYPE(U198)&gt;1,TYPE(MATCH(U198,U199:U$267,0))&gt;1),0,MATCH(U198,U199:U$267,0))+IF(OR(TYPE(U198)&gt;1,TYPE(MATCH(U198,AA$11:AA$267,0))&gt;1),0,MATCH(U198,AA$11:AA$267,0))</f>
        <v>0</v>
      </c>
      <c r="AQ198" s="408">
        <f ca="1">IF(OR(TYPE(AA198)&gt;1,TYPE(MATCH(AA198,I$11:I$267,0))&gt;1),0,MATCH(AA198,I$11:I$267,0))+IF(OR(TYPE(AA198)&gt;1,TYPE(MATCH(AA198,O$11:O$267,0))&gt;1),0,MATCH(AA198,O$11:O$267,0))+IF(OR(TYPE(AA198)&gt;1,TYPE(MATCH(AA198,U$11:U$267,0))&gt;1),0,MATCH(U198,U$11:U$267,0))+IF(OR(TYPE(AA198)&gt;1,TYPE(MATCH(AA198,AA199:AA$267,0))&gt;1),0,MATCH(AA198,AA199:AA$267,0))</f>
        <v>0</v>
      </c>
      <c r="AR198" s="408">
        <f t="shared" ca="1" si="75"/>
        <v>0</v>
      </c>
      <c r="BF198" s="408">
        <f t="shared" si="76"/>
        <v>188</v>
      </c>
    </row>
    <row r="199" spans="1:58" ht="14.25">
      <c r="A199" s="430">
        <f t="shared" ca="1" si="65"/>
        <v>0</v>
      </c>
      <c r="B199" s="430">
        <f t="shared" ca="1" si="66"/>
        <v>0</v>
      </c>
      <c r="C199" s="430">
        <f t="shared" ca="1" si="67"/>
        <v>0</v>
      </c>
      <c r="D199" s="430">
        <f t="shared" ca="1" si="68"/>
        <v>99999</v>
      </c>
      <c r="E199" s="430">
        <f t="shared" ca="1" si="69"/>
        <v>9999</v>
      </c>
      <c r="F199" s="431" t="str">
        <f t="shared" ca="1" si="63"/>
        <v>00000000000000000000643743</v>
      </c>
      <c r="G199" s="467" t="b">
        <f t="shared" ca="1" si="70"/>
        <v>1</v>
      </c>
      <c r="H199" s="468">
        <f t="shared" si="60"/>
        <v>189</v>
      </c>
      <c r="I199" s="469" t="str">
        <f t="shared" ca="1" si="71"/>
        <v/>
      </c>
      <c r="J199" s="470" t="str">
        <f ca="1">IF(N(I199)&gt;0,VLOOKUP(I199,Hraci!$A$1:$I$1500,2,0),IF(TYPE(INDIRECT(ADDRESS(ROW() + $A$9-9 + (ROW()-11)*4,2,1,1,"Internet")))&gt;1,INDIRECT(ADDRESS(ROW() + $A$9-9 + (ROW()-11)*4,2,1,1,"Internet"))," "))</f>
        <v xml:space="preserve"> </v>
      </c>
      <c r="K199" s="471" t="str">
        <f ca="1">IF(N(I199)&gt;0,VLOOKUP(I199,Hraci!$A$1:$I$1500,3,0)," ")</f>
        <v xml:space="preserve"> </v>
      </c>
      <c r="L199" s="471" t="str">
        <f ca="1">IF(N(I199)&gt;0,VLOOKUP(I199,Hraci!$A$1:$I$1500,5,0),IF(TYPE(INDIRECT(ADDRESS(ROW() + $A$9-9 + (ROW()-11)*4,3,1,1,"Internet")))&gt;1,INDIRECT(ADDRESS(ROW() + $A$9-9 + (ROW()-11)*4,3,1,1,"Internet"))," "))</f>
        <v xml:space="preserve"> </v>
      </c>
      <c r="M199" s="472">
        <f ca="1">IF(N(I199)=0,9999,VLOOKUP(I199,Hraci!$A$1:$I$1500,8,0))</f>
        <v>9999</v>
      </c>
      <c r="N199" s="473">
        <f ca="1">IF(N(I199)=0,0,VLOOKUP(I199,Hraci!$A$1:$I$1500,9,0))</f>
        <v>0</v>
      </c>
      <c r="O199" s="469" t="str">
        <f t="shared" ca="1" si="72"/>
        <v/>
      </c>
      <c r="P199" s="470" t="str">
        <f ca="1">IF(N(O199)&gt;0,VLOOKUP(O199,Hraci!$A$1:$I$1500,2,0),IF(TYPE(INDIRECT(ADDRESS(ROW() + $A$9-8 + (ROW()-11)*4,2,1,1,"Internet")))&gt;1,INDIRECT(ADDRESS(ROW() + $A$9-8 + (ROW()-11)*4,2,1,1,"Internet"))," "))</f>
        <v xml:space="preserve"> </v>
      </c>
      <c r="Q199" s="471" t="str">
        <f ca="1">IF(N(O199)&gt;0,VLOOKUP(O199,Hraci!$A$1:$I$1500,3,0)," ")</f>
        <v xml:space="preserve"> </v>
      </c>
      <c r="R199" s="471" t="str">
        <f ca="1">IF(N(O199)&gt;0,VLOOKUP(O199,Hraci!$A$1:$I$1500,5,0),IF(TYPE(INDIRECT(ADDRESS(ROW() + $A$9-8 + (ROW()-11)*4,3,1,1,"Internet")))&gt;1,INDIRECT(ADDRESS(ROW() + $A$9-8 + (ROW()-11)*4,3,1,1,"Internet"))," "))</f>
        <v xml:space="preserve"> </v>
      </c>
      <c r="S199" s="472">
        <f ca="1">IF(N(O199)=0,9999,VLOOKUP(O199,Hraci!$A$1:$I$1500,8,0))</f>
        <v>9999</v>
      </c>
      <c r="T199" s="473">
        <f ca="1">IF(N(O199)=0,0,VLOOKUP(O199,Hraci!$A$1:$I$1500,9,0))</f>
        <v>0</v>
      </c>
      <c r="U199" s="469" t="str">
        <f t="shared" ca="1" si="73"/>
        <v/>
      </c>
      <c r="V199" s="470" t="str">
        <f ca="1">IF(N(U199)&gt;0,VLOOKUP(U199,Hraci!$A$1:$I$1500,2,0),IF(TYPE(INDIRECT(ADDRESS(ROW() + $A$9-7 + (ROW()-11)*4,2,1,1,"Internet")))&gt;1,INDIRECT(ADDRESS(ROW() + $A$9-7 + (ROW()-11)*4,2,1,1,"Internet"))," "))</f>
        <v xml:space="preserve"> </v>
      </c>
      <c r="W199" s="471" t="str">
        <f ca="1">IF(N(U199)&gt;0,VLOOKUP(U199,Hraci!$A$1:$I$1500,3,0)," ")</f>
        <v xml:space="preserve"> </v>
      </c>
      <c r="X199" s="471" t="str">
        <f ca="1">IF(N(U199)&gt;0,VLOOKUP(U199,Hraci!$A$1:$I$1500,5,0),IF(TYPE(INDIRECT(ADDRESS(ROW() + $A$9-7 + (ROW()-11)*4,3,1,1,"Internet")))&gt;1,INDIRECT(ADDRESS(ROW() + $A$9-7 + (ROW()-11)*4,3,1,1,"Internet"))," "))</f>
        <v xml:space="preserve"> </v>
      </c>
      <c r="Y199" s="472">
        <f ca="1">IF(N(U199)=0,9999,VLOOKUP(U199,Hraci!$A$1:$I$1500,8,0))</f>
        <v>9999</v>
      </c>
      <c r="Z199" s="473">
        <f ca="1">IF(N(U199)=0,0,VLOOKUP(U199,Hraci!$A$1:$I$1500,9,0))</f>
        <v>0</v>
      </c>
      <c r="AA199" s="469" t="str">
        <f t="shared" ca="1" si="74"/>
        <v/>
      </c>
      <c r="AB199" s="470" t="str">
        <f ca="1">IF(N(AA199)&gt;0,VLOOKUP(AA199,Hraci!$A$1:$I$1500,2,0)," ")</f>
        <v xml:space="preserve"> </v>
      </c>
      <c r="AC199" s="471" t="str">
        <f ca="1">IF(N(AA199)&gt;0,VLOOKUP(AA199,Hraci!$A$1:$I$1500,3,0)," ")</f>
        <v xml:space="preserve"> </v>
      </c>
      <c r="AD199" s="471" t="str">
        <f ca="1">IF(N(AA199)&gt;0,VLOOKUP(AA199,Hraci!$A$1:$I$1500,5,0)," ")</f>
        <v xml:space="preserve"> </v>
      </c>
      <c r="AE199" s="472">
        <f ca="1">IF(N(AA199)=0,9999,VLOOKUP(AA199,Hraci!$A$1:$I$1500,8,0))</f>
        <v>9999</v>
      </c>
      <c r="AF199" s="473">
        <f ca="1">IF(N(AA199)=0,0,VLOOKUP(AA199,Hraci!$A$1:$I$1500,9,0))</f>
        <v>0</v>
      </c>
      <c r="AG199" s="474"/>
      <c r="AH199" s="480">
        <f ca="1">IF(TYPE(VLOOKUP(H199,Nasazení!$A$3:$E$258,5,0))&lt;4,VLOOKUP(H199,Nasazení!$A$3:$E$258,5,0),0)</f>
        <v>0</v>
      </c>
      <c r="AI199" s="475" t="str">
        <f ca="1">IF(N($AH199)&gt;0,VLOOKUP($AH199,Body!$A$4:$F$259,5,0),"")</f>
        <v/>
      </c>
      <c r="AJ199" s="476" t="str">
        <f ca="1">IF(N($AH199)&gt;0,VLOOKUP($AH199,Body!$A$4:$F$259,6,0),"")</f>
        <v/>
      </c>
      <c r="AK199" s="475" t="str">
        <f ca="1">IF(N($AH199)&gt;0,VLOOKUP($AH199,Body!$A$4:$F$259,2,0),"")</f>
        <v/>
      </c>
      <c r="AL199" s="477" t="str">
        <f t="shared" ca="1" si="61"/>
        <v/>
      </c>
      <c r="AM199" s="478">
        <f t="shared" ca="1" si="62"/>
        <v>0</v>
      </c>
      <c r="AN199" s="408">
        <f ca="1">IF(OR(TYPE(I199)&gt;1,TYPE(MATCH(I199,I200:I$267,0))&gt;1),0,MATCH(I199,I200:I$267,0))+IF(OR(TYPE(I199)&gt;1,TYPE(MATCH(I199,O$11:O$267,0))&gt;1),0,MATCH(I199,O$11:O$267,0))+IF(OR(TYPE(I199)&gt;1,TYPE(MATCH(I199,U$11:U$267,0))&gt;1),0,MATCH(I199,U$11:U$267,0))+IF(OR(TYPE(I199)&gt;1,TYPE(MATCH(I199,AA$11:AA$267,0))&gt;1),0,MATCH(I199,AA$11:AA$267,0))</f>
        <v>0</v>
      </c>
      <c r="AO199" s="408">
        <f ca="1">IF(OR(TYPE(O199)&gt;1,TYPE(MATCH(O199,I$11:I$267,0))&gt;1),0,MATCH(O199,I$11:I$267,0))+IF(OR(TYPE(O199)&gt;1,TYPE(MATCH(O199,O200:O$267,0))&gt;1),0,MATCH(O199,O200:O$267,0))+IF(OR(TYPE(O199)&gt;1,TYPE(MATCH(O199,U$11:U$267,0))&gt;1),0,MATCH(O199,U$11:U$267,0))+IF(OR(TYPE(O199)&gt;1,TYPE(MATCH(O199,AA$11:AA$267,0))&gt;1),0,MATCH(O199,AA$11:AA$267,0))</f>
        <v>0</v>
      </c>
      <c r="AP199" s="408">
        <f ca="1">IF(OR(TYPE(U199)&gt;1,TYPE(MATCH(U199,I$11:I$267,0))&gt;1),0,MATCH(U199,I$11:I$267,0))+IF(OR(TYPE(U199)&gt;1,TYPE(MATCH(U199,O$11:O$267,0))&gt;1),0,MATCH(U199,O$11:O$267,0))+IF(OR(TYPE(U199)&gt;1,TYPE(MATCH(U199,U200:U$267,0))&gt;1),0,MATCH(U199,U200:U$267,0))+IF(OR(TYPE(U199)&gt;1,TYPE(MATCH(U199,AA$11:AA$267,0))&gt;1),0,MATCH(U199,AA$11:AA$267,0))</f>
        <v>0</v>
      </c>
      <c r="AQ199" s="408">
        <f ca="1">IF(OR(TYPE(AA199)&gt;1,TYPE(MATCH(AA199,I$11:I$267,0))&gt;1),0,MATCH(AA199,I$11:I$267,0))+IF(OR(TYPE(AA199)&gt;1,TYPE(MATCH(AA199,O$11:O$267,0))&gt;1),0,MATCH(AA199,O$11:O$267,0))+IF(OR(TYPE(AA199)&gt;1,TYPE(MATCH(AA199,U$11:U$267,0))&gt;1),0,MATCH(U199,U$11:U$267,0))+IF(OR(TYPE(AA199)&gt;1,TYPE(MATCH(AA199,AA200:AA$267,0))&gt;1),0,MATCH(AA199,AA200:AA$267,0))</f>
        <v>0</v>
      </c>
      <c r="AR199" s="408">
        <f t="shared" ca="1" si="75"/>
        <v>0</v>
      </c>
      <c r="BF199" s="408">
        <f t="shared" si="76"/>
        <v>189</v>
      </c>
    </row>
    <row r="200" spans="1:58" ht="14.25">
      <c r="A200" s="430">
        <f t="shared" ca="1" si="65"/>
        <v>0</v>
      </c>
      <c r="B200" s="430">
        <f t="shared" ca="1" si="66"/>
        <v>0</v>
      </c>
      <c r="C200" s="430">
        <f t="shared" ca="1" si="67"/>
        <v>0</v>
      </c>
      <c r="D200" s="430">
        <f t="shared" ca="1" si="68"/>
        <v>99999</v>
      </c>
      <c r="E200" s="430">
        <f t="shared" ca="1" si="69"/>
        <v>9999</v>
      </c>
      <c r="F200" s="431" t="str">
        <f t="shared" ca="1" si="63"/>
        <v>00000000000000000000143038</v>
      </c>
      <c r="G200" s="467" t="b">
        <f t="shared" ca="1" si="70"/>
        <v>1</v>
      </c>
      <c r="H200" s="468">
        <f t="shared" si="60"/>
        <v>190</v>
      </c>
      <c r="I200" s="469" t="str">
        <f t="shared" ca="1" si="71"/>
        <v/>
      </c>
      <c r="J200" s="470" t="str">
        <f ca="1">IF(N(I200)&gt;0,VLOOKUP(I200,Hraci!$A$1:$I$1500,2,0),IF(TYPE(INDIRECT(ADDRESS(ROW() + $A$9-9 + (ROW()-11)*4,2,1,1,"Internet")))&gt;1,INDIRECT(ADDRESS(ROW() + $A$9-9 + (ROW()-11)*4,2,1,1,"Internet"))," "))</f>
        <v xml:space="preserve"> </v>
      </c>
      <c r="K200" s="471" t="str">
        <f ca="1">IF(N(I200)&gt;0,VLOOKUP(I200,Hraci!$A$1:$I$1500,3,0)," ")</f>
        <v xml:space="preserve"> </v>
      </c>
      <c r="L200" s="471" t="str">
        <f ca="1">IF(N(I200)&gt;0,VLOOKUP(I200,Hraci!$A$1:$I$1500,5,0),IF(TYPE(INDIRECT(ADDRESS(ROW() + $A$9-9 + (ROW()-11)*4,3,1,1,"Internet")))&gt;1,INDIRECT(ADDRESS(ROW() + $A$9-9 + (ROW()-11)*4,3,1,1,"Internet"))," "))</f>
        <v xml:space="preserve"> </v>
      </c>
      <c r="M200" s="472">
        <f ca="1">IF(N(I200)=0,9999,VLOOKUP(I200,Hraci!$A$1:$I$1500,8,0))</f>
        <v>9999</v>
      </c>
      <c r="N200" s="473">
        <f ca="1">IF(N(I200)=0,0,VLOOKUP(I200,Hraci!$A$1:$I$1500,9,0))</f>
        <v>0</v>
      </c>
      <c r="O200" s="469" t="str">
        <f t="shared" ca="1" si="72"/>
        <v/>
      </c>
      <c r="P200" s="470" t="str">
        <f ca="1">IF(N(O200)&gt;0,VLOOKUP(O200,Hraci!$A$1:$I$1500,2,0),IF(TYPE(INDIRECT(ADDRESS(ROW() + $A$9-8 + (ROW()-11)*4,2,1,1,"Internet")))&gt;1,INDIRECT(ADDRESS(ROW() + $A$9-8 + (ROW()-11)*4,2,1,1,"Internet"))," "))</f>
        <v xml:space="preserve"> </v>
      </c>
      <c r="Q200" s="471" t="str">
        <f ca="1">IF(N(O200)&gt;0,VLOOKUP(O200,Hraci!$A$1:$I$1500,3,0)," ")</f>
        <v xml:space="preserve"> </v>
      </c>
      <c r="R200" s="471" t="str">
        <f ca="1">IF(N(O200)&gt;0,VLOOKUP(O200,Hraci!$A$1:$I$1500,5,0),IF(TYPE(INDIRECT(ADDRESS(ROW() + $A$9-8 + (ROW()-11)*4,3,1,1,"Internet")))&gt;1,INDIRECT(ADDRESS(ROW() + $A$9-8 + (ROW()-11)*4,3,1,1,"Internet"))," "))</f>
        <v xml:space="preserve"> </v>
      </c>
      <c r="S200" s="472">
        <f ca="1">IF(N(O200)=0,9999,VLOOKUP(O200,Hraci!$A$1:$I$1500,8,0))</f>
        <v>9999</v>
      </c>
      <c r="T200" s="473">
        <f ca="1">IF(N(O200)=0,0,VLOOKUP(O200,Hraci!$A$1:$I$1500,9,0))</f>
        <v>0</v>
      </c>
      <c r="U200" s="469" t="str">
        <f t="shared" ca="1" si="73"/>
        <v/>
      </c>
      <c r="V200" s="470" t="str">
        <f ca="1">IF(N(U200)&gt;0,VLOOKUP(U200,Hraci!$A$1:$I$1500,2,0),IF(TYPE(INDIRECT(ADDRESS(ROW() + $A$9-7 + (ROW()-11)*4,2,1,1,"Internet")))&gt;1,INDIRECT(ADDRESS(ROW() + $A$9-7 + (ROW()-11)*4,2,1,1,"Internet"))," "))</f>
        <v xml:space="preserve"> </v>
      </c>
      <c r="W200" s="471" t="str">
        <f ca="1">IF(N(U200)&gt;0,VLOOKUP(U200,Hraci!$A$1:$I$1500,3,0)," ")</f>
        <v xml:space="preserve"> </v>
      </c>
      <c r="X200" s="471" t="str">
        <f ca="1">IF(N(U200)&gt;0,VLOOKUP(U200,Hraci!$A$1:$I$1500,5,0),IF(TYPE(INDIRECT(ADDRESS(ROW() + $A$9-7 + (ROW()-11)*4,3,1,1,"Internet")))&gt;1,INDIRECT(ADDRESS(ROW() + $A$9-7 + (ROW()-11)*4,3,1,1,"Internet"))," "))</f>
        <v xml:space="preserve"> </v>
      </c>
      <c r="Y200" s="472">
        <f ca="1">IF(N(U200)=0,9999,VLOOKUP(U200,Hraci!$A$1:$I$1500,8,0))</f>
        <v>9999</v>
      </c>
      <c r="Z200" s="473">
        <f ca="1">IF(N(U200)=0,0,VLOOKUP(U200,Hraci!$A$1:$I$1500,9,0))</f>
        <v>0</v>
      </c>
      <c r="AA200" s="469" t="str">
        <f t="shared" ca="1" si="74"/>
        <v/>
      </c>
      <c r="AB200" s="470" t="str">
        <f ca="1">IF(N(AA200)&gt;0,VLOOKUP(AA200,Hraci!$A$1:$I$1500,2,0)," ")</f>
        <v xml:space="preserve"> </v>
      </c>
      <c r="AC200" s="471" t="str">
        <f ca="1">IF(N(AA200)&gt;0,VLOOKUP(AA200,Hraci!$A$1:$I$1500,3,0)," ")</f>
        <v xml:space="preserve"> </v>
      </c>
      <c r="AD200" s="471" t="str">
        <f ca="1">IF(N(AA200)&gt;0,VLOOKUP(AA200,Hraci!$A$1:$I$1500,5,0)," ")</f>
        <v xml:space="preserve"> </v>
      </c>
      <c r="AE200" s="472">
        <f ca="1">IF(N(AA200)=0,9999,VLOOKUP(AA200,Hraci!$A$1:$I$1500,8,0))</f>
        <v>9999</v>
      </c>
      <c r="AF200" s="473">
        <f ca="1">IF(N(AA200)=0,0,VLOOKUP(AA200,Hraci!$A$1:$I$1500,9,0))</f>
        <v>0</v>
      </c>
      <c r="AG200" s="474"/>
      <c r="AH200" s="480">
        <f ca="1">IF(TYPE(VLOOKUP(H200,Nasazení!$A$3:$E$258,5,0))&lt;4,VLOOKUP(H200,Nasazení!$A$3:$E$258,5,0),0)</f>
        <v>0</v>
      </c>
      <c r="AI200" s="475" t="str">
        <f ca="1">IF(N($AH200)&gt;0,VLOOKUP($AH200,Body!$A$4:$F$259,5,0),"")</f>
        <v/>
      </c>
      <c r="AJ200" s="476" t="str">
        <f ca="1">IF(N($AH200)&gt;0,VLOOKUP($AH200,Body!$A$4:$F$259,6,0),"")</f>
        <v/>
      </c>
      <c r="AK200" s="475" t="str">
        <f ca="1">IF(N($AH200)&gt;0,VLOOKUP($AH200,Body!$A$4:$F$259,2,0),"")</f>
        <v/>
      </c>
      <c r="AL200" s="477" t="str">
        <f t="shared" ca="1" si="61"/>
        <v/>
      </c>
      <c r="AM200" s="478">
        <f t="shared" ca="1" si="62"/>
        <v>0</v>
      </c>
      <c r="AN200" s="408">
        <f ca="1">IF(OR(TYPE(I200)&gt;1,TYPE(MATCH(I200,I201:I$267,0))&gt;1),0,MATCH(I200,I201:I$267,0))+IF(OR(TYPE(I200)&gt;1,TYPE(MATCH(I200,O$11:O$267,0))&gt;1),0,MATCH(I200,O$11:O$267,0))+IF(OR(TYPE(I200)&gt;1,TYPE(MATCH(I200,U$11:U$267,0))&gt;1),0,MATCH(I200,U$11:U$267,0))+IF(OR(TYPE(I200)&gt;1,TYPE(MATCH(I200,AA$11:AA$267,0))&gt;1),0,MATCH(I200,AA$11:AA$267,0))</f>
        <v>0</v>
      </c>
      <c r="AO200" s="408">
        <f ca="1">IF(OR(TYPE(O200)&gt;1,TYPE(MATCH(O200,I$11:I$267,0))&gt;1),0,MATCH(O200,I$11:I$267,0))+IF(OR(TYPE(O200)&gt;1,TYPE(MATCH(O200,O201:O$267,0))&gt;1),0,MATCH(O200,O201:O$267,0))+IF(OR(TYPE(O200)&gt;1,TYPE(MATCH(O200,U$11:U$267,0))&gt;1),0,MATCH(O200,U$11:U$267,0))+IF(OR(TYPE(O200)&gt;1,TYPE(MATCH(O200,AA$11:AA$267,0))&gt;1),0,MATCH(O200,AA$11:AA$267,0))</f>
        <v>0</v>
      </c>
      <c r="AP200" s="408">
        <f ca="1">IF(OR(TYPE(U200)&gt;1,TYPE(MATCH(U200,I$11:I$267,0))&gt;1),0,MATCH(U200,I$11:I$267,0))+IF(OR(TYPE(U200)&gt;1,TYPE(MATCH(U200,O$11:O$267,0))&gt;1),0,MATCH(U200,O$11:O$267,0))+IF(OR(TYPE(U200)&gt;1,TYPE(MATCH(U200,U201:U$267,0))&gt;1),0,MATCH(U200,U201:U$267,0))+IF(OR(TYPE(U200)&gt;1,TYPE(MATCH(U200,AA$11:AA$267,0))&gt;1),0,MATCH(U200,AA$11:AA$267,0))</f>
        <v>0</v>
      </c>
      <c r="AQ200" s="408">
        <f ca="1">IF(OR(TYPE(AA200)&gt;1,TYPE(MATCH(AA200,I$11:I$267,0))&gt;1),0,MATCH(AA200,I$11:I$267,0))+IF(OR(TYPE(AA200)&gt;1,TYPE(MATCH(AA200,O$11:O$267,0))&gt;1),0,MATCH(AA200,O$11:O$267,0))+IF(OR(TYPE(AA200)&gt;1,TYPE(MATCH(AA200,U$11:U$267,0))&gt;1),0,MATCH(U200,U$11:U$267,0))+IF(OR(TYPE(AA200)&gt;1,TYPE(MATCH(AA200,AA201:AA$267,0))&gt;1),0,MATCH(AA200,AA201:AA$267,0))</f>
        <v>0</v>
      </c>
      <c r="AR200" s="408">
        <f t="shared" ca="1" si="75"/>
        <v>0</v>
      </c>
      <c r="BF200" s="408">
        <f t="shared" si="76"/>
        <v>190</v>
      </c>
    </row>
    <row r="201" spans="1:58" ht="14.25">
      <c r="A201" s="430">
        <f t="shared" ca="1" si="65"/>
        <v>0</v>
      </c>
      <c r="B201" s="430">
        <f t="shared" ca="1" si="66"/>
        <v>0</v>
      </c>
      <c r="C201" s="430">
        <f t="shared" ca="1" si="67"/>
        <v>0</v>
      </c>
      <c r="D201" s="430">
        <f t="shared" ca="1" si="68"/>
        <v>99999</v>
      </c>
      <c r="E201" s="430">
        <f t="shared" ca="1" si="69"/>
        <v>9999</v>
      </c>
      <c r="F201" s="431" t="str">
        <f t="shared" ca="1" si="63"/>
        <v>00000000000000000000169175</v>
      </c>
      <c r="G201" s="467" t="b">
        <f t="shared" ca="1" si="70"/>
        <v>1</v>
      </c>
      <c r="H201" s="468">
        <f t="shared" si="60"/>
        <v>191</v>
      </c>
      <c r="I201" s="469" t="str">
        <f t="shared" ca="1" si="71"/>
        <v/>
      </c>
      <c r="J201" s="470" t="str">
        <f ca="1">IF(N(I201)&gt;0,VLOOKUP(I201,Hraci!$A$1:$I$1500,2,0),IF(TYPE(INDIRECT(ADDRESS(ROW() + $A$9-9 + (ROW()-11)*4,2,1,1,"Internet")))&gt;1,INDIRECT(ADDRESS(ROW() + $A$9-9 + (ROW()-11)*4,2,1,1,"Internet"))," "))</f>
        <v xml:space="preserve"> </v>
      </c>
      <c r="K201" s="471" t="str">
        <f ca="1">IF(N(I201)&gt;0,VLOOKUP(I201,Hraci!$A$1:$I$1500,3,0)," ")</f>
        <v xml:space="preserve"> </v>
      </c>
      <c r="L201" s="471" t="str">
        <f ca="1">IF(N(I201)&gt;0,VLOOKUP(I201,Hraci!$A$1:$I$1500,5,0),IF(TYPE(INDIRECT(ADDRESS(ROW() + $A$9-9 + (ROW()-11)*4,3,1,1,"Internet")))&gt;1,INDIRECT(ADDRESS(ROW() + $A$9-9 + (ROW()-11)*4,3,1,1,"Internet"))," "))</f>
        <v xml:space="preserve"> </v>
      </c>
      <c r="M201" s="472">
        <f ca="1">IF(N(I201)=0,9999,VLOOKUP(I201,Hraci!$A$1:$I$1500,8,0))</f>
        <v>9999</v>
      </c>
      <c r="N201" s="473">
        <f ca="1">IF(N(I201)=0,0,VLOOKUP(I201,Hraci!$A$1:$I$1500,9,0))</f>
        <v>0</v>
      </c>
      <c r="O201" s="469" t="str">
        <f t="shared" ca="1" si="72"/>
        <v/>
      </c>
      <c r="P201" s="470" t="str">
        <f ca="1">IF(N(O201)&gt;0,VLOOKUP(O201,Hraci!$A$1:$I$1500,2,0),IF(TYPE(INDIRECT(ADDRESS(ROW() + $A$9-8 + (ROW()-11)*4,2,1,1,"Internet")))&gt;1,INDIRECT(ADDRESS(ROW() + $A$9-8 + (ROW()-11)*4,2,1,1,"Internet"))," "))</f>
        <v xml:space="preserve"> </v>
      </c>
      <c r="Q201" s="471" t="str">
        <f ca="1">IF(N(O201)&gt;0,VLOOKUP(O201,Hraci!$A$1:$I$1500,3,0)," ")</f>
        <v xml:space="preserve"> </v>
      </c>
      <c r="R201" s="471" t="str">
        <f ca="1">IF(N(O201)&gt;0,VLOOKUP(O201,Hraci!$A$1:$I$1500,5,0),IF(TYPE(INDIRECT(ADDRESS(ROW() + $A$9-8 + (ROW()-11)*4,3,1,1,"Internet")))&gt;1,INDIRECT(ADDRESS(ROW() + $A$9-8 + (ROW()-11)*4,3,1,1,"Internet"))," "))</f>
        <v xml:space="preserve"> </v>
      </c>
      <c r="S201" s="472">
        <f ca="1">IF(N(O201)=0,9999,VLOOKUP(O201,Hraci!$A$1:$I$1500,8,0))</f>
        <v>9999</v>
      </c>
      <c r="T201" s="473">
        <f ca="1">IF(N(O201)=0,0,VLOOKUP(O201,Hraci!$A$1:$I$1500,9,0))</f>
        <v>0</v>
      </c>
      <c r="U201" s="469" t="str">
        <f t="shared" ca="1" si="73"/>
        <v/>
      </c>
      <c r="V201" s="470" t="str">
        <f ca="1">IF(N(U201)&gt;0,VLOOKUP(U201,Hraci!$A$1:$I$1500,2,0),IF(TYPE(INDIRECT(ADDRESS(ROW() + $A$9-7 + (ROW()-11)*4,2,1,1,"Internet")))&gt;1,INDIRECT(ADDRESS(ROW() + $A$9-7 + (ROW()-11)*4,2,1,1,"Internet"))," "))</f>
        <v xml:space="preserve"> </v>
      </c>
      <c r="W201" s="471" t="str">
        <f ca="1">IF(N(U201)&gt;0,VLOOKUP(U201,Hraci!$A$1:$I$1500,3,0)," ")</f>
        <v xml:space="preserve"> </v>
      </c>
      <c r="X201" s="471" t="str">
        <f ca="1">IF(N(U201)&gt;0,VLOOKUP(U201,Hraci!$A$1:$I$1500,5,0),IF(TYPE(INDIRECT(ADDRESS(ROW() + $A$9-7 + (ROW()-11)*4,3,1,1,"Internet")))&gt;1,INDIRECT(ADDRESS(ROW() + $A$9-7 + (ROW()-11)*4,3,1,1,"Internet"))," "))</f>
        <v xml:space="preserve"> </v>
      </c>
      <c r="Y201" s="472">
        <f ca="1">IF(N(U201)=0,9999,VLOOKUP(U201,Hraci!$A$1:$I$1500,8,0))</f>
        <v>9999</v>
      </c>
      <c r="Z201" s="473">
        <f ca="1">IF(N(U201)=0,0,VLOOKUP(U201,Hraci!$A$1:$I$1500,9,0))</f>
        <v>0</v>
      </c>
      <c r="AA201" s="469" t="str">
        <f t="shared" ca="1" si="74"/>
        <v/>
      </c>
      <c r="AB201" s="470" t="str">
        <f ca="1">IF(N(AA201)&gt;0,VLOOKUP(AA201,Hraci!$A$1:$I$1500,2,0)," ")</f>
        <v xml:space="preserve"> </v>
      </c>
      <c r="AC201" s="471" t="str">
        <f ca="1">IF(N(AA201)&gt;0,VLOOKUP(AA201,Hraci!$A$1:$I$1500,3,0)," ")</f>
        <v xml:space="preserve"> </v>
      </c>
      <c r="AD201" s="471" t="str">
        <f ca="1">IF(N(AA201)&gt;0,VLOOKUP(AA201,Hraci!$A$1:$I$1500,5,0)," ")</f>
        <v xml:space="preserve"> </v>
      </c>
      <c r="AE201" s="472">
        <f ca="1">IF(N(AA201)=0,9999,VLOOKUP(AA201,Hraci!$A$1:$I$1500,8,0))</f>
        <v>9999</v>
      </c>
      <c r="AF201" s="473">
        <f ca="1">IF(N(AA201)=0,0,VLOOKUP(AA201,Hraci!$A$1:$I$1500,9,0))</f>
        <v>0</v>
      </c>
      <c r="AG201" s="474"/>
      <c r="AH201" s="480">
        <f ca="1">IF(TYPE(VLOOKUP(H201,Nasazení!$A$3:$E$258,5,0))&lt;4,VLOOKUP(H201,Nasazení!$A$3:$E$258,5,0),0)</f>
        <v>0</v>
      </c>
      <c r="AI201" s="475" t="str">
        <f ca="1">IF(N($AH201)&gt;0,VLOOKUP($AH201,Body!$A$4:$F$259,5,0),"")</f>
        <v/>
      </c>
      <c r="AJ201" s="476" t="str">
        <f ca="1">IF(N($AH201)&gt;0,VLOOKUP($AH201,Body!$A$4:$F$259,6,0),"")</f>
        <v/>
      </c>
      <c r="AK201" s="475" t="str">
        <f ca="1">IF(N($AH201)&gt;0,VLOOKUP($AH201,Body!$A$4:$F$259,2,0),"")</f>
        <v/>
      </c>
      <c r="AL201" s="477" t="str">
        <f t="shared" ca="1" si="61"/>
        <v/>
      </c>
      <c r="AM201" s="478">
        <f t="shared" ca="1" si="62"/>
        <v>0</v>
      </c>
      <c r="AN201" s="408">
        <f ca="1">IF(OR(TYPE(I201)&gt;1,TYPE(MATCH(I201,I202:I$267,0))&gt;1),0,MATCH(I201,I202:I$267,0))+IF(OR(TYPE(I201)&gt;1,TYPE(MATCH(I201,O$11:O$267,0))&gt;1),0,MATCH(I201,O$11:O$267,0))+IF(OR(TYPE(I201)&gt;1,TYPE(MATCH(I201,U$11:U$267,0))&gt;1),0,MATCH(I201,U$11:U$267,0))+IF(OR(TYPE(I201)&gt;1,TYPE(MATCH(I201,AA$11:AA$267,0))&gt;1),0,MATCH(I201,AA$11:AA$267,0))</f>
        <v>0</v>
      </c>
      <c r="AO201" s="408">
        <f ca="1">IF(OR(TYPE(O201)&gt;1,TYPE(MATCH(O201,I$11:I$267,0))&gt;1),0,MATCH(O201,I$11:I$267,0))+IF(OR(TYPE(O201)&gt;1,TYPE(MATCH(O201,O202:O$267,0))&gt;1),0,MATCH(O201,O202:O$267,0))+IF(OR(TYPE(O201)&gt;1,TYPE(MATCH(O201,U$11:U$267,0))&gt;1),0,MATCH(O201,U$11:U$267,0))+IF(OR(TYPE(O201)&gt;1,TYPE(MATCH(O201,AA$11:AA$267,0))&gt;1),0,MATCH(O201,AA$11:AA$267,0))</f>
        <v>0</v>
      </c>
      <c r="AP201" s="408">
        <f ca="1">IF(OR(TYPE(U201)&gt;1,TYPE(MATCH(U201,I$11:I$267,0))&gt;1),0,MATCH(U201,I$11:I$267,0))+IF(OR(TYPE(U201)&gt;1,TYPE(MATCH(U201,O$11:O$267,0))&gt;1),0,MATCH(U201,O$11:O$267,0))+IF(OR(TYPE(U201)&gt;1,TYPE(MATCH(U201,U202:U$267,0))&gt;1),0,MATCH(U201,U202:U$267,0))+IF(OR(TYPE(U201)&gt;1,TYPE(MATCH(U201,AA$11:AA$267,0))&gt;1),0,MATCH(U201,AA$11:AA$267,0))</f>
        <v>0</v>
      </c>
      <c r="AQ201" s="408">
        <f ca="1">IF(OR(TYPE(AA201)&gt;1,TYPE(MATCH(AA201,I$11:I$267,0))&gt;1),0,MATCH(AA201,I$11:I$267,0))+IF(OR(TYPE(AA201)&gt;1,TYPE(MATCH(AA201,O$11:O$267,0))&gt;1),0,MATCH(AA201,O$11:O$267,0))+IF(OR(TYPE(AA201)&gt;1,TYPE(MATCH(AA201,U$11:U$267,0))&gt;1),0,MATCH(U201,U$11:U$267,0))+IF(OR(TYPE(AA201)&gt;1,TYPE(MATCH(AA201,AA202:AA$267,0))&gt;1),0,MATCH(AA201,AA202:AA$267,0))</f>
        <v>0</v>
      </c>
      <c r="AR201" s="408">
        <f t="shared" ca="1" si="75"/>
        <v>0</v>
      </c>
      <c r="BF201" s="408">
        <f t="shared" si="76"/>
        <v>191</v>
      </c>
    </row>
    <row r="202" spans="1:58" ht="14.25">
      <c r="A202" s="430">
        <f t="shared" ca="1" si="65"/>
        <v>0</v>
      </c>
      <c r="B202" s="430">
        <f t="shared" ca="1" si="66"/>
        <v>0</v>
      </c>
      <c r="C202" s="430">
        <f t="shared" ca="1" si="67"/>
        <v>0</v>
      </c>
      <c r="D202" s="430">
        <f t="shared" ca="1" si="68"/>
        <v>99999</v>
      </c>
      <c r="E202" s="400">
        <f t="shared" ca="1" si="69"/>
        <v>9999</v>
      </c>
      <c r="F202" s="431" t="str">
        <f t="shared" ca="1" si="63"/>
        <v>00000000000000000000030327</v>
      </c>
      <c r="G202" s="467" t="b">
        <f t="shared" ca="1" si="70"/>
        <v>1</v>
      </c>
      <c r="H202" s="468">
        <f t="shared" si="60"/>
        <v>192</v>
      </c>
      <c r="I202" s="469" t="str">
        <f t="shared" ca="1" si="71"/>
        <v/>
      </c>
      <c r="J202" s="470" t="str">
        <f ca="1">IF(N(I202)&gt;0,VLOOKUP(I202,Hraci!$A$1:$I$1500,2,0),IF(TYPE(INDIRECT(ADDRESS(ROW() + $A$9-9 + (ROW()-11)*4,2,1,1,"Internet")))&gt;1,INDIRECT(ADDRESS(ROW() + $A$9-9 + (ROW()-11)*4,2,1,1,"Internet"))," "))</f>
        <v xml:space="preserve"> </v>
      </c>
      <c r="K202" s="471" t="str">
        <f ca="1">IF(N(I202)&gt;0,VLOOKUP(I202,Hraci!$A$1:$I$1500,3,0)," ")</f>
        <v xml:space="preserve"> </v>
      </c>
      <c r="L202" s="471" t="str">
        <f ca="1">IF(N(I202)&gt;0,VLOOKUP(I202,Hraci!$A$1:$I$1500,5,0),IF(TYPE(INDIRECT(ADDRESS(ROW() + $A$9-9 + (ROW()-11)*4,3,1,1,"Internet")))&gt;1,INDIRECT(ADDRESS(ROW() + $A$9-9 + (ROW()-11)*4,3,1,1,"Internet"))," "))</f>
        <v xml:space="preserve"> </v>
      </c>
      <c r="M202" s="472">
        <f ca="1">IF(N(I202)=0,9999,VLOOKUP(I202,Hraci!$A$1:$I$1500,8,0))</f>
        <v>9999</v>
      </c>
      <c r="N202" s="473">
        <f ca="1">IF(N(I202)=0,0,VLOOKUP(I202,Hraci!$A$1:$I$1500,9,0))</f>
        <v>0</v>
      </c>
      <c r="O202" s="469" t="str">
        <f t="shared" ca="1" si="72"/>
        <v/>
      </c>
      <c r="P202" s="470" t="str">
        <f ca="1">IF(N(O202)&gt;0,VLOOKUP(O202,Hraci!$A$1:$I$1500,2,0),IF(TYPE(INDIRECT(ADDRESS(ROW() + $A$9-8 + (ROW()-11)*4,2,1,1,"Internet")))&gt;1,INDIRECT(ADDRESS(ROW() + $A$9-8 + (ROW()-11)*4,2,1,1,"Internet"))," "))</f>
        <v xml:space="preserve"> </v>
      </c>
      <c r="Q202" s="471" t="str">
        <f ca="1">IF(N(O202)&gt;0,VLOOKUP(O202,Hraci!$A$1:$I$1500,3,0)," ")</f>
        <v xml:space="preserve"> </v>
      </c>
      <c r="R202" s="471" t="str">
        <f ca="1">IF(N(O202)&gt;0,VLOOKUP(O202,Hraci!$A$1:$I$1500,5,0),IF(TYPE(INDIRECT(ADDRESS(ROW() + $A$9-8 + (ROW()-11)*4,3,1,1,"Internet")))&gt;1,INDIRECT(ADDRESS(ROW() + $A$9-8 + (ROW()-11)*4,3,1,1,"Internet"))," "))</f>
        <v xml:space="preserve"> </v>
      </c>
      <c r="S202" s="472">
        <f ca="1">IF(N(O202)=0,9999,VLOOKUP(O202,Hraci!$A$1:$I$1500,8,0))</f>
        <v>9999</v>
      </c>
      <c r="T202" s="473">
        <f ca="1">IF(N(O202)=0,0,VLOOKUP(O202,Hraci!$A$1:$I$1500,9,0))</f>
        <v>0</v>
      </c>
      <c r="U202" s="469" t="str">
        <f t="shared" ca="1" si="73"/>
        <v/>
      </c>
      <c r="V202" s="470" t="str">
        <f ca="1">IF(N(U202)&gt;0,VLOOKUP(U202,Hraci!$A$1:$I$1500,2,0),IF(TYPE(INDIRECT(ADDRESS(ROW() + $A$9-7 + (ROW()-11)*4,2,1,1,"Internet")))&gt;1,INDIRECT(ADDRESS(ROW() + $A$9-7 + (ROW()-11)*4,2,1,1,"Internet"))," "))</f>
        <v xml:space="preserve"> </v>
      </c>
      <c r="W202" s="471" t="str">
        <f ca="1">IF(N(U202)&gt;0,VLOOKUP(U202,Hraci!$A$1:$I$1500,3,0)," ")</f>
        <v xml:space="preserve"> </v>
      </c>
      <c r="X202" s="471" t="str">
        <f ca="1">IF(N(U202)&gt;0,VLOOKUP(U202,Hraci!$A$1:$I$1500,5,0),IF(TYPE(INDIRECT(ADDRESS(ROW() + $A$9-7 + (ROW()-11)*4,3,1,1,"Internet")))&gt;1,INDIRECT(ADDRESS(ROW() + $A$9-7 + (ROW()-11)*4,3,1,1,"Internet"))," "))</f>
        <v xml:space="preserve"> </v>
      </c>
      <c r="Y202" s="472">
        <f ca="1">IF(N(U202)=0,9999,VLOOKUP(U202,Hraci!$A$1:$I$1500,8,0))</f>
        <v>9999</v>
      </c>
      <c r="Z202" s="473">
        <f ca="1">IF(N(U202)=0,0,VLOOKUP(U202,Hraci!$A$1:$I$1500,9,0))</f>
        <v>0</v>
      </c>
      <c r="AA202" s="469" t="str">
        <f t="shared" ca="1" si="74"/>
        <v/>
      </c>
      <c r="AB202" s="470" t="str">
        <f ca="1">IF(N(AA202)&gt;0,VLOOKUP(AA202,Hraci!$A$1:$I$1500,2,0)," ")</f>
        <v xml:space="preserve"> </v>
      </c>
      <c r="AC202" s="471" t="str">
        <f ca="1">IF(N(AA202)&gt;0,VLOOKUP(AA202,Hraci!$A$1:$I$1500,3,0)," ")</f>
        <v xml:space="preserve"> </v>
      </c>
      <c r="AD202" s="471" t="str">
        <f ca="1">IF(N(AA202)&gt;0,VLOOKUP(AA202,Hraci!$A$1:$I$1500,5,0)," ")</f>
        <v xml:space="preserve"> </v>
      </c>
      <c r="AE202" s="472">
        <f ca="1">IF(N(AA202)=0,9999,VLOOKUP(AA202,Hraci!$A$1:$I$1500,8,0))</f>
        <v>9999</v>
      </c>
      <c r="AF202" s="473">
        <f ca="1">IF(N(AA202)=0,0,VLOOKUP(AA202,Hraci!$A$1:$I$1500,9,0))</f>
        <v>0</v>
      </c>
      <c r="AG202" s="474"/>
      <c r="AH202" s="480">
        <f ca="1">IF(TYPE(VLOOKUP(H202,Nasazení!$A$3:$E$258,5,0))&lt;4,VLOOKUP(H202,Nasazení!$A$3:$E$258,5,0),0)</f>
        <v>0</v>
      </c>
      <c r="AI202" s="475" t="str">
        <f ca="1">IF(N($AH202)&gt;0,VLOOKUP($AH202,Body!$A$4:$F$259,5,0),"")</f>
        <v/>
      </c>
      <c r="AJ202" s="476" t="str">
        <f ca="1">IF(N($AH202)&gt;0,VLOOKUP($AH202,Body!$A$4:$F$259,6,0),"")</f>
        <v/>
      </c>
      <c r="AK202" s="475" t="str">
        <f ca="1">IF(N($AH202)&gt;0,VLOOKUP($AH202,Body!$A$4:$F$259,2,0),"")</f>
        <v/>
      </c>
      <c r="AL202" s="477" t="str">
        <f t="shared" ca="1" si="61"/>
        <v/>
      </c>
      <c r="AM202" s="478">
        <f t="shared" ca="1" si="62"/>
        <v>0</v>
      </c>
      <c r="AN202" s="408">
        <f ca="1">IF(OR(TYPE(I202)&gt;1,TYPE(MATCH(I202,I203:I$267,0))&gt;1),0,MATCH(I202,I203:I$267,0))+IF(OR(TYPE(I202)&gt;1,TYPE(MATCH(I202,O$11:O$267,0))&gt;1),0,MATCH(I202,O$11:O$267,0))+IF(OR(TYPE(I202)&gt;1,TYPE(MATCH(I202,U$11:U$267,0))&gt;1),0,MATCH(I202,U$11:U$267,0))+IF(OR(TYPE(I202)&gt;1,TYPE(MATCH(I202,AA$11:AA$267,0))&gt;1),0,MATCH(I202,AA$11:AA$267,0))</f>
        <v>0</v>
      </c>
      <c r="AO202" s="408">
        <f ca="1">IF(OR(TYPE(O202)&gt;1,TYPE(MATCH(O202,I$11:I$267,0))&gt;1),0,MATCH(O202,I$11:I$267,0))+IF(OR(TYPE(O202)&gt;1,TYPE(MATCH(O202,O203:O$267,0))&gt;1),0,MATCH(O202,O203:O$267,0))+IF(OR(TYPE(O202)&gt;1,TYPE(MATCH(O202,U$11:U$267,0))&gt;1),0,MATCH(O202,U$11:U$267,0))+IF(OR(TYPE(O202)&gt;1,TYPE(MATCH(O202,AA$11:AA$267,0))&gt;1),0,MATCH(O202,AA$11:AA$267,0))</f>
        <v>0</v>
      </c>
      <c r="AP202" s="408">
        <f ca="1">IF(OR(TYPE(U202)&gt;1,TYPE(MATCH(U202,I$11:I$267,0))&gt;1),0,MATCH(U202,I$11:I$267,0))+IF(OR(TYPE(U202)&gt;1,TYPE(MATCH(U202,O$11:O$267,0))&gt;1),0,MATCH(U202,O$11:O$267,0))+IF(OR(TYPE(U202)&gt;1,TYPE(MATCH(U202,U203:U$267,0))&gt;1),0,MATCH(U202,U203:U$267,0))+IF(OR(TYPE(U202)&gt;1,TYPE(MATCH(U202,AA$11:AA$267,0))&gt;1),0,MATCH(U202,AA$11:AA$267,0))</f>
        <v>0</v>
      </c>
      <c r="AQ202" s="408">
        <f ca="1">IF(OR(TYPE(AA202)&gt;1,TYPE(MATCH(AA202,I$11:I$267,0))&gt;1),0,MATCH(AA202,I$11:I$267,0))+IF(OR(TYPE(AA202)&gt;1,TYPE(MATCH(AA202,O$11:O$267,0))&gt;1),0,MATCH(AA202,O$11:O$267,0))+IF(OR(TYPE(AA202)&gt;1,TYPE(MATCH(AA202,U$11:U$267,0))&gt;1),0,MATCH(U202,U$11:U$267,0))+IF(OR(TYPE(AA202)&gt;1,TYPE(MATCH(AA202,AA203:AA$267,0))&gt;1),0,MATCH(AA202,AA203:AA$267,0))</f>
        <v>0</v>
      </c>
      <c r="AR202" s="408">
        <f t="shared" ca="1" si="75"/>
        <v>0</v>
      </c>
      <c r="BF202" s="408">
        <f t="shared" si="76"/>
        <v>192</v>
      </c>
    </row>
    <row r="203" spans="1:58" ht="14.25">
      <c r="A203" s="430">
        <f t="shared" ca="1" si="65"/>
        <v>0</v>
      </c>
      <c r="B203" s="430">
        <f t="shared" ca="1" si="66"/>
        <v>0</v>
      </c>
      <c r="C203" s="430">
        <f t="shared" ca="1" si="67"/>
        <v>0</v>
      </c>
      <c r="D203" s="430">
        <f t="shared" ca="1" si="68"/>
        <v>99999</v>
      </c>
      <c r="E203" s="430">
        <f t="shared" ca="1" si="69"/>
        <v>9999</v>
      </c>
      <c r="F203" s="431" t="str">
        <f t="shared" ca="1" si="63"/>
        <v>00000000000000000000388298</v>
      </c>
      <c r="G203" s="467" t="b">
        <f t="shared" ca="1" si="70"/>
        <v>1</v>
      </c>
      <c r="H203" s="468">
        <f t="shared" ref="H203:H266" si="77">ROW(H203)-10</f>
        <v>193</v>
      </c>
      <c r="I203" s="469" t="str">
        <f t="shared" ca="1" si="71"/>
        <v/>
      </c>
      <c r="J203" s="470" t="str">
        <f ca="1">IF(N(I203)&gt;0,VLOOKUP(I203,Hraci!$A$1:$I$1500,2,0),IF(TYPE(INDIRECT(ADDRESS(ROW() + $A$9-9 + (ROW()-11)*4,2,1,1,"Internet")))&gt;1,INDIRECT(ADDRESS(ROW() + $A$9-9 + (ROW()-11)*4,2,1,1,"Internet"))," "))</f>
        <v xml:space="preserve"> </v>
      </c>
      <c r="K203" s="471" t="str">
        <f ca="1">IF(N(I203)&gt;0,VLOOKUP(I203,Hraci!$A$1:$I$1500,3,0)," ")</f>
        <v xml:space="preserve"> </v>
      </c>
      <c r="L203" s="471" t="str">
        <f ca="1">IF(N(I203)&gt;0,VLOOKUP(I203,Hraci!$A$1:$I$1500,5,0),IF(TYPE(INDIRECT(ADDRESS(ROW() + $A$9-9 + (ROW()-11)*4,3,1,1,"Internet")))&gt;1,INDIRECT(ADDRESS(ROW() + $A$9-9 + (ROW()-11)*4,3,1,1,"Internet"))," "))</f>
        <v xml:space="preserve"> </v>
      </c>
      <c r="M203" s="472">
        <f ca="1">IF(N(I203)=0,9999,VLOOKUP(I203,Hraci!$A$1:$I$1500,8,0))</f>
        <v>9999</v>
      </c>
      <c r="N203" s="473">
        <f ca="1">IF(N(I203)=0,0,VLOOKUP(I203,Hraci!$A$1:$I$1500,9,0))</f>
        <v>0</v>
      </c>
      <c r="O203" s="469" t="str">
        <f t="shared" ca="1" si="72"/>
        <v/>
      </c>
      <c r="P203" s="470" t="str">
        <f ca="1">IF(N(O203)&gt;0,VLOOKUP(O203,Hraci!$A$1:$I$1500,2,0),IF(TYPE(INDIRECT(ADDRESS(ROW() + $A$9-8 + (ROW()-11)*4,2,1,1,"Internet")))&gt;1,INDIRECT(ADDRESS(ROW() + $A$9-8 + (ROW()-11)*4,2,1,1,"Internet"))," "))</f>
        <v xml:space="preserve"> </v>
      </c>
      <c r="Q203" s="471" t="str">
        <f ca="1">IF(N(O203)&gt;0,VLOOKUP(O203,Hraci!$A$1:$I$1500,3,0)," ")</f>
        <v xml:space="preserve"> </v>
      </c>
      <c r="R203" s="471" t="str">
        <f ca="1">IF(N(O203)&gt;0,VLOOKUP(O203,Hraci!$A$1:$I$1500,5,0),IF(TYPE(INDIRECT(ADDRESS(ROW() + $A$9-8 + (ROW()-11)*4,3,1,1,"Internet")))&gt;1,INDIRECT(ADDRESS(ROW() + $A$9-8 + (ROW()-11)*4,3,1,1,"Internet"))," "))</f>
        <v xml:space="preserve"> </v>
      </c>
      <c r="S203" s="472">
        <f ca="1">IF(N(O203)=0,9999,VLOOKUP(O203,Hraci!$A$1:$I$1500,8,0))</f>
        <v>9999</v>
      </c>
      <c r="T203" s="473">
        <f ca="1">IF(N(O203)=0,0,VLOOKUP(O203,Hraci!$A$1:$I$1500,9,0))</f>
        <v>0</v>
      </c>
      <c r="U203" s="469" t="str">
        <f t="shared" ca="1" si="73"/>
        <v/>
      </c>
      <c r="V203" s="470" t="str">
        <f ca="1">IF(N(U203)&gt;0,VLOOKUP(U203,Hraci!$A$1:$I$1500,2,0),IF(TYPE(INDIRECT(ADDRESS(ROW() + $A$9-7 + (ROW()-11)*4,2,1,1,"Internet")))&gt;1,INDIRECT(ADDRESS(ROW() + $A$9-7 + (ROW()-11)*4,2,1,1,"Internet"))," "))</f>
        <v xml:space="preserve"> </v>
      </c>
      <c r="W203" s="471" t="str">
        <f ca="1">IF(N(U203)&gt;0,VLOOKUP(U203,Hraci!$A$1:$I$1500,3,0)," ")</f>
        <v xml:space="preserve"> </v>
      </c>
      <c r="X203" s="471" t="str">
        <f ca="1">IF(N(U203)&gt;0,VLOOKUP(U203,Hraci!$A$1:$I$1500,5,0),IF(TYPE(INDIRECT(ADDRESS(ROW() + $A$9-7 + (ROW()-11)*4,3,1,1,"Internet")))&gt;1,INDIRECT(ADDRESS(ROW() + $A$9-7 + (ROW()-11)*4,3,1,1,"Internet"))," "))</f>
        <v xml:space="preserve"> </v>
      </c>
      <c r="Y203" s="472">
        <f ca="1">IF(N(U203)=0,9999,VLOOKUP(U203,Hraci!$A$1:$I$1500,8,0))</f>
        <v>9999</v>
      </c>
      <c r="Z203" s="473">
        <f ca="1">IF(N(U203)=0,0,VLOOKUP(U203,Hraci!$A$1:$I$1500,9,0))</f>
        <v>0</v>
      </c>
      <c r="AA203" s="469" t="str">
        <f t="shared" ca="1" si="74"/>
        <v/>
      </c>
      <c r="AB203" s="470" t="str">
        <f ca="1">IF(N(AA203)&gt;0,VLOOKUP(AA203,Hraci!$A$1:$I$1500,2,0)," ")</f>
        <v xml:space="preserve"> </v>
      </c>
      <c r="AC203" s="471" t="str">
        <f ca="1">IF(N(AA203)&gt;0,VLOOKUP(AA203,Hraci!$A$1:$I$1500,3,0)," ")</f>
        <v xml:space="preserve"> </v>
      </c>
      <c r="AD203" s="471" t="str">
        <f ca="1">IF(N(AA203)&gt;0,VLOOKUP(AA203,Hraci!$A$1:$I$1500,5,0)," ")</f>
        <v xml:space="preserve"> </v>
      </c>
      <c r="AE203" s="472">
        <f ca="1">IF(N(AA203)=0,9999,VLOOKUP(AA203,Hraci!$A$1:$I$1500,8,0))</f>
        <v>9999</v>
      </c>
      <c r="AF203" s="473">
        <f ca="1">IF(N(AA203)=0,0,VLOOKUP(AA203,Hraci!$A$1:$I$1500,9,0))</f>
        <v>0</v>
      </c>
      <c r="AG203" s="474"/>
      <c r="AH203" s="480">
        <f ca="1">IF(TYPE(VLOOKUP(H203,Nasazení!$A$3:$E$258,5,0))&lt;4,VLOOKUP(H203,Nasazení!$A$3:$E$258,5,0),0)</f>
        <v>0</v>
      </c>
      <c r="AI203" s="475" t="str">
        <f ca="1">IF(N($AH203)&gt;0,VLOOKUP($AH203,Body!$A$4:$F$259,5,0),"")</f>
        <v/>
      </c>
      <c r="AJ203" s="476" t="str">
        <f ca="1">IF(N($AH203)&gt;0,VLOOKUP($AH203,Body!$A$4:$F$259,6,0),"")</f>
        <v/>
      </c>
      <c r="AK203" s="475" t="str">
        <f ca="1">IF(N($AH203)&gt;0,VLOOKUP($AH203,Body!$A$4:$F$259,2,0),"")</f>
        <v/>
      </c>
      <c r="AL203" s="477" t="str">
        <f t="shared" ref="AL203:AL266" ca="1" si="78">IF(N(H203)&gt;$K$7,"",CONCATENATE(IF($U$7="","",H203&amp;" "),L203,IF(L203="",""," - "),J203," ",K203))</f>
        <v/>
      </c>
      <c r="AM203" s="478">
        <f t="shared" ref="AM203:AM266" ca="1" si="79">C203</f>
        <v>0</v>
      </c>
      <c r="AN203" s="408">
        <f ca="1">IF(OR(TYPE(I203)&gt;1,TYPE(MATCH(I203,I204:I$267,0))&gt;1),0,MATCH(I203,I204:I$267,0))+IF(OR(TYPE(I203)&gt;1,TYPE(MATCH(I203,O$11:O$267,0))&gt;1),0,MATCH(I203,O$11:O$267,0))+IF(OR(TYPE(I203)&gt;1,TYPE(MATCH(I203,U$11:U$267,0))&gt;1),0,MATCH(I203,U$11:U$267,0))+IF(OR(TYPE(I203)&gt;1,TYPE(MATCH(I203,AA$11:AA$267,0))&gt;1),0,MATCH(I203,AA$11:AA$267,0))</f>
        <v>0</v>
      </c>
      <c r="AO203" s="408">
        <f ca="1">IF(OR(TYPE(O203)&gt;1,TYPE(MATCH(O203,I$11:I$267,0))&gt;1),0,MATCH(O203,I$11:I$267,0))+IF(OR(TYPE(O203)&gt;1,TYPE(MATCH(O203,O204:O$267,0))&gt;1),0,MATCH(O203,O204:O$267,0))+IF(OR(TYPE(O203)&gt;1,TYPE(MATCH(O203,U$11:U$267,0))&gt;1),0,MATCH(O203,U$11:U$267,0))+IF(OR(TYPE(O203)&gt;1,TYPE(MATCH(O203,AA$11:AA$267,0))&gt;1),0,MATCH(O203,AA$11:AA$267,0))</f>
        <v>0</v>
      </c>
      <c r="AP203" s="408">
        <f ca="1">IF(OR(TYPE(U203)&gt;1,TYPE(MATCH(U203,I$11:I$267,0))&gt;1),0,MATCH(U203,I$11:I$267,0))+IF(OR(TYPE(U203)&gt;1,TYPE(MATCH(U203,O$11:O$267,0))&gt;1),0,MATCH(U203,O$11:O$267,0))+IF(OR(TYPE(U203)&gt;1,TYPE(MATCH(U203,U204:U$267,0))&gt;1),0,MATCH(U203,U204:U$267,0))+IF(OR(TYPE(U203)&gt;1,TYPE(MATCH(U203,AA$11:AA$267,0))&gt;1),0,MATCH(U203,AA$11:AA$267,0))</f>
        <v>0</v>
      </c>
      <c r="AQ203" s="408">
        <f ca="1">IF(OR(TYPE(AA203)&gt;1,TYPE(MATCH(AA203,I$11:I$267,0))&gt;1),0,MATCH(AA203,I$11:I$267,0))+IF(OR(TYPE(AA203)&gt;1,TYPE(MATCH(AA203,O$11:O$267,0))&gt;1),0,MATCH(AA203,O$11:O$267,0))+IF(OR(TYPE(AA203)&gt;1,TYPE(MATCH(AA203,U$11:U$267,0))&gt;1),0,MATCH(U203,U$11:U$267,0))+IF(OR(TYPE(AA203)&gt;1,TYPE(MATCH(AA203,AA204:AA$267,0))&gt;1),0,MATCH(AA203,AA204:AA$267,0))</f>
        <v>0</v>
      </c>
      <c r="AR203" s="408">
        <f t="shared" ca="1" si="75"/>
        <v>0</v>
      </c>
      <c r="BF203" s="408">
        <f t="shared" si="76"/>
        <v>193</v>
      </c>
    </row>
    <row r="204" spans="1:58" ht="14.25">
      <c r="A204" s="430">
        <f t="shared" ca="1" si="65"/>
        <v>0</v>
      </c>
      <c r="B204" s="430">
        <f t="shared" ca="1" si="66"/>
        <v>0</v>
      </c>
      <c r="C204" s="430">
        <f t="shared" ca="1" si="67"/>
        <v>0</v>
      </c>
      <c r="D204" s="430">
        <f t="shared" ca="1" si="68"/>
        <v>99999</v>
      </c>
      <c r="E204" s="400">
        <f t="shared" ca="1" si="69"/>
        <v>9999</v>
      </c>
      <c r="F204" s="431" t="str">
        <f t="shared" ref="F204:F266" ca="1" si="80">CONCATENATE(IF(AND($P$4=1,H204&gt;2*$O$7),"0","9"),TEXT(B204,"0"),IF(AND($P$4=1,H204&gt;2*$O$7),"000000",TEXT(1000*C204,"000000")),IF(AND($P$4=1,H204&gt;2*$O$7),"000000",TEXT(999999-D204,"000000")),IF(AND($P$4=1,H204&gt;2*$O$7),"000000",TEXT(999999-E204,"000000")),TEXT(999999*RAND(),"000000"))</f>
        <v>00000000000000000000934818</v>
      </c>
      <c r="G204" s="467" t="b">
        <f t="shared" ca="1" si="70"/>
        <v>1</v>
      </c>
      <c r="H204" s="468">
        <f t="shared" si="77"/>
        <v>194</v>
      </c>
      <c r="I204" s="469" t="str">
        <f t="shared" ca="1" si="71"/>
        <v/>
      </c>
      <c r="J204" s="470" t="str">
        <f ca="1">IF(N(I204)&gt;0,VLOOKUP(I204,Hraci!$A$1:$I$1500,2,0),IF(TYPE(INDIRECT(ADDRESS(ROW() + $A$9-9 + (ROW()-11)*4,2,1,1,"Internet")))&gt;1,INDIRECT(ADDRESS(ROW() + $A$9-9 + (ROW()-11)*4,2,1,1,"Internet"))," "))</f>
        <v xml:space="preserve"> </v>
      </c>
      <c r="K204" s="471" t="str">
        <f ca="1">IF(N(I204)&gt;0,VLOOKUP(I204,Hraci!$A$1:$I$1500,3,0)," ")</f>
        <v xml:space="preserve"> </v>
      </c>
      <c r="L204" s="471" t="str">
        <f ca="1">IF(N(I204)&gt;0,VLOOKUP(I204,Hraci!$A$1:$I$1500,5,0),IF(TYPE(INDIRECT(ADDRESS(ROW() + $A$9-9 + (ROW()-11)*4,3,1,1,"Internet")))&gt;1,INDIRECT(ADDRESS(ROW() + $A$9-9 + (ROW()-11)*4,3,1,1,"Internet"))," "))</f>
        <v xml:space="preserve"> </v>
      </c>
      <c r="M204" s="472">
        <f ca="1">IF(N(I204)=0,9999,VLOOKUP(I204,Hraci!$A$1:$I$1500,8,0))</f>
        <v>9999</v>
      </c>
      <c r="N204" s="473">
        <f ca="1">IF(N(I204)=0,0,VLOOKUP(I204,Hraci!$A$1:$I$1500,9,0))</f>
        <v>0</v>
      </c>
      <c r="O204" s="469" t="str">
        <f t="shared" ca="1" si="72"/>
        <v/>
      </c>
      <c r="P204" s="470" t="str">
        <f ca="1">IF(N(O204)&gt;0,VLOOKUP(O204,Hraci!$A$1:$I$1500,2,0),IF(TYPE(INDIRECT(ADDRESS(ROW() + $A$9-8 + (ROW()-11)*4,2,1,1,"Internet")))&gt;1,INDIRECT(ADDRESS(ROW() + $A$9-8 + (ROW()-11)*4,2,1,1,"Internet"))," "))</f>
        <v xml:space="preserve"> </v>
      </c>
      <c r="Q204" s="471" t="str">
        <f ca="1">IF(N(O204)&gt;0,VLOOKUP(O204,Hraci!$A$1:$I$1500,3,0)," ")</f>
        <v xml:space="preserve"> </v>
      </c>
      <c r="R204" s="471" t="str">
        <f ca="1">IF(N(O204)&gt;0,VLOOKUP(O204,Hraci!$A$1:$I$1500,5,0),IF(TYPE(INDIRECT(ADDRESS(ROW() + $A$9-8 + (ROW()-11)*4,3,1,1,"Internet")))&gt;1,INDIRECT(ADDRESS(ROW() + $A$9-8 + (ROW()-11)*4,3,1,1,"Internet"))," "))</f>
        <v xml:space="preserve"> </v>
      </c>
      <c r="S204" s="472">
        <f ca="1">IF(N(O204)=0,9999,VLOOKUP(O204,Hraci!$A$1:$I$1500,8,0))</f>
        <v>9999</v>
      </c>
      <c r="T204" s="473">
        <f ca="1">IF(N(O204)=0,0,VLOOKUP(O204,Hraci!$A$1:$I$1500,9,0))</f>
        <v>0</v>
      </c>
      <c r="U204" s="469" t="str">
        <f t="shared" ca="1" si="73"/>
        <v/>
      </c>
      <c r="V204" s="470" t="str">
        <f ca="1">IF(N(U204)&gt;0,VLOOKUP(U204,Hraci!$A$1:$I$1500,2,0),IF(TYPE(INDIRECT(ADDRESS(ROW() + $A$9-7 + (ROW()-11)*4,2,1,1,"Internet")))&gt;1,INDIRECT(ADDRESS(ROW() + $A$9-7 + (ROW()-11)*4,2,1,1,"Internet"))," "))</f>
        <v xml:space="preserve"> </v>
      </c>
      <c r="W204" s="471" t="str">
        <f ca="1">IF(N(U204)&gt;0,VLOOKUP(U204,Hraci!$A$1:$I$1500,3,0)," ")</f>
        <v xml:space="preserve"> </v>
      </c>
      <c r="X204" s="471" t="str">
        <f ca="1">IF(N(U204)&gt;0,VLOOKUP(U204,Hraci!$A$1:$I$1500,5,0),IF(TYPE(INDIRECT(ADDRESS(ROW() + $A$9-7 + (ROW()-11)*4,3,1,1,"Internet")))&gt;1,INDIRECT(ADDRESS(ROW() + $A$9-7 + (ROW()-11)*4,3,1,1,"Internet"))," "))</f>
        <v xml:space="preserve"> </v>
      </c>
      <c r="Y204" s="472">
        <f ca="1">IF(N(U204)=0,9999,VLOOKUP(U204,Hraci!$A$1:$I$1500,8,0))</f>
        <v>9999</v>
      </c>
      <c r="Z204" s="473">
        <f ca="1">IF(N(U204)=0,0,VLOOKUP(U204,Hraci!$A$1:$I$1500,9,0))</f>
        <v>0</v>
      </c>
      <c r="AA204" s="469" t="str">
        <f t="shared" ca="1" si="74"/>
        <v/>
      </c>
      <c r="AB204" s="470" t="str">
        <f ca="1">IF(N(AA204)&gt;0,VLOOKUP(AA204,Hraci!$A$1:$I$1500,2,0)," ")</f>
        <v xml:space="preserve"> </v>
      </c>
      <c r="AC204" s="471" t="str">
        <f ca="1">IF(N(AA204)&gt;0,VLOOKUP(AA204,Hraci!$A$1:$I$1500,3,0)," ")</f>
        <v xml:space="preserve"> </v>
      </c>
      <c r="AD204" s="471" t="str">
        <f ca="1">IF(N(AA204)&gt;0,VLOOKUP(AA204,Hraci!$A$1:$I$1500,5,0)," ")</f>
        <v xml:space="preserve"> </v>
      </c>
      <c r="AE204" s="472">
        <f ca="1">IF(N(AA204)=0,9999,VLOOKUP(AA204,Hraci!$A$1:$I$1500,8,0))</f>
        <v>9999</v>
      </c>
      <c r="AF204" s="473">
        <f ca="1">IF(N(AA204)=0,0,VLOOKUP(AA204,Hraci!$A$1:$I$1500,9,0))</f>
        <v>0</v>
      </c>
      <c r="AG204" s="474"/>
      <c r="AH204" s="480">
        <f ca="1">IF(TYPE(VLOOKUP(H204,Nasazení!$A$3:$E$258,5,0))&lt;4,VLOOKUP(H204,Nasazení!$A$3:$E$258,5,0),0)</f>
        <v>0</v>
      </c>
      <c r="AI204" s="475" t="str">
        <f ca="1">IF(N($AH204)&gt;0,VLOOKUP($AH204,Body!$A$4:$F$259,5,0),"")</f>
        <v/>
      </c>
      <c r="AJ204" s="476" t="str">
        <f ca="1">IF(N($AH204)&gt;0,VLOOKUP($AH204,Body!$A$4:$F$259,6,0),"")</f>
        <v/>
      </c>
      <c r="AK204" s="475" t="str">
        <f ca="1">IF(N($AH204)&gt;0,VLOOKUP($AH204,Body!$A$4:$F$259,2,0),"")</f>
        <v/>
      </c>
      <c r="AL204" s="477" t="str">
        <f t="shared" ca="1" si="78"/>
        <v/>
      </c>
      <c r="AM204" s="478">
        <f t="shared" ca="1" si="79"/>
        <v>0</v>
      </c>
      <c r="AN204" s="408">
        <f ca="1">IF(OR(TYPE(I204)&gt;1,TYPE(MATCH(I204,I205:I$267,0))&gt;1),0,MATCH(I204,I205:I$267,0))+IF(OR(TYPE(I204)&gt;1,TYPE(MATCH(I204,O$11:O$267,0))&gt;1),0,MATCH(I204,O$11:O$267,0))+IF(OR(TYPE(I204)&gt;1,TYPE(MATCH(I204,U$11:U$267,0))&gt;1),0,MATCH(I204,U$11:U$267,0))+IF(OR(TYPE(I204)&gt;1,TYPE(MATCH(I204,AA$11:AA$267,0))&gt;1),0,MATCH(I204,AA$11:AA$267,0))</f>
        <v>0</v>
      </c>
      <c r="AO204" s="408">
        <f ca="1">IF(OR(TYPE(O204)&gt;1,TYPE(MATCH(O204,I$11:I$267,0))&gt;1),0,MATCH(O204,I$11:I$267,0))+IF(OR(TYPE(O204)&gt;1,TYPE(MATCH(O204,O205:O$267,0))&gt;1),0,MATCH(O204,O205:O$267,0))+IF(OR(TYPE(O204)&gt;1,TYPE(MATCH(O204,U$11:U$267,0))&gt;1),0,MATCH(O204,U$11:U$267,0))+IF(OR(TYPE(O204)&gt;1,TYPE(MATCH(O204,AA$11:AA$267,0))&gt;1),0,MATCH(O204,AA$11:AA$267,0))</f>
        <v>0</v>
      </c>
      <c r="AP204" s="408">
        <f ca="1">IF(OR(TYPE(U204)&gt;1,TYPE(MATCH(U204,I$11:I$267,0))&gt;1),0,MATCH(U204,I$11:I$267,0))+IF(OR(TYPE(U204)&gt;1,TYPE(MATCH(U204,O$11:O$267,0))&gt;1),0,MATCH(U204,O$11:O$267,0))+IF(OR(TYPE(U204)&gt;1,TYPE(MATCH(U204,U205:U$267,0))&gt;1),0,MATCH(U204,U205:U$267,0))+IF(OR(TYPE(U204)&gt;1,TYPE(MATCH(U204,AA$11:AA$267,0))&gt;1),0,MATCH(U204,AA$11:AA$267,0))</f>
        <v>0</v>
      </c>
      <c r="AQ204" s="408">
        <f ca="1">IF(OR(TYPE(AA204)&gt;1,TYPE(MATCH(AA204,I$11:I$267,0))&gt;1),0,MATCH(AA204,I$11:I$267,0))+IF(OR(TYPE(AA204)&gt;1,TYPE(MATCH(AA204,O$11:O$267,0))&gt;1),0,MATCH(AA204,O$11:O$267,0))+IF(OR(TYPE(AA204)&gt;1,TYPE(MATCH(AA204,U$11:U$267,0))&gt;1),0,MATCH(U204,U$11:U$267,0))+IF(OR(TYPE(AA204)&gt;1,TYPE(MATCH(AA204,AA205:AA$267,0))&gt;1),0,MATCH(AA204,AA205:AA$267,0))</f>
        <v>0</v>
      </c>
      <c r="AR204" s="408">
        <f t="shared" ca="1" si="75"/>
        <v>0</v>
      </c>
      <c r="BF204" s="408">
        <f t="shared" si="76"/>
        <v>194</v>
      </c>
    </row>
    <row r="205" spans="1:58" ht="14.25">
      <c r="A205" s="430">
        <f t="shared" ref="A205:A266" ca="1" si="81">IF(OR(LEFT(J205,1)=" ",ISBLANK(J205)),0,1)+IF(OR(LEFT(P205,1)=" ",ISBLANK(P205)),0,1)+IF(OR(LEFT(V205,1)=" ",ISBLANK(V205)),0,1)</f>
        <v>0</v>
      </c>
      <c r="B205" s="430">
        <f t="shared" ref="B205:B266" ca="1" si="82">IF(AND(TYPE(G205&lt;15),G205=FALSE),1,0)</f>
        <v>0</v>
      </c>
      <c r="C205" s="430">
        <f t="shared" ref="C205:C266" ca="1" si="83">IF(B205=0,0,N205+T205+Z205)</f>
        <v>0</v>
      </c>
      <c r="D205" s="430">
        <f t="shared" ref="D205:D266" ca="1" si="84">IF(B205=0,99999,M205+S205+Y205)</f>
        <v>99999</v>
      </c>
      <c r="E205" s="430">
        <f t="shared" ref="E205:E266" ca="1" si="85">MIN(M205,S205,Y205)</f>
        <v>9999</v>
      </c>
      <c r="F205" s="431" t="str">
        <f t="shared" ca="1" si="80"/>
        <v>00000000000000000000734009</v>
      </c>
      <c r="G205" s="467" t="b">
        <f t="shared" ref="G205:G266" ca="1" si="86">IF(OR($K$6&gt;A205,AR205&gt;0),TRUE,FALSE)</f>
        <v>1</v>
      </c>
      <c r="H205" s="468">
        <f t="shared" si="77"/>
        <v>195</v>
      </c>
      <c r="I205" s="469" t="str">
        <f t="shared" ref="I205:I266" ca="1" si="87">IF(N(INDIRECT(ADDRESS(ROW() + $A$9-9 + (ROW()-11)*4,1,1,1,"Internet")))&gt;0,INDIRECT(ADDRESS(ROW() + $A$9-9 + (ROW()-11)*4,1,1,1,"Internet")),"")</f>
        <v/>
      </c>
      <c r="J205" s="470" t="str">
        <f ca="1">IF(N(I205)&gt;0,VLOOKUP(I205,Hraci!$A$1:$I$1500,2,0),IF(TYPE(INDIRECT(ADDRESS(ROW() + $A$9-9 + (ROW()-11)*4,2,1,1,"Internet")))&gt;1,INDIRECT(ADDRESS(ROW() + $A$9-9 + (ROW()-11)*4,2,1,1,"Internet"))," "))</f>
        <v xml:space="preserve"> </v>
      </c>
      <c r="K205" s="471" t="str">
        <f ca="1">IF(N(I205)&gt;0,VLOOKUP(I205,Hraci!$A$1:$I$1500,3,0)," ")</f>
        <v xml:space="preserve"> </v>
      </c>
      <c r="L205" s="471" t="str">
        <f ca="1">IF(N(I205)&gt;0,VLOOKUP(I205,Hraci!$A$1:$I$1500,5,0),IF(TYPE(INDIRECT(ADDRESS(ROW() + $A$9-9 + (ROW()-11)*4,3,1,1,"Internet")))&gt;1,INDIRECT(ADDRESS(ROW() + $A$9-9 + (ROW()-11)*4,3,1,1,"Internet"))," "))</f>
        <v xml:space="preserve"> </v>
      </c>
      <c r="M205" s="472">
        <f ca="1">IF(N(I205)=0,9999,VLOOKUP(I205,Hraci!$A$1:$I$1500,8,0))</f>
        <v>9999</v>
      </c>
      <c r="N205" s="473">
        <f ca="1">IF(N(I205)=0,0,VLOOKUP(I205,Hraci!$A$1:$I$1500,9,0))</f>
        <v>0</v>
      </c>
      <c r="O205" s="469" t="str">
        <f t="shared" ref="O205:O266" ca="1" si="88">IF(N(INDIRECT(ADDRESS(ROW() + $A$9-8 + (ROW()-11)*4,1,1,1,"Internet")))&gt;0,INDIRECT(ADDRESS(ROW() + $A$9-8 + (ROW()-11)*4,1,1,1,"Internet")),"")</f>
        <v/>
      </c>
      <c r="P205" s="470" t="str">
        <f ca="1">IF(N(O205)&gt;0,VLOOKUP(O205,Hraci!$A$1:$I$1500,2,0),IF(TYPE(INDIRECT(ADDRESS(ROW() + $A$9-8 + (ROW()-11)*4,2,1,1,"Internet")))&gt;1,INDIRECT(ADDRESS(ROW() + $A$9-8 + (ROW()-11)*4,2,1,1,"Internet"))," "))</f>
        <v xml:space="preserve"> </v>
      </c>
      <c r="Q205" s="471" t="str">
        <f ca="1">IF(N(O205)&gt;0,VLOOKUP(O205,Hraci!$A$1:$I$1500,3,0)," ")</f>
        <v xml:space="preserve"> </v>
      </c>
      <c r="R205" s="471" t="str">
        <f ca="1">IF(N(O205)&gt;0,VLOOKUP(O205,Hraci!$A$1:$I$1500,5,0),IF(TYPE(INDIRECT(ADDRESS(ROW() + $A$9-8 + (ROW()-11)*4,3,1,1,"Internet")))&gt;1,INDIRECT(ADDRESS(ROW() + $A$9-8 + (ROW()-11)*4,3,1,1,"Internet"))," "))</f>
        <v xml:space="preserve"> </v>
      </c>
      <c r="S205" s="472">
        <f ca="1">IF(N(O205)=0,9999,VLOOKUP(O205,Hraci!$A$1:$I$1500,8,0))</f>
        <v>9999</v>
      </c>
      <c r="T205" s="473">
        <f ca="1">IF(N(O205)=0,0,VLOOKUP(O205,Hraci!$A$1:$I$1500,9,0))</f>
        <v>0</v>
      </c>
      <c r="U205" s="469" t="str">
        <f t="shared" ref="U205:U266" ca="1" si="89">IF(N(INDIRECT(ADDRESS(ROW() + $A$9-7 + (ROW()-11)*4,1,1,1,"Internet")))&gt;0,INDIRECT(ADDRESS(ROW() + $A$9-7 + (ROW()-11)*4,1,1,1,"Internet")),"")</f>
        <v/>
      </c>
      <c r="V205" s="470" t="str">
        <f ca="1">IF(N(U205)&gt;0,VLOOKUP(U205,Hraci!$A$1:$I$1500,2,0),IF(TYPE(INDIRECT(ADDRESS(ROW() + $A$9-7 + (ROW()-11)*4,2,1,1,"Internet")))&gt;1,INDIRECT(ADDRESS(ROW() + $A$9-7 + (ROW()-11)*4,2,1,1,"Internet"))," "))</f>
        <v xml:space="preserve"> </v>
      </c>
      <c r="W205" s="471" t="str">
        <f ca="1">IF(N(U205)&gt;0,VLOOKUP(U205,Hraci!$A$1:$I$1500,3,0)," ")</f>
        <v xml:space="preserve"> </v>
      </c>
      <c r="X205" s="471" t="str">
        <f ca="1">IF(N(U205)&gt;0,VLOOKUP(U205,Hraci!$A$1:$I$1500,5,0),IF(TYPE(INDIRECT(ADDRESS(ROW() + $A$9-7 + (ROW()-11)*4,3,1,1,"Internet")))&gt;1,INDIRECT(ADDRESS(ROW() + $A$9-7 + (ROW()-11)*4,3,1,1,"Internet"))," "))</f>
        <v xml:space="preserve"> </v>
      </c>
      <c r="Y205" s="472">
        <f ca="1">IF(N(U205)=0,9999,VLOOKUP(U205,Hraci!$A$1:$I$1500,8,0))</f>
        <v>9999</v>
      </c>
      <c r="Z205" s="473">
        <f ca="1">IF(N(U205)=0,0,VLOOKUP(U205,Hraci!$A$1:$I$1500,9,0))</f>
        <v>0</v>
      </c>
      <c r="AA205" s="469" t="str">
        <f t="shared" ref="AA205:AA266" ca="1" si="90">IF(N(INDIRECT(ADDRESS(ROW() + $A$9-6 + (ROW()-11)*4,1,1,1,"Internet")))&gt;0,INDIRECT(ADDRESS(ROW() + $A$9-6 + (ROW()-11)*4,1,1,1,"Internet")),"")</f>
        <v/>
      </c>
      <c r="AB205" s="470" t="str">
        <f ca="1">IF(N(AA205)&gt;0,VLOOKUP(AA205,Hraci!$A$1:$I$1500,2,0)," ")</f>
        <v xml:space="preserve"> </v>
      </c>
      <c r="AC205" s="471" t="str">
        <f ca="1">IF(N(AA205)&gt;0,VLOOKUP(AA205,Hraci!$A$1:$I$1500,3,0)," ")</f>
        <v xml:space="preserve"> </v>
      </c>
      <c r="AD205" s="471" t="str">
        <f ca="1">IF(N(AA205)&gt;0,VLOOKUP(AA205,Hraci!$A$1:$I$1500,5,0)," ")</f>
        <v xml:space="preserve"> </v>
      </c>
      <c r="AE205" s="472">
        <f ca="1">IF(N(AA205)=0,9999,VLOOKUP(AA205,Hraci!$A$1:$I$1500,8,0))</f>
        <v>9999</v>
      </c>
      <c r="AF205" s="473">
        <f ca="1">IF(N(AA205)=0,0,VLOOKUP(AA205,Hraci!$A$1:$I$1500,9,0))</f>
        <v>0</v>
      </c>
      <c r="AG205" s="474"/>
      <c r="AH205" s="480">
        <f ca="1">IF(TYPE(VLOOKUP(H205,Nasazení!$A$3:$E$258,5,0))&lt;4,VLOOKUP(H205,Nasazení!$A$3:$E$258,5,0),0)</f>
        <v>0</v>
      </c>
      <c r="AI205" s="475" t="str">
        <f ca="1">IF(N($AH205)&gt;0,VLOOKUP($AH205,Body!$A$4:$F$259,5,0),"")</f>
        <v/>
      </c>
      <c r="AJ205" s="476" t="str">
        <f ca="1">IF(N($AH205)&gt;0,VLOOKUP($AH205,Body!$A$4:$F$259,6,0),"")</f>
        <v/>
      </c>
      <c r="AK205" s="475" t="str">
        <f ca="1">IF(N($AH205)&gt;0,VLOOKUP($AH205,Body!$A$4:$F$259,2,0),"")</f>
        <v/>
      </c>
      <c r="AL205" s="477" t="str">
        <f t="shared" ca="1" si="78"/>
        <v/>
      </c>
      <c r="AM205" s="478">
        <f t="shared" ca="1" si="79"/>
        <v>0</v>
      </c>
      <c r="AN205" s="408">
        <f ca="1">IF(OR(TYPE(I205)&gt;1,TYPE(MATCH(I205,I206:I$267,0))&gt;1),0,MATCH(I205,I206:I$267,0))+IF(OR(TYPE(I205)&gt;1,TYPE(MATCH(I205,O$11:O$267,0))&gt;1),0,MATCH(I205,O$11:O$267,0))+IF(OR(TYPE(I205)&gt;1,TYPE(MATCH(I205,U$11:U$267,0))&gt;1),0,MATCH(I205,U$11:U$267,0))+IF(OR(TYPE(I205)&gt;1,TYPE(MATCH(I205,AA$11:AA$267,0))&gt;1),0,MATCH(I205,AA$11:AA$267,0))</f>
        <v>0</v>
      </c>
      <c r="AO205" s="408">
        <f ca="1">IF(OR(TYPE(O205)&gt;1,TYPE(MATCH(O205,I$11:I$267,0))&gt;1),0,MATCH(O205,I$11:I$267,0))+IF(OR(TYPE(O205)&gt;1,TYPE(MATCH(O205,O206:O$267,0))&gt;1),0,MATCH(O205,O206:O$267,0))+IF(OR(TYPE(O205)&gt;1,TYPE(MATCH(O205,U$11:U$267,0))&gt;1),0,MATCH(O205,U$11:U$267,0))+IF(OR(TYPE(O205)&gt;1,TYPE(MATCH(O205,AA$11:AA$267,0))&gt;1),0,MATCH(O205,AA$11:AA$267,0))</f>
        <v>0</v>
      </c>
      <c r="AP205" s="408">
        <f ca="1">IF(OR(TYPE(U205)&gt;1,TYPE(MATCH(U205,I$11:I$267,0))&gt;1),0,MATCH(U205,I$11:I$267,0))+IF(OR(TYPE(U205)&gt;1,TYPE(MATCH(U205,O$11:O$267,0))&gt;1),0,MATCH(U205,O$11:O$267,0))+IF(OR(TYPE(U205)&gt;1,TYPE(MATCH(U205,U206:U$267,0))&gt;1),0,MATCH(U205,U206:U$267,0))+IF(OR(TYPE(U205)&gt;1,TYPE(MATCH(U205,AA$11:AA$267,0))&gt;1),0,MATCH(U205,AA$11:AA$267,0))</f>
        <v>0</v>
      </c>
      <c r="AQ205" s="408">
        <f ca="1">IF(OR(TYPE(AA205)&gt;1,TYPE(MATCH(AA205,I$11:I$267,0))&gt;1),0,MATCH(AA205,I$11:I$267,0))+IF(OR(TYPE(AA205)&gt;1,TYPE(MATCH(AA205,O$11:O$267,0))&gt;1),0,MATCH(AA205,O$11:O$267,0))+IF(OR(TYPE(AA205)&gt;1,TYPE(MATCH(AA205,U$11:U$267,0))&gt;1),0,MATCH(U205,U$11:U$267,0))+IF(OR(TYPE(AA205)&gt;1,TYPE(MATCH(AA205,AA206:AA$267,0))&gt;1),0,MATCH(AA205,AA206:AA$267,0))</f>
        <v>0</v>
      </c>
      <c r="AR205" s="408">
        <f t="shared" ca="1" si="75"/>
        <v>0</v>
      </c>
      <c r="BF205" s="408">
        <f t="shared" si="76"/>
        <v>195</v>
      </c>
    </row>
    <row r="206" spans="1:58" ht="14.25">
      <c r="A206" s="430">
        <f t="shared" ca="1" si="81"/>
        <v>0</v>
      </c>
      <c r="B206" s="430">
        <f t="shared" ca="1" si="82"/>
        <v>0</v>
      </c>
      <c r="C206" s="430">
        <f t="shared" ca="1" si="83"/>
        <v>0</v>
      </c>
      <c r="D206" s="430">
        <f t="shared" ca="1" si="84"/>
        <v>99999</v>
      </c>
      <c r="E206" s="430">
        <f t="shared" ca="1" si="85"/>
        <v>9999</v>
      </c>
      <c r="F206" s="431" t="str">
        <f t="shared" ca="1" si="80"/>
        <v>00000000000000000000200158</v>
      </c>
      <c r="G206" s="467" t="b">
        <f t="shared" ca="1" si="86"/>
        <v>1</v>
      </c>
      <c r="H206" s="468">
        <f t="shared" si="77"/>
        <v>196</v>
      </c>
      <c r="I206" s="469" t="str">
        <f t="shared" ca="1" si="87"/>
        <v/>
      </c>
      <c r="J206" s="470" t="str">
        <f ca="1">IF(N(I206)&gt;0,VLOOKUP(I206,Hraci!$A$1:$I$1500,2,0),IF(TYPE(INDIRECT(ADDRESS(ROW() + $A$9-9 + (ROW()-11)*4,2,1,1,"Internet")))&gt;1,INDIRECT(ADDRESS(ROW() + $A$9-9 + (ROW()-11)*4,2,1,1,"Internet"))," "))</f>
        <v xml:space="preserve"> </v>
      </c>
      <c r="K206" s="471" t="str">
        <f ca="1">IF(N(I206)&gt;0,VLOOKUP(I206,Hraci!$A$1:$I$1500,3,0)," ")</f>
        <v xml:space="preserve"> </v>
      </c>
      <c r="L206" s="471" t="str">
        <f ca="1">IF(N(I206)&gt;0,VLOOKUP(I206,Hraci!$A$1:$I$1500,5,0),IF(TYPE(INDIRECT(ADDRESS(ROW() + $A$9-9 + (ROW()-11)*4,3,1,1,"Internet")))&gt;1,INDIRECT(ADDRESS(ROW() + $A$9-9 + (ROW()-11)*4,3,1,1,"Internet"))," "))</f>
        <v xml:space="preserve"> </v>
      </c>
      <c r="M206" s="472">
        <f ca="1">IF(N(I206)=0,9999,VLOOKUP(I206,Hraci!$A$1:$I$1500,8,0))</f>
        <v>9999</v>
      </c>
      <c r="N206" s="473">
        <f ca="1">IF(N(I206)=0,0,VLOOKUP(I206,Hraci!$A$1:$I$1500,9,0))</f>
        <v>0</v>
      </c>
      <c r="O206" s="469" t="str">
        <f t="shared" ca="1" si="88"/>
        <v/>
      </c>
      <c r="P206" s="470" t="str">
        <f ca="1">IF(N(O206)&gt;0,VLOOKUP(O206,Hraci!$A$1:$I$1500,2,0),IF(TYPE(INDIRECT(ADDRESS(ROW() + $A$9-8 + (ROW()-11)*4,2,1,1,"Internet")))&gt;1,INDIRECT(ADDRESS(ROW() + $A$9-8 + (ROW()-11)*4,2,1,1,"Internet"))," "))</f>
        <v xml:space="preserve"> </v>
      </c>
      <c r="Q206" s="471" t="str">
        <f ca="1">IF(N(O206)&gt;0,VLOOKUP(O206,Hraci!$A$1:$I$1500,3,0)," ")</f>
        <v xml:space="preserve"> </v>
      </c>
      <c r="R206" s="471" t="str">
        <f ca="1">IF(N(O206)&gt;0,VLOOKUP(O206,Hraci!$A$1:$I$1500,5,0),IF(TYPE(INDIRECT(ADDRESS(ROW() + $A$9-8 + (ROW()-11)*4,3,1,1,"Internet")))&gt;1,INDIRECT(ADDRESS(ROW() + $A$9-8 + (ROW()-11)*4,3,1,1,"Internet"))," "))</f>
        <v xml:space="preserve"> </v>
      </c>
      <c r="S206" s="472">
        <f ca="1">IF(N(O206)=0,9999,VLOOKUP(O206,Hraci!$A$1:$I$1500,8,0))</f>
        <v>9999</v>
      </c>
      <c r="T206" s="473">
        <f ca="1">IF(N(O206)=0,0,VLOOKUP(O206,Hraci!$A$1:$I$1500,9,0))</f>
        <v>0</v>
      </c>
      <c r="U206" s="469" t="str">
        <f t="shared" ca="1" si="89"/>
        <v/>
      </c>
      <c r="V206" s="470" t="str">
        <f ca="1">IF(N(U206)&gt;0,VLOOKUP(U206,Hraci!$A$1:$I$1500,2,0),IF(TYPE(INDIRECT(ADDRESS(ROW() + $A$9-7 + (ROW()-11)*4,2,1,1,"Internet")))&gt;1,INDIRECT(ADDRESS(ROW() + $A$9-7 + (ROW()-11)*4,2,1,1,"Internet"))," "))</f>
        <v xml:space="preserve"> </v>
      </c>
      <c r="W206" s="471" t="str">
        <f ca="1">IF(N(U206)&gt;0,VLOOKUP(U206,Hraci!$A$1:$I$1500,3,0)," ")</f>
        <v xml:space="preserve"> </v>
      </c>
      <c r="X206" s="471" t="str">
        <f ca="1">IF(N(U206)&gt;0,VLOOKUP(U206,Hraci!$A$1:$I$1500,5,0),IF(TYPE(INDIRECT(ADDRESS(ROW() + $A$9-7 + (ROW()-11)*4,3,1,1,"Internet")))&gt;1,INDIRECT(ADDRESS(ROW() + $A$9-7 + (ROW()-11)*4,3,1,1,"Internet"))," "))</f>
        <v xml:space="preserve"> </v>
      </c>
      <c r="Y206" s="472">
        <f ca="1">IF(N(U206)=0,9999,VLOOKUP(U206,Hraci!$A$1:$I$1500,8,0))</f>
        <v>9999</v>
      </c>
      <c r="Z206" s="473">
        <f ca="1">IF(N(U206)=0,0,VLOOKUP(U206,Hraci!$A$1:$I$1500,9,0))</f>
        <v>0</v>
      </c>
      <c r="AA206" s="469" t="str">
        <f t="shared" ca="1" si="90"/>
        <v/>
      </c>
      <c r="AB206" s="470" t="str">
        <f ca="1">IF(N(AA206)&gt;0,VLOOKUP(AA206,Hraci!$A$1:$I$1500,2,0)," ")</f>
        <v xml:space="preserve"> </v>
      </c>
      <c r="AC206" s="471" t="str">
        <f ca="1">IF(N(AA206)&gt;0,VLOOKUP(AA206,Hraci!$A$1:$I$1500,3,0)," ")</f>
        <v xml:space="preserve"> </v>
      </c>
      <c r="AD206" s="471" t="str">
        <f ca="1">IF(N(AA206)&gt;0,VLOOKUP(AA206,Hraci!$A$1:$I$1500,5,0)," ")</f>
        <v xml:space="preserve"> </v>
      </c>
      <c r="AE206" s="472">
        <f ca="1">IF(N(AA206)=0,9999,VLOOKUP(AA206,Hraci!$A$1:$I$1500,8,0))</f>
        <v>9999</v>
      </c>
      <c r="AF206" s="473">
        <f ca="1">IF(N(AA206)=0,0,VLOOKUP(AA206,Hraci!$A$1:$I$1500,9,0))</f>
        <v>0</v>
      </c>
      <c r="AG206" s="474"/>
      <c r="AH206" s="480">
        <f ca="1">IF(TYPE(VLOOKUP(H206,Nasazení!$A$3:$E$258,5,0))&lt;4,VLOOKUP(H206,Nasazení!$A$3:$E$258,5,0),0)</f>
        <v>0</v>
      </c>
      <c r="AI206" s="475" t="str">
        <f ca="1">IF(N($AH206)&gt;0,VLOOKUP($AH206,Body!$A$4:$F$259,5,0),"")</f>
        <v/>
      </c>
      <c r="AJ206" s="476" t="str">
        <f ca="1">IF(N($AH206)&gt;0,VLOOKUP($AH206,Body!$A$4:$F$259,6,0),"")</f>
        <v/>
      </c>
      <c r="AK206" s="475" t="str">
        <f ca="1">IF(N($AH206)&gt;0,VLOOKUP($AH206,Body!$A$4:$F$259,2,0),"")</f>
        <v/>
      </c>
      <c r="AL206" s="477" t="str">
        <f t="shared" ca="1" si="78"/>
        <v/>
      </c>
      <c r="AM206" s="478">
        <f t="shared" ca="1" si="79"/>
        <v>0</v>
      </c>
      <c r="AN206" s="408">
        <f ca="1">IF(OR(TYPE(I206)&gt;1,TYPE(MATCH(I206,I207:I$267,0))&gt;1),0,MATCH(I206,I207:I$267,0))+IF(OR(TYPE(I206)&gt;1,TYPE(MATCH(I206,O$11:O$267,0))&gt;1),0,MATCH(I206,O$11:O$267,0))+IF(OR(TYPE(I206)&gt;1,TYPE(MATCH(I206,U$11:U$267,0))&gt;1),0,MATCH(I206,U$11:U$267,0))+IF(OR(TYPE(I206)&gt;1,TYPE(MATCH(I206,AA$11:AA$267,0))&gt;1),0,MATCH(I206,AA$11:AA$267,0))</f>
        <v>0</v>
      </c>
      <c r="AO206" s="408">
        <f ca="1">IF(OR(TYPE(O206)&gt;1,TYPE(MATCH(O206,I$11:I$267,0))&gt;1),0,MATCH(O206,I$11:I$267,0))+IF(OR(TYPE(O206)&gt;1,TYPE(MATCH(O206,O207:O$267,0))&gt;1),0,MATCH(O206,O207:O$267,0))+IF(OR(TYPE(O206)&gt;1,TYPE(MATCH(O206,U$11:U$267,0))&gt;1),0,MATCH(O206,U$11:U$267,0))+IF(OR(TYPE(O206)&gt;1,TYPE(MATCH(O206,AA$11:AA$267,0))&gt;1),0,MATCH(O206,AA$11:AA$267,0))</f>
        <v>0</v>
      </c>
      <c r="AP206" s="408">
        <f ca="1">IF(OR(TYPE(U206)&gt;1,TYPE(MATCH(U206,I$11:I$267,0))&gt;1),0,MATCH(U206,I$11:I$267,0))+IF(OR(TYPE(U206)&gt;1,TYPE(MATCH(U206,O$11:O$267,0))&gt;1),0,MATCH(U206,O$11:O$267,0))+IF(OR(TYPE(U206)&gt;1,TYPE(MATCH(U206,U207:U$267,0))&gt;1),0,MATCH(U206,U207:U$267,0))+IF(OR(TYPE(U206)&gt;1,TYPE(MATCH(U206,AA$11:AA$267,0))&gt;1),0,MATCH(U206,AA$11:AA$267,0))</f>
        <v>0</v>
      </c>
      <c r="AQ206" s="408">
        <f ca="1">IF(OR(TYPE(AA206)&gt;1,TYPE(MATCH(AA206,I$11:I$267,0))&gt;1),0,MATCH(AA206,I$11:I$267,0))+IF(OR(TYPE(AA206)&gt;1,TYPE(MATCH(AA206,O$11:O$267,0))&gt;1),0,MATCH(AA206,O$11:O$267,0))+IF(OR(TYPE(AA206)&gt;1,TYPE(MATCH(AA206,U$11:U$267,0))&gt;1),0,MATCH(U206,U$11:U$267,0))+IF(OR(TYPE(AA206)&gt;1,TYPE(MATCH(AA206,AA207:AA$267,0))&gt;1),0,MATCH(AA206,AA207:AA$267,0))</f>
        <v>0</v>
      </c>
      <c r="AR206" s="408">
        <f t="shared" ca="1" si="75"/>
        <v>0</v>
      </c>
      <c r="BF206" s="408">
        <f t="shared" si="76"/>
        <v>196</v>
      </c>
    </row>
    <row r="207" spans="1:58" ht="14.25">
      <c r="A207" s="430">
        <f t="shared" ca="1" si="81"/>
        <v>0</v>
      </c>
      <c r="B207" s="430">
        <f t="shared" ca="1" si="82"/>
        <v>0</v>
      </c>
      <c r="C207" s="430">
        <f t="shared" ca="1" si="83"/>
        <v>0</v>
      </c>
      <c r="D207" s="430">
        <f t="shared" ca="1" si="84"/>
        <v>99999</v>
      </c>
      <c r="E207" s="430">
        <f t="shared" ca="1" si="85"/>
        <v>9999</v>
      </c>
      <c r="F207" s="431" t="str">
        <f t="shared" ca="1" si="80"/>
        <v>00000000000000000000281896</v>
      </c>
      <c r="G207" s="467" t="b">
        <f t="shared" ca="1" si="86"/>
        <v>1</v>
      </c>
      <c r="H207" s="468">
        <f t="shared" si="77"/>
        <v>197</v>
      </c>
      <c r="I207" s="469" t="str">
        <f t="shared" ca="1" si="87"/>
        <v/>
      </c>
      <c r="J207" s="470" t="str">
        <f ca="1">IF(N(I207)&gt;0,VLOOKUP(I207,Hraci!$A$1:$I$1500,2,0),IF(TYPE(INDIRECT(ADDRESS(ROW() + $A$9-9 + (ROW()-11)*4,2,1,1,"Internet")))&gt;1,INDIRECT(ADDRESS(ROW() + $A$9-9 + (ROW()-11)*4,2,1,1,"Internet"))," "))</f>
        <v xml:space="preserve"> </v>
      </c>
      <c r="K207" s="471" t="str">
        <f ca="1">IF(N(I207)&gt;0,VLOOKUP(I207,Hraci!$A$1:$I$1500,3,0)," ")</f>
        <v xml:space="preserve"> </v>
      </c>
      <c r="L207" s="471" t="str">
        <f ca="1">IF(N(I207)&gt;0,VLOOKUP(I207,Hraci!$A$1:$I$1500,5,0),IF(TYPE(INDIRECT(ADDRESS(ROW() + $A$9-9 + (ROW()-11)*4,3,1,1,"Internet")))&gt;1,INDIRECT(ADDRESS(ROW() + $A$9-9 + (ROW()-11)*4,3,1,1,"Internet"))," "))</f>
        <v xml:space="preserve"> </v>
      </c>
      <c r="M207" s="472">
        <f ca="1">IF(N(I207)=0,9999,VLOOKUP(I207,Hraci!$A$1:$I$1500,8,0))</f>
        <v>9999</v>
      </c>
      <c r="N207" s="473">
        <f ca="1">IF(N(I207)=0,0,VLOOKUP(I207,Hraci!$A$1:$I$1500,9,0))</f>
        <v>0</v>
      </c>
      <c r="O207" s="469" t="str">
        <f t="shared" ca="1" si="88"/>
        <v/>
      </c>
      <c r="P207" s="470" t="str">
        <f ca="1">IF(N(O207)&gt;0,VLOOKUP(O207,Hraci!$A$1:$I$1500,2,0),IF(TYPE(INDIRECT(ADDRESS(ROW() + $A$9-8 + (ROW()-11)*4,2,1,1,"Internet")))&gt;1,INDIRECT(ADDRESS(ROW() + $A$9-8 + (ROW()-11)*4,2,1,1,"Internet"))," "))</f>
        <v xml:space="preserve"> </v>
      </c>
      <c r="Q207" s="471" t="str">
        <f ca="1">IF(N(O207)&gt;0,VLOOKUP(O207,Hraci!$A$1:$I$1500,3,0)," ")</f>
        <v xml:space="preserve"> </v>
      </c>
      <c r="R207" s="471" t="str">
        <f ca="1">IF(N(O207)&gt;0,VLOOKUP(O207,Hraci!$A$1:$I$1500,5,0),IF(TYPE(INDIRECT(ADDRESS(ROW() + $A$9-8 + (ROW()-11)*4,3,1,1,"Internet")))&gt;1,INDIRECT(ADDRESS(ROW() + $A$9-8 + (ROW()-11)*4,3,1,1,"Internet"))," "))</f>
        <v xml:space="preserve"> </v>
      </c>
      <c r="S207" s="472">
        <f ca="1">IF(N(O207)=0,9999,VLOOKUP(O207,Hraci!$A$1:$I$1500,8,0))</f>
        <v>9999</v>
      </c>
      <c r="T207" s="473">
        <f ca="1">IF(N(O207)=0,0,VLOOKUP(O207,Hraci!$A$1:$I$1500,9,0))</f>
        <v>0</v>
      </c>
      <c r="U207" s="469" t="str">
        <f t="shared" ca="1" si="89"/>
        <v/>
      </c>
      <c r="V207" s="470" t="str">
        <f ca="1">IF(N(U207)&gt;0,VLOOKUP(U207,Hraci!$A$1:$I$1500,2,0),IF(TYPE(INDIRECT(ADDRESS(ROW() + $A$9-7 + (ROW()-11)*4,2,1,1,"Internet")))&gt;1,INDIRECT(ADDRESS(ROW() + $A$9-7 + (ROW()-11)*4,2,1,1,"Internet"))," "))</f>
        <v xml:space="preserve"> </v>
      </c>
      <c r="W207" s="471" t="str">
        <f ca="1">IF(N(U207)&gt;0,VLOOKUP(U207,Hraci!$A$1:$I$1500,3,0)," ")</f>
        <v xml:space="preserve"> </v>
      </c>
      <c r="X207" s="471" t="str">
        <f ca="1">IF(N(U207)&gt;0,VLOOKUP(U207,Hraci!$A$1:$I$1500,5,0),IF(TYPE(INDIRECT(ADDRESS(ROW() + $A$9-7 + (ROW()-11)*4,3,1,1,"Internet")))&gt;1,INDIRECT(ADDRESS(ROW() + $A$9-7 + (ROW()-11)*4,3,1,1,"Internet"))," "))</f>
        <v xml:space="preserve"> </v>
      </c>
      <c r="Y207" s="472">
        <f ca="1">IF(N(U207)=0,9999,VLOOKUP(U207,Hraci!$A$1:$I$1500,8,0))</f>
        <v>9999</v>
      </c>
      <c r="Z207" s="473">
        <f ca="1">IF(N(U207)=0,0,VLOOKUP(U207,Hraci!$A$1:$I$1500,9,0))</f>
        <v>0</v>
      </c>
      <c r="AA207" s="469" t="str">
        <f t="shared" ca="1" si="90"/>
        <v/>
      </c>
      <c r="AB207" s="470" t="str">
        <f ca="1">IF(N(AA207)&gt;0,VLOOKUP(AA207,Hraci!$A$1:$I$1500,2,0)," ")</f>
        <v xml:space="preserve"> </v>
      </c>
      <c r="AC207" s="471" t="str">
        <f ca="1">IF(N(AA207)&gt;0,VLOOKUP(AA207,Hraci!$A$1:$I$1500,3,0)," ")</f>
        <v xml:space="preserve"> </v>
      </c>
      <c r="AD207" s="471" t="str">
        <f ca="1">IF(N(AA207)&gt;0,VLOOKUP(AA207,Hraci!$A$1:$I$1500,5,0)," ")</f>
        <v xml:space="preserve"> </v>
      </c>
      <c r="AE207" s="472">
        <f ca="1">IF(N(AA207)=0,9999,VLOOKUP(AA207,Hraci!$A$1:$I$1500,8,0))</f>
        <v>9999</v>
      </c>
      <c r="AF207" s="473">
        <f ca="1">IF(N(AA207)=0,0,VLOOKUP(AA207,Hraci!$A$1:$I$1500,9,0))</f>
        <v>0</v>
      </c>
      <c r="AG207" s="474"/>
      <c r="AH207" s="480">
        <f ca="1">IF(TYPE(VLOOKUP(H207,Nasazení!$A$3:$E$258,5,0))&lt;4,VLOOKUP(H207,Nasazení!$A$3:$E$258,5,0),0)</f>
        <v>0</v>
      </c>
      <c r="AI207" s="475" t="str">
        <f ca="1">IF(N($AH207)&gt;0,VLOOKUP($AH207,Body!$A$4:$F$259,5,0),"")</f>
        <v/>
      </c>
      <c r="AJ207" s="476" t="str">
        <f ca="1">IF(N($AH207)&gt;0,VLOOKUP($AH207,Body!$A$4:$F$259,6,0),"")</f>
        <v/>
      </c>
      <c r="AK207" s="475" t="str">
        <f ca="1">IF(N($AH207)&gt;0,VLOOKUP($AH207,Body!$A$4:$F$259,2,0),"")</f>
        <v/>
      </c>
      <c r="AL207" s="477" t="str">
        <f t="shared" ca="1" si="78"/>
        <v/>
      </c>
      <c r="AM207" s="478">
        <f t="shared" ca="1" si="79"/>
        <v>0</v>
      </c>
      <c r="AN207" s="408">
        <f ca="1">IF(OR(TYPE(I207)&gt;1,TYPE(MATCH(I207,I208:I$267,0))&gt;1),0,MATCH(I207,I208:I$267,0))+IF(OR(TYPE(I207)&gt;1,TYPE(MATCH(I207,O$11:O$267,0))&gt;1),0,MATCH(I207,O$11:O$267,0))+IF(OR(TYPE(I207)&gt;1,TYPE(MATCH(I207,U$11:U$267,0))&gt;1),0,MATCH(I207,U$11:U$267,0))+IF(OR(TYPE(I207)&gt;1,TYPE(MATCH(I207,AA$11:AA$267,0))&gt;1),0,MATCH(I207,AA$11:AA$267,0))</f>
        <v>0</v>
      </c>
      <c r="AO207" s="408">
        <f ca="1">IF(OR(TYPE(O207)&gt;1,TYPE(MATCH(O207,I$11:I$267,0))&gt;1),0,MATCH(O207,I$11:I$267,0))+IF(OR(TYPE(O207)&gt;1,TYPE(MATCH(O207,O208:O$267,0))&gt;1),0,MATCH(O207,O208:O$267,0))+IF(OR(TYPE(O207)&gt;1,TYPE(MATCH(O207,U$11:U$267,0))&gt;1),0,MATCH(O207,U$11:U$267,0))+IF(OR(TYPE(O207)&gt;1,TYPE(MATCH(O207,AA$11:AA$267,0))&gt;1),0,MATCH(O207,AA$11:AA$267,0))</f>
        <v>0</v>
      </c>
      <c r="AP207" s="408">
        <f ca="1">IF(OR(TYPE(U207)&gt;1,TYPE(MATCH(U207,I$11:I$267,0))&gt;1),0,MATCH(U207,I$11:I$267,0))+IF(OR(TYPE(U207)&gt;1,TYPE(MATCH(U207,O$11:O$267,0))&gt;1),0,MATCH(U207,O$11:O$267,0))+IF(OR(TYPE(U207)&gt;1,TYPE(MATCH(U207,U208:U$267,0))&gt;1),0,MATCH(U207,U208:U$267,0))+IF(OR(TYPE(U207)&gt;1,TYPE(MATCH(U207,AA$11:AA$267,0))&gt;1),0,MATCH(U207,AA$11:AA$267,0))</f>
        <v>0</v>
      </c>
      <c r="AQ207" s="408">
        <f ca="1">IF(OR(TYPE(AA207)&gt;1,TYPE(MATCH(AA207,I$11:I$267,0))&gt;1),0,MATCH(AA207,I$11:I$267,0))+IF(OR(TYPE(AA207)&gt;1,TYPE(MATCH(AA207,O$11:O$267,0))&gt;1),0,MATCH(AA207,O$11:O$267,0))+IF(OR(TYPE(AA207)&gt;1,TYPE(MATCH(AA207,U$11:U$267,0))&gt;1),0,MATCH(U207,U$11:U$267,0))+IF(OR(TYPE(AA207)&gt;1,TYPE(MATCH(AA207,AA208:AA$267,0))&gt;1),0,MATCH(AA207,AA208:AA$267,0))</f>
        <v>0</v>
      </c>
      <c r="AR207" s="408">
        <f t="shared" ca="1" si="75"/>
        <v>0</v>
      </c>
      <c r="BF207" s="408">
        <f t="shared" si="76"/>
        <v>197</v>
      </c>
    </row>
    <row r="208" spans="1:58" ht="14.25">
      <c r="A208" s="430">
        <f t="shared" ca="1" si="81"/>
        <v>0</v>
      </c>
      <c r="B208" s="430">
        <f t="shared" ca="1" si="82"/>
        <v>0</v>
      </c>
      <c r="C208" s="430">
        <f t="shared" ca="1" si="83"/>
        <v>0</v>
      </c>
      <c r="D208" s="430">
        <f t="shared" ca="1" si="84"/>
        <v>99999</v>
      </c>
      <c r="E208" s="430">
        <f t="shared" ca="1" si="85"/>
        <v>9999</v>
      </c>
      <c r="F208" s="431" t="str">
        <f t="shared" ca="1" si="80"/>
        <v>00000000000000000000091056</v>
      </c>
      <c r="G208" s="467" t="b">
        <f t="shared" ca="1" si="86"/>
        <v>1</v>
      </c>
      <c r="H208" s="468">
        <f t="shared" si="77"/>
        <v>198</v>
      </c>
      <c r="I208" s="469" t="str">
        <f t="shared" ca="1" si="87"/>
        <v/>
      </c>
      <c r="J208" s="470" t="str">
        <f ca="1">IF(N(I208)&gt;0,VLOOKUP(I208,Hraci!$A$1:$I$1500,2,0),IF(TYPE(INDIRECT(ADDRESS(ROW() + $A$9-9 + (ROW()-11)*4,2,1,1,"Internet")))&gt;1,INDIRECT(ADDRESS(ROW() + $A$9-9 + (ROW()-11)*4,2,1,1,"Internet"))," "))</f>
        <v xml:space="preserve"> </v>
      </c>
      <c r="K208" s="471" t="str">
        <f ca="1">IF(N(I208)&gt;0,VLOOKUP(I208,Hraci!$A$1:$I$1500,3,0)," ")</f>
        <v xml:space="preserve"> </v>
      </c>
      <c r="L208" s="471" t="str">
        <f ca="1">IF(N(I208)&gt;0,VLOOKUP(I208,Hraci!$A$1:$I$1500,5,0),IF(TYPE(INDIRECT(ADDRESS(ROW() + $A$9-9 + (ROW()-11)*4,3,1,1,"Internet")))&gt;1,INDIRECT(ADDRESS(ROW() + $A$9-9 + (ROW()-11)*4,3,1,1,"Internet"))," "))</f>
        <v xml:space="preserve"> </v>
      </c>
      <c r="M208" s="472">
        <f ca="1">IF(N(I208)=0,9999,VLOOKUP(I208,Hraci!$A$1:$I$1500,8,0))</f>
        <v>9999</v>
      </c>
      <c r="N208" s="473">
        <f ca="1">IF(N(I208)=0,0,VLOOKUP(I208,Hraci!$A$1:$I$1500,9,0))</f>
        <v>0</v>
      </c>
      <c r="O208" s="469" t="str">
        <f t="shared" ca="1" si="88"/>
        <v/>
      </c>
      <c r="P208" s="470" t="str">
        <f ca="1">IF(N(O208)&gt;0,VLOOKUP(O208,Hraci!$A$1:$I$1500,2,0),IF(TYPE(INDIRECT(ADDRESS(ROW() + $A$9-8 + (ROW()-11)*4,2,1,1,"Internet")))&gt;1,INDIRECT(ADDRESS(ROW() + $A$9-8 + (ROW()-11)*4,2,1,1,"Internet"))," "))</f>
        <v xml:space="preserve"> </v>
      </c>
      <c r="Q208" s="471" t="str">
        <f ca="1">IF(N(O208)&gt;0,VLOOKUP(O208,Hraci!$A$1:$I$1500,3,0)," ")</f>
        <v xml:space="preserve"> </v>
      </c>
      <c r="R208" s="471" t="str">
        <f ca="1">IF(N(O208)&gt;0,VLOOKUP(O208,Hraci!$A$1:$I$1500,5,0),IF(TYPE(INDIRECT(ADDRESS(ROW() + $A$9-8 + (ROW()-11)*4,3,1,1,"Internet")))&gt;1,INDIRECT(ADDRESS(ROW() + $A$9-8 + (ROW()-11)*4,3,1,1,"Internet"))," "))</f>
        <v xml:space="preserve"> </v>
      </c>
      <c r="S208" s="472">
        <f ca="1">IF(N(O208)=0,9999,VLOOKUP(O208,Hraci!$A$1:$I$1500,8,0))</f>
        <v>9999</v>
      </c>
      <c r="T208" s="473">
        <f ca="1">IF(N(O208)=0,0,VLOOKUP(O208,Hraci!$A$1:$I$1500,9,0))</f>
        <v>0</v>
      </c>
      <c r="U208" s="469" t="str">
        <f t="shared" ca="1" si="89"/>
        <v/>
      </c>
      <c r="V208" s="470" t="str">
        <f ca="1">IF(N(U208)&gt;0,VLOOKUP(U208,Hraci!$A$1:$I$1500,2,0),IF(TYPE(INDIRECT(ADDRESS(ROW() + $A$9-7 + (ROW()-11)*4,2,1,1,"Internet")))&gt;1,INDIRECT(ADDRESS(ROW() + $A$9-7 + (ROW()-11)*4,2,1,1,"Internet"))," "))</f>
        <v xml:space="preserve"> </v>
      </c>
      <c r="W208" s="471" t="str">
        <f ca="1">IF(N(U208)&gt;0,VLOOKUP(U208,Hraci!$A$1:$I$1500,3,0)," ")</f>
        <v xml:space="preserve"> </v>
      </c>
      <c r="X208" s="471" t="str">
        <f ca="1">IF(N(U208)&gt;0,VLOOKUP(U208,Hraci!$A$1:$I$1500,5,0),IF(TYPE(INDIRECT(ADDRESS(ROW() + $A$9-7 + (ROW()-11)*4,3,1,1,"Internet")))&gt;1,INDIRECT(ADDRESS(ROW() + $A$9-7 + (ROW()-11)*4,3,1,1,"Internet"))," "))</f>
        <v xml:space="preserve"> </v>
      </c>
      <c r="Y208" s="472">
        <f ca="1">IF(N(U208)=0,9999,VLOOKUP(U208,Hraci!$A$1:$I$1500,8,0))</f>
        <v>9999</v>
      </c>
      <c r="Z208" s="473">
        <f ca="1">IF(N(U208)=0,0,VLOOKUP(U208,Hraci!$A$1:$I$1500,9,0))</f>
        <v>0</v>
      </c>
      <c r="AA208" s="469" t="str">
        <f t="shared" ca="1" si="90"/>
        <v/>
      </c>
      <c r="AB208" s="470" t="str">
        <f ca="1">IF(N(AA208)&gt;0,VLOOKUP(AA208,Hraci!$A$1:$I$1500,2,0)," ")</f>
        <v xml:space="preserve"> </v>
      </c>
      <c r="AC208" s="471" t="str">
        <f ca="1">IF(N(AA208)&gt;0,VLOOKUP(AA208,Hraci!$A$1:$I$1500,3,0)," ")</f>
        <v xml:space="preserve"> </v>
      </c>
      <c r="AD208" s="471" t="str">
        <f ca="1">IF(N(AA208)&gt;0,VLOOKUP(AA208,Hraci!$A$1:$I$1500,5,0)," ")</f>
        <v xml:space="preserve"> </v>
      </c>
      <c r="AE208" s="472">
        <f ca="1">IF(N(AA208)=0,9999,VLOOKUP(AA208,Hraci!$A$1:$I$1500,8,0))</f>
        <v>9999</v>
      </c>
      <c r="AF208" s="473">
        <f ca="1">IF(N(AA208)=0,0,VLOOKUP(AA208,Hraci!$A$1:$I$1500,9,0))</f>
        <v>0</v>
      </c>
      <c r="AG208" s="474"/>
      <c r="AH208" s="480">
        <f ca="1">IF(TYPE(VLOOKUP(H208,Nasazení!$A$3:$E$258,5,0))&lt;4,VLOOKUP(H208,Nasazení!$A$3:$E$258,5,0),0)</f>
        <v>0</v>
      </c>
      <c r="AI208" s="475" t="str">
        <f ca="1">IF(N($AH208)&gt;0,VLOOKUP($AH208,Body!$A$4:$F$259,5,0),"")</f>
        <v/>
      </c>
      <c r="AJ208" s="476" t="str">
        <f ca="1">IF(N($AH208)&gt;0,VLOOKUP($AH208,Body!$A$4:$F$259,6,0),"")</f>
        <v/>
      </c>
      <c r="AK208" s="475" t="str">
        <f ca="1">IF(N($AH208)&gt;0,VLOOKUP($AH208,Body!$A$4:$F$259,2,0),"")</f>
        <v/>
      </c>
      <c r="AL208" s="477" t="str">
        <f t="shared" ca="1" si="78"/>
        <v/>
      </c>
      <c r="AM208" s="478">
        <f t="shared" ca="1" si="79"/>
        <v>0</v>
      </c>
      <c r="AN208" s="408">
        <f ca="1">IF(OR(TYPE(I208)&gt;1,TYPE(MATCH(I208,I209:I$267,0))&gt;1),0,MATCH(I208,I209:I$267,0))+IF(OR(TYPE(I208)&gt;1,TYPE(MATCH(I208,O$11:O$267,0))&gt;1),0,MATCH(I208,O$11:O$267,0))+IF(OR(TYPE(I208)&gt;1,TYPE(MATCH(I208,U$11:U$267,0))&gt;1),0,MATCH(I208,U$11:U$267,0))+IF(OR(TYPE(I208)&gt;1,TYPE(MATCH(I208,AA$11:AA$267,0))&gt;1),0,MATCH(I208,AA$11:AA$267,0))</f>
        <v>0</v>
      </c>
      <c r="AO208" s="408">
        <f ca="1">IF(OR(TYPE(O208)&gt;1,TYPE(MATCH(O208,I$11:I$267,0))&gt;1),0,MATCH(O208,I$11:I$267,0))+IF(OR(TYPE(O208)&gt;1,TYPE(MATCH(O208,O209:O$267,0))&gt;1),0,MATCH(O208,O209:O$267,0))+IF(OR(TYPE(O208)&gt;1,TYPE(MATCH(O208,U$11:U$267,0))&gt;1),0,MATCH(O208,U$11:U$267,0))+IF(OR(TYPE(O208)&gt;1,TYPE(MATCH(O208,AA$11:AA$267,0))&gt;1),0,MATCH(O208,AA$11:AA$267,0))</f>
        <v>0</v>
      </c>
      <c r="AP208" s="408">
        <f ca="1">IF(OR(TYPE(U208)&gt;1,TYPE(MATCH(U208,I$11:I$267,0))&gt;1),0,MATCH(U208,I$11:I$267,0))+IF(OR(TYPE(U208)&gt;1,TYPE(MATCH(U208,O$11:O$267,0))&gt;1),0,MATCH(U208,O$11:O$267,0))+IF(OR(TYPE(U208)&gt;1,TYPE(MATCH(U208,U209:U$267,0))&gt;1),0,MATCH(U208,U209:U$267,0))+IF(OR(TYPE(U208)&gt;1,TYPE(MATCH(U208,AA$11:AA$267,0))&gt;1),0,MATCH(U208,AA$11:AA$267,0))</f>
        <v>0</v>
      </c>
      <c r="AQ208" s="408">
        <f ca="1">IF(OR(TYPE(AA208)&gt;1,TYPE(MATCH(AA208,I$11:I$267,0))&gt;1),0,MATCH(AA208,I$11:I$267,0))+IF(OR(TYPE(AA208)&gt;1,TYPE(MATCH(AA208,O$11:O$267,0))&gt;1),0,MATCH(AA208,O$11:O$267,0))+IF(OR(TYPE(AA208)&gt;1,TYPE(MATCH(AA208,U$11:U$267,0))&gt;1),0,MATCH(U208,U$11:U$267,0))+IF(OR(TYPE(AA208)&gt;1,TYPE(MATCH(AA208,AA209:AA$267,0))&gt;1),0,MATCH(AA208,AA209:AA$267,0))</f>
        <v>0</v>
      </c>
      <c r="AR208" s="408">
        <f t="shared" ca="1" si="75"/>
        <v>0</v>
      </c>
      <c r="BF208" s="408">
        <f t="shared" si="76"/>
        <v>198</v>
      </c>
    </row>
    <row r="209" spans="1:58" ht="14.25">
      <c r="A209" s="430">
        <f t="shared" ca="1" si="81"/>
        <v>0</v>
      </c>
      <c r="B209" s="430">
        <f t="shared" ca="1" si="82"/>
        <v>0</v>
      </c>
      <c r="C209" s="430">
        <f t="shared" ca="1" si="83"/>
        <v>0</v>
      </c>
      <c r="D209" s="430">
        <f t="shared" ca="1" si="84"/>
        <v>99999</v>
      </c>
      <c r="E209" s="430">
        <f t="shared" ca="1" si="85"/>
        <v>9999</v>
      </c>
      <c r="F209" s="431" t="str">
        <f t="shared" ca="1" si="80"/>
        <v>00000000000000000000177470</v>
      </c>
      <c r="G209" s="467" t="b">
        <f t="shared" ca="1" si="86"/>
        <v>1</v>
      </c>
      <c r="H209" s="468">
        <f t="shared" si="77"/>
        <v>199</v>
      </c>
      <c r="I209" s="469" t="str">
        <f t="shared" ca="1" si="87"/>
        <v/>
      </c>
      <c r="J209" s="470" t="str">
        <f ca="1">IF(N(I209)&gt;0,VLOOKUP(I209,Hraci!$A$1:$I$1500,2,0),IF(TYPE(INDIRECT(ADDRESS(ROW() + $A$9-9 + (ROW()-11)*4,2,1,1,"Internet")))&gt;1,INDIRECT(ADDRESS(ROW() + $A$9-9 + (ROW()-11)*4,2,1,1,"Internet"))," "))</f>
        <v xml:space="preserve"> </v>
      </c>
      <c r="K209" s="471" t="str">
        <f ca="1">IF(N(I209)&gt;0,VLOOKUP(I209,Hraci!$A$1:$I$1500,3,0)," ")</f>
        <v xml:space="preserve"> </v>
      </c>
      <c r="L209" s="471" t="str">
        <f ca="1">IF(N(I209)&gt;0,VLOOKUP(I209,Hraci!$A$1:$I$1500,5,0),IF(TYPE(INDIRECT(ADDRESS(ROW() + $A$9-9 + (ROW()-11)*4,3,1,1,"Internet")))&gt;1,INDIRECT(ADDRESS(ROW() + $A$9-9 + (ROW()-11)*4,3,1,1,"Internet"))," "))</f>
        <v xml:space="preserve"> </v>
      </c>
      <c r="M209" s="472">
        <f ca="1">IF(N(I209)=0,9999,VLOOKUP(I209,Hraci!$A$1:$I$1500,8,0))</f>
        <v>9999</v>
      </c>
      <c r="N209" s="473">
        <f ca="1">IF(N(I209)=0,0,VLOOKUP(I209,Hraci!$A$1:$I$1500,9,0))</f>
        <v>0</v>
      </c>
      <c r="O209" s="469" t="str">
        <f t="shared" ca="1" si="88"/>
        <v/>
      </c>
      <c r="P209" s="470" t="str">
        <f ca="1">IF(N(O209)&gt;0,VLOOKUP(O209,Hraci!$A$1:$I$1500,2,0),IF(TYPE(INDIRECT(ADDRESS(ROW() + $A$9-8 + (ROW()-11)*4,2,1,1,"Internet")))&gt;1,INDIRECT(ADDRESS(ROW() + $A$9-8 + (ROW()-11)*4,2,1,1,"Internet"))," "))</f>
        <v xml:space="preserve"> </v>
      </c>
      <c r="Q209" s="471" t="str">
        <f ca="1">IF(N(O209)&gt;0,VLOOKUP(O209,Hraci!$A$1:$I$1500,3,0)," ")</f>
        <v xml:space="preserve"> </v>
      </c>
      <c r="R209" s="471" t="str">
        <f ca="1">IF(N(O209)&gt;0,VLOOKUP(O209,Hraci!$A$1:$I$1500,5,0),IF(TYPE(INDIRECT(ADDRESS(ROW() + $A$9-8 + (ROW()-11)*4,3,1,1,"Internet")))&gt;1,INDIRECT(ADDRESS(ROW() + $A$9-8 + (ROW()-11)*4,3,1,1,"Internet"))," "))</f>
        <v xml:space="preserve"> </v>
      </c>
      <c r="S209" s="472">
        <f ca="1">IF(N(O209)=0,9999,VLOOKUP(O209,Hraci!$A$1:$I$1500,8,0))</f>
        <v>9999</v>
      </c>
      <c r="T209" s="473">
        <f ca="1">IF(N(O209)=0,0,VLOOKUP(O209,Hraci!$A$1:$I$1500,9,0))</f>
        <v>0</v>
      </c>
      <c r="U209" s="469" t="str">
        <f t="shared" ca="1" si="89"/>
        <v/>
      </c>
      <c r="V209" s="470" t="str">
        <f ca="1">IF(N(U209)&gt;0,VLOOKUP(U209,Hraci!$A$1:$I$1500,2,0),IF(TYPE(INDIRECT(ADDRESS(ROW() + $A$9-7 + (ROW()-11)*4,2,1,1,"Internet")))&gt;1,INDIRECT(ADDRESS(ROW() + $A$9-7 + (ROW()-11)*4,2,1,1,"Internet"))," "))</f>
        <v xml:space="preserve"> </v>
      </c>
      <c r="W209" s="471" t="str">
        <f ca="1">IF(N(U209)&gt;0,VLOOKUP(U209,Hraci!$A$1:$I$1500,3,0)," ")</f>
        <v xml:space="preserve"> </v>
      </c>
      <c r="X209" s="471" t="str">
        <f ca="1">IF(N(U209)&gt;0,VLOOKUP(U209,Hraci!$A$1:$I$1500,5,0),IF(TYPE(INDIRECT(ADDRESS(ROW() + $A$9-7 + (ROW()-11)*4,3,1,1,"Internet")))&gt;1,INDIRECT(ADDRESS(ROW() + $A$9-7 + (ROW()-11)*4,3,1,1,"Internet"))," "))</f>
        <v xml:space="preserve"> </v>
      </c>
      <c r="Y209" s="472">
        <f ca="1">IF(N(U209)=0,9999,VLOOKUP(U209,Hraci!$A$1:$I$1500,8,0))</f>
        <v>9999</v>
      </c>
      <c r="Z209" s="473">
        <f ca="1">IF(N(U209)=0,0,VLOOKUP(U209,Hraci!$A$1:$I$1500,9,0))</f>
        <v>0</v>
      </c>
      <c r="AA209" s="469" t="str">
        <f t="shared" ca="1" si="90"/>
        <v/>
      </c>
      <c r="AB209" s="470" t="str">
        <f ca="1">IF(N(AA209)&gt;0,VLOOKUP(AA209,Hraci!$A$1:$I$1500,2,0)," ")</f>
        <v xml:space="preserve"> </v>
      </c>
      <c r="AC209" s="471" t="str">
        <f ca="1">IF(N(AA209)&gt;0,VLOOKUP(AA209,Hraci!$A$1:$I$1500,3,0)," ")</f>
        <v xml:space="preserve"> </v>
      </c>
      <c r="AD209" s="471" t="str">
        <f ca="1">IF(N(AA209)&gt;0,VLOOKUP(AA209,Hraci!$A$1:$I$1500,5,0)," ")</f>
        <v xml:space="preserve"> </v>
      </c>
      <c r="AE209" s="472">
        <f ca="1">IF(N(AA209)=0,9999,VLOOKUP(AA209,Hraci!$A$1:$I$1500,8,0))</f>
        <v>9999</v>
      </c>
      <c r="AF209" s="473">
        <f ca="1">IF(N(AA209)=0,0,VLOOKUP(AA209,Hraci!$A$1:$I$1500,9,0))</f>
        <v>0</v>
      </c>
      <c r="AG209" s="474"/>
      <c r="AH209" s="480">
        <f ca="1">IF(TYPE(VLOOKUP(H209,Nasazení!$A$3:$E$258,5,0))&lt;4,VLOOKUP(H209,Nasazení!$A$3:$E$258,5,0),0)</f>
        <v>0</v>
      </c>
      <c r="AI209" s="475" t="str">
        <f ca="1">IF(N($AH209)&gt;0,VLOOKUP($AH209,Body!$A$4:$F$259,5,0),"")</f>
        <v/>
      </c>
      <c r="AJ209" s="476" t="str">
        <f ca="1">IF(N($AH209)&gt;0,VLOOKUP($AH209,Body!$A$4:$F$259,6,0),"")</f>
        <v/>
      </c>
      <c r="AK209" s="475" t="str">
        <f ca="1">IF(N($AH209)&gt;0,VLOOKUP($AH209,Body!$A$4:$F$259,2,0),"")</f>
        <v/>
      </c>
      <c r="AL209" s="477" t="str">
        <f t="shared" ca="1" si="78"/>
        <v/>
      </c>
      <c r="AM209" s="478">
        <f t="shared" ca="1" si="79"/>
        <v>0</v>
      </c>
      <c r="AN209" s="408">
        <f ca="1">IF(OR(TYPE(I209)&gt;1,TYPE(MATCH(I209,I210:I$267,0))&gt;1),0,MATCH(I209,I210:I$267,0))+IF(OR(TYPE(I209)&gt;1,TYPE(MATCH(I209,O$11:O$267,0))&gt;1),0,MATCH(I209,O$11:O$267,0))+IF(OR(TYPE(I209)&gt;1,TYPE(MATCH(I209,U$11:U$267,0))&gt;1),0,MATCH(I209,U$11:U$267,0))+IF(OR(TYPE(I209)&gt;1,TYPE(MATCH(I209,AA$11:AA$267,0))&gt;1),0,MATCH(I209,AA$11:AA$267,0))</f>
        <v>0</v>
      </c>
      <c r="AO209" s="408">
        <f ca="1">IF(OR(TYPE(O209)&gt;1,TYPE(MATCH(O209,I$11:I$267,0))&gt;1),0,MATCH(O209,I$11:I$267,0))+IF(OR(TYPE(O209)&gt;1,TYPE(MATCH(O209,O210:O$267,0))&gt;1),0,MATCH(O209,O210:O$267,0))+IF(OR(TYPE(O209)&gt;1,TYPE(MATCH(O209,U$11:U$267,0))&gt;1),0,MATCH(O209,U$11:U$267,0))+IF(OR(TYPE(O209)&gt;1,TYPE(MATCH(O209,AA$11:AA$267,0))&gt;1),0,MATCH(O209,AA$11:AA$267,0))</f>
        <v>0</v>
      </c>
      <c r="AP209" s="408">
        <f ca="1">IF(OR(TYPE(U209)&gt;1,TYPE(MATCH(U209,I$11:I$267,0))&gt;1),0,MATCH(U209,I$11:I$267,0))+IF(OR(TYPE(U209)&gt;1,TYPE(MATCH(U209,O$11:O$267,0))&gt;1),0,MATCH(U209,O$11:O$267,0))+IF(OR(TYPE(U209)&gt;1,TYPE(MATCH(U209,U210:U$267,0))&gt;1),0,MATCH(U209,U210:U$267,0))+IF(OR(TYPE(U209)&gt;1,TYPE(MATCH(U209,AA$11:AA$267,0))&gt;1),0,MATCH(U209,AA$11:AA$267,0))</f>
        <v>0</v>
      </c>
      <c r="AQ209" s="408">
        <f ca="1">IF(OR(TYPE(AA209)&gt;1,TYPE(MATCH(AA209,I$11:I$267,0))&gt;1),0,MATCH(AA209,I$11:I$267,0))+IF(OR(TYPE(AA209)&gt;1,TYPE(MATCH(AA209,O$11:O$267,0))&gt;1),0,MATCH(AA209,O$11:O$267,0))+IF(OR(TYPE(AA209)&gt;1,TYPE(MATCH(AA209,U$11:U$267,0))&gt;1),0,MATCH(U209,U$11:U$267,0))+IF(OR(TYPE(AA209)&gt;1,TYPE(MATCH(AA209,AA210:AA$267,0))&gt;1),0,MATCH(AA209,AA210:AA$267,0))</f>
        <v>0</v>
      </c>
      <c r="AR209" s="408">
        <f t="shared" ca="1" si="75"/>
        <v>0</v>
      </c>
      <c r="BF209" s="408">
        <f t="shared" si="76"/>
        <v>199</v>
      </c>
    </row>
    <row r="210" spans="1:58" ht="14.25">
      <c r="A210" s="430">
        <f t="shared" ca="1" si="81"/>
        <v>0</v>
      </c>
      <c r="B210" s="430">
        <f t="shared" ca="1" si="82"/>
        <v>0</v>
      </c>
      <c r="C210" s="430">
        <f t="shared" ca="1" si="83"/>
        <v>0</v>
      </c>
      <c r="D210" s="430">
        <f t="shared" ca="1" si="84"/>
        <v>99999</v>
      </c>
      <c r="E210" s="430">
        <f t="shared" ca="1" si="85"/>
        <v>9999</v>
      </c>
      <c r="F210" s="431" t="str">
        <f t="shared" ca="1" si="80"/>
        <v>00000000000000000000549850</v>
      </c>
      <c r="G210" s="467" t="b">
        <f t="shared" ca="1" si="86"/>
        <v>1</v>
      </c>
      <c r="H210" s="468">
        <f t="shared" si="77"/>
        <v>200</v>
      </c>
      <c r="I210" s="469" t="str">
        <f t="shared" ca="1" si="87"/>
        <v/>
      </c>
      <c r="J210" s="470" t="str">
        <f ca="1">IF(N(I210)&gt;0,VLOOKUP(I210,Hraci!$A$1:$I$1500,2,0),IF(TYPE(INDIRECT(ADDRESS(ROW() + $A$9-9 + (ROW()-11)*4,2,1,1,"Internet")))&gt;1,INDIRECT(ADDRESS(ROW() + $A$9-9 + (ROW()-11)*4,2,1,1,"Internet"))," "))</f>
        <v xml:space="preserve"> </v>
      </c>
      <c r="K210" s="471" t="str">
        <f ca="1">IF(N(I210)&gt;0,VLOOKUP(I210,Hraci!$A$1:$I$1500,3,0)," ")</f>
        <v xml:space="preserve"> </v>
      </c>
      <c r="L210" s="471" t="str">
        <f ca="1">IF(N(I210)&gt;0,VLOOKUP(I210,Hraci!$A$1:$I$1500,5,0),IF(TYPE(INDIRECT(ADDRESS(ROW() + $A$9-9 + (ROW()-11)*4,3,1,1,"Internet")))&gt;1,INDIRECT(ADDRESS(ROW() + $A$9-9 + (ROW()-11)*4,3,1,1,"Internet"))," "))</f>
        <v xml:space="preserve"> </v>
      </c>
      <c r="M210" s="472">
        <f ca="1">IF(N(I210)=0,9999,VLOOKUP(I210,Hraci!$A$1:$I$1500,8,0))</f>
        <v>9999</v>
      </c>
      <c r="N210" s="473">
        <f ca="1">IF(N(I210)=0,0,VLOOKUP(I210,Hraci!$A$1:$I$1500,9,0))</f>
        <v>0</v>
      </c>
      <c r="O210" s="469" t="str">
        <f t="shared" ca="1" si="88"/>
        <v/>
      </c>
      <c r="P210" s="470" t="str">
        <f ca="1">IF(N(O210)&gt;0,VLOOKUP(O210,Hraci!$A$1:$I$1500,2,0),IF(TYPE(INDIRECT(ADDRESS(ROW() + $A$9-8 + (ROW()-11)*4,2,1,1,"Internet")))&gt;1,INDIRECT(ADDRESS(ROW() + $A$9-8 + (ROW()-11)*4,2,1,1,"Internet"))," "))</f>
        <v xml:space="preserve"> </v>
      </c>
      <c r="Q210" s="471" t="str">
        <f ca="1">IF(N(O210)&gt;0,VLOOKUP(O210,Hraci!$A$1:$I$1500,3,0)," ")</f>
        <v xml:space="preserve"> </v>
      </c>
      <c r="R210" s="471" t="str">
        <f ca="1">IF(N(O210)&gt;0,VLOOKUP(O210,Hraci!$A$1:$I$1500,5,0),IF(TYPE(INDIRECT(ADDRESS(ROW() + $A$9-8 + (ROW()-11)*4,3,1,1,"Internet")))&gt;1,INDIRECT(ADDRESS(ROW() + $A$9-8 + (ROW()-11)*4,3,1,1,"Internet"))," "))</f>
        <v xml:space="preserve"> </v>
      </c>
      <c r="S210" s="472">
        <f ca="1">IF(N(O210)=0,9999,VLOOKUP(O210,Hraci!$A$1:$I$1500,8,0))</f>
        <v>9999</v>
      </c>
      <c r="T210" s="473">
        <f ca="1">IF(N(O210)=0,0,VLOOKUP(O210,Hraci!$A$1:$I$1500,9,0))</f>
        <v>0</v>
      </c>
      <c r="U210" s="469" t="str">
        <f t="shared" ca="1" si="89"/>
        <v/>
      </c>
      <c r="V210" s="470" t="str">
        <f ca="1">IF(N(U210)&gt;0,VLOOKUP(U210,Hraci!$A$1:$I$1500,2,0),IF(TYPE(INDIRECT(ADDRESS(ROW() + $A$9-7 + (ROW()-11)*4,2,1,1,"Internet")))&gt;1,INDIRECT(ADDRESS(ROW() + $A$9-7 + (ROW()-11)*4,2,1,1,"Internet"))," "))</f>
        <v xml:space="preserve"> </v>
      </c>
      <c r="W210" s="471" t="str">
        <f ca="1">IF(N(U210)&gt;0,VLOOKUP(U210,Hraci!$A$1:$I$1500,3,0)," ")</f>
        <v xml:space="preserve"> </v>
      </c>
      <c r="X210" s="471" t="str">
        <f ca="1">IF(N(U210)&gt;0,VLOOKUP(U210,Hraci!$A$1:$I$1500,5,0),IF(TYPE(INDIRECT(ADDRESS(ROW() + $A$9-7 + (ROW()-11)*4,3,1,1,"Internet")))&gt;1,INDIRECT(ADDRESS(ROW() + $A$9-7 + (ROW()-11)*4,3,1,1,"Internet"))," "))</f>
        <v xml:space="preserve"> </v>
      </c>
      <c r="Y210" s="472">
        <f ca="1">IF(N(U210)=0,9999,VLOOKUP(U210,Hraci!$A$1:$I$1500,8,0))</f>
        <v>9999</v>
      </c>
      <c r="Z210" s="473">
        <f ca="1">IF(N(U210)=0,0,VLOOKUP(U210,Hraci!$A$1:$I$1500,9,0))</f>
        <v>0</v>
      </c>
      <c r="AA210" s="469" t="str">
        <f t="shared" ca="1" si="90"/>
        <v/>
      </c>
      <c r="AB210" s="470" t="str">
        <f ca="1">IF(N(AA210)&gt;0,VLOOKUP(AA210,Hraci!$A$1:$I$1500,2,0)," ")</f>
        <v xml:space="preserve"> </v>
      </c>
      <c r="AC210" s="471" t="str">
        <f ca="1">IF(N(AA210)&gt;0,VLOOKUP(AA210,Hraci!$A$1:$I$1500,3,0)," ")</f>
        <v xml:space="preserve"> </v>
      </c>
      <c r="AD210" s="471" t="str">
        <f ca="1">IF(N(AA210)&gt;0,VLOOKUP(AA210,Hraci!$A$1:$I$1500,5,0)," ")</f>
        <v xml:space="preserve"> </v>
      </c>
      <c r="AE210" s="472">
        <f ca="1">IF(N(AA210)=0,9999,VLOOKUP(AA210,Hraci!$A$1:$I$1500,8,0))</f>
        <v>9999</v>
      </c>
      <c r="AF210" s="473">
        <f ca="1">IF(N(AA210)=0,0,VLOOKUP(AA210,Hraci!$A$1:$I$1500,9,0))</f>
        <v>0</v>
      </c>
      <c r="AG210" s="474"/>
      <c r="AH210" s="480">
        <f ca="1">IF(TYPE(VLOOKUP(H210,Nasazení!$A$3:$E$258,5,0))&lt;4,VLOOKUP(H210,Nasazení!$A$3:$E$258,5,0),0)</f>
        <v>0</v>
      </c>
      <c r="AI210" s="475" t="str">
        <f ca="1">IF(N($AH210)&gt;0,VLOOKUP($AH210,Body!$A$4:$F$259,5,0),"")</f>
        <v/>
      </c>
      <c r="AJ210" s="476" t="str">
        <f ca="1">IF(N($AH210)&gt;0,VLOOKUP($AH210,Body!$A$4:$F$259,6,0),"")</f>
        <v/>
      </c>
      <c r="AK210" s="475" t="str">
        <f ca="1">IF(N($AH210)&gt;0,VLOOKUP($AH210,Body!$A$4:$F$259,2,0),"")</f>
        <v/>
      </c>
      <c r="AL210" s="477" t="str">
        <f t="shared" ca="1" si="78"/>
        <v/>
      </c>
      <c r="AM210" s="478">
        <f t="shared" ca="1" si="79"/>
        <v>0</v>
      </c>
      <c r="AN210" s="408">
        <f ca="1">IF(OR(TYPE(I210)&gt;1,TYPE(MATCH(I210,I211:I$267,0))&gt;1),0,MATCH(I210,I211:I$267,0))+IF(OR(TYPE(I210)&gt;1,TYPE(MATCH(I210,O$11:O$267,0))&gt;1),0,MATCH(I210,O$11:O$267,0))+IF(OR(TYPE(I210)&gt;1,TYPE(MATCH(I210,U$11:U$267,0))&gt;1),0,MATCH(I210,U$11:U$267,0))+IF(OR(TYPE(I210)&gt;1,TYPE(MATCH(I210,AA$11:AA$267,0))&gt;1),0,MATCH(I210,AA$11:AA$267,0))</f>
        <v>0</v>
      </c>
      <c r="AO210" s="408">
        <f ca="1">IF(OR(TYPE(O210)&gt;1,TYPE(MATCH(O210,I$11:I$267,0))&gt;1),0,MATCH(O210,I$11:I$267,0))+IF(OR(TYPE(O210)&gt;1,TYPE(MATCH(O210,O211:O$267,0))&gt;1),0,MATCH(O210,O211:O$267,0))+IF(OR(TYPE(O210)&gt;1,TYPE(MATCH(O210,U$11:U$267,0))&gt;1),0,MATCH(O210,U$11:U$267,0))+IF(OR(TYPE(O210)&gt;1,TYPE(MATCH(O210,AA$11:AA$267,0))&gt;1),0,MATCH(O210,AA$11:AA$267,0))</f>
        <v>0</v>
      </c>
      <c r="AP210" s="408">
        <f ca="1">IF(OR(TYPE(U210)&gt;1,TYPE(MATCH(U210,I$11:I$267,0))&gt;1),0,MATCH(U210,I$11:I$267,0))+IF(OR(TYPE(U210)&gt;1,TYPE(MATCH(U210,O$11:O$267,0))&gt;1),0,MATCH(U210,O$11:O$267,0))+IF(OR(TYPE(U210)&gt;1,TYPE(MATCH(U210,U211:U$267,0))&gt;1),0,MATCH(U210,U211:U$267,0))+IF(OR(TYPE(U210)&gt;1,TYPE(MATCH(U210,AA$11:AA$267,0))&gt;1),0,MATCH(U210,AA$11:AA$267,0))</f>
        <v>0</v>
      </c>
      <c r="AQ210" s="408">
        <f ca="1">IF(OR(TYPE(AA210)&gt;1,TYPE(MATCH(AA210,I$11:I$267,0))&gt;1),0,MATCH(AA210,I$11:I$267,0))+IF(OR(TYPE(AA210)&gt;1,TYPE(MATCH(AA210,O$11:O$267,0))&gt;1),0,MATCH(AA210,O$11:O$267,0))+IF(OR(TYPE(AA210)&gt;1,TYPE(MATCH(AA210,U$11:U$267,0))&gt;1),0,MATCH(U210,U$11:U$267,0))+IF(OR(TYPE(AA210)&gt;1,TYPE(MATCH(AA210,AA211:AA$267,0))&gt;1),0,MATCH(AA210,AA211:AA$267,0))</f>
        <v>0</v>
      </c>
      <c r="AR210" s="408">
        <f t="shared" ca="1" si="75"/>
        <v>0</v>
      </c>
      <c r="BF210" s="408">
        <f t="shared" si="76"/>
        <v>200</v>
      </c>
    </row>
    <row r="211" spans="1:58" ht="14.25">
      <c r="A211" s="430">
        <f t="shared" ca="1" si="81"/>
        <v>0</v>
      </c>
      <c r="B211" s="430">
        <f t="shared" ca="1" si="82"/>
        <v>0</v>
      </c>
      <c r="C211" s="430">
        <f t="shared" ca="1" si="83"/>
        <v>0</v>
      </c>
      <c r="D211" s="430">
        <f t="shared" ca="1" si="84"/>
        <v>99999</v>
      </c>
      <c r="E211" s="430">
        <f t="shared" ca="1" si="85"/>
        <v>9999</v>
      </c>
      <c r="F211" s="431" t="str">
        <f t="shared" ca="1" si="80"/>
        <v>00000000000000000000873954</v>
      </c>
      <c r="G211" s="467" t="b">
        <f t="shared" ca="1" si="86"/>
        <v>1</v>
      </c>
      <c r="H211" s="468">
        <f t="shared" si="77"/>
        <v>201</v>
      </c>
      <c r="I211" s="469" t="str">
        <f t="shared" ca="1" si="87"/>
        <v/>
      </c>
      <c r="J211" s="470" t="str">
        <f ca="1">IF(N(I211)&gt;0,VLOOKUP(I211,Hraci!$A$1:$I$1500,2,0),IF(TYPE(INDIRECT(ADDRESS(ROW() + $A$9-9 + (ROW()-11)*4,2,1,1,"Internet")))&gt;1,INDIRECT(ADDRESS(ROW() + $A$9-9 + (ROW()-11)*4,2,1,1,"Internet"))," "))</f>
        <v xml:space="preserve"> </v>
      </c>
      <c r="K211" s="471" t="str">
        <f ca="1">IF(N(I211)&gt;0,VLOOKUP(I211,Hraci!$A$1:$I$1500,3,0)," ")</f>
        <v xml:space="preserve"> </v>
      </c>
      <c r="L211" s="471" t="str">
        <f ca="1">IF(N(I211)&gt;0,VLOOKUP(I211,Hraci!$A$1:$I$1500,5,0),IF(TYPE(INDIRECT(ADDRESS(ROW() + $A$9-9 + (ROW()-11)*4,3,1,1,"Internet")))&gt;1,INDIRECT(ADDRESS(ROW() + $A$9-9 + (ROW()-11)*4,3,1,1,"Internet"))," "))</f>
        <v xml:space="preserve"> </v>
      </c>
      <c r="M211" s="472">
        <f ca="1">IF(N(I211)=0,9999,VLOOKUP(I211,Hraci!$A$1:$I$1500,8,0))</f>
        <v>9999</v>
      </c>
      <c r="N211" s="473">
        <f ca="1">IF(N(I211)=0,0,VLOOKUP(I211,Hraci!$A$1:$I$1500,9,0))</f>
        <v>0</v>
      </c>
      <c r="O211" s="469" t="str">
        <f t="shared" ca="1" si="88"/>
        <v/>
      </c>
      <c r="P211" s="470" t="str">
        <f ca="1">IF(N(O211)&gt;0,VLOOKUP(O211,Hraci!$A$1:$I$1500,2,0),IF(TYPE(INDIRECT(ADDRESS(ROW() + $A$9-8 + (ROW()-11)*4,2,1,1,"Internet")))&gt;1,INDIRECT(ADDRESS(ROW() + $A$9-8 + (ROW()-11)*4,2,1,1,"Internet"))," "))</f>
        <v xml:space="preserve"> </v>
      </c>
      <c r="Q211" s="471" t="str">
        <f ca="1">IF(N(O211)&gt;0,VLOOKUP(O211,Hraci!$A$1:$I$1500,3,0)," ")</f>
        <v xml:space="preserve"> </v>
      </c>
      <c r="R211" s="471" t="str">
        <f ca="1">IF(N(O211)&gt;0,VLOOKUP(O211,Hraci!$A$1:$I$1500,5,0),IF(TYPE(INDIRECT(ADDRESS(ROW() + $A$9-8 + (ROW()-11)*4,3,1,1,"Internet")))&gt;1,INDIRECT(ADDRESS(ROW() + $A$9-8 + (ROW()-11)*4,3,1,1,"Internet"))," "))</f>
        <v xml:space="preserve"> </v>
      </c>
      <c r="S211" s="472">
        <f ca="1">IF(N(O211)=0,9999,VLOOKUP(O211,Hraci!$A$1:$I$1500,8,0))</f>
        <v>9999</v>
      </c>
      <c r="T211" s="473">
        <f ca="1">IF(N(O211)=0,0,VLOOKUP(O211,Hraci!$A$1:$I$1500,9,0))</f>
        <v>0</v>
      </c>
      <c r="U211" s="469" t="str">
        <f t="shared" ca="1" si="89"/>
        <v/>
      </c>
      <c r="V211" s="470" t="str">
        <f ca="1">IF(N(U211)&gt;0,VLOOKUP(U211,Hraci!$A$1:$I$1500,2,0),IF(TYPE(INDIRECT(ADDRESS(ROW() + $A$9-7 + (ROW()-11)*4,2,1,1,"Internet")))&gt;1,INDIRECT(ADDRESS(ROW() + $A$9-7 + (ROW()-11)*4,2,1,1,"Internet"))," "))</f>
        <v xml:space="preserve"> </v>
      </c>
      <c r="W211" s="471" t="str">
        <f ca="1">IF(N(U211)&gt;0,VLOOKUP(U211,Hraci!$A$1:$I$1500,3,0)," ")</f>
        <v xml:space="preserve"> </v>
      </c>
      <c r="X211" s="471" t="str">
        <f ca="1">IF(N(U211)&gt;0,VLOOKUP(U211,Hraci!$A$1:$I$1500,5,0),IF(TYPE(INDIRECT(ADDRESS(ROW() + $A$9-7 + (ROW()-11)*4,3,1,1,"Internet")))&gt;1,INDIRECT(ADDRESS(ROW() + $A$9-7 + (ROW()-11)*4,3,1,1,"Internet"))," "))</f>
        <v xml:space="preserve"> </v>
      </c>
      <c r="Y211" s="472">
        <f ca="1">IF(N(U211)=0,9999,VLOOKUP(U211,Hraci!$A$1:$I$1500,8,0))</f>
        <v>9999</v>
      </c>
      <c r="Z211" s="473">
        <f ca="1">IF(N(U211)=0,0,VLOOKUP(U211,Hraci!$A$1:$I$1500,9,0))</f>
        <v>0</v>
      </c>
      <c r="AA211" s="469" t="str">
        <f t="shared" ca="1" si="90"/>
        <v/>
      </c>
      <c r="AB211" s="470" t="str">
        <f ca="1">IF(N(AA211)&gt;0,VLOOKUP(AA211,Hraci!$A$1:$I$1500,2,0)," ")</f>
        <v xml:space="preserve"> </v>
      </c>
      <c r="AC211" s="471" t="str">
        <f ca="1">IF(N(AA211)&gt;0,VLOOKUP(AA211,Hraci!$A$1:$I$1500,3,0)," ")</f>
        <v xml:space="preserve"> </v>
      </c>
      <c r="AD211" s="471" t="str">
        <f ca="1">IF(N(AA211)&gt;0,VLOOKUP(AA211,Hraci!$A$1:$I$1500,5,0)," ")</f>
        <v xml:space="preserve"> </v>
      </c>
      <c r="AE211" s="472">
        <f ca="1">IF(N(AA211)=0,9999,VLOOKUP(AA211,Hraci!$A$1:$I$1500,8,0))</f>
        <v>9999</v>
      </c>
      <c r="AF211" s="473">
        <f ca="1">IF(N(AA211)=0,0,VLOOKUP(AA211,Hraci!$A$1:$I$1500,9,0))</f>
        <v>0</v>
      </c>
      <c r="AG211" s="474"/>
      <c r="AH211" s="480">
        <f ca="1">IF(TYPE(VLOOKUP(H211,Nasazení!$A$3:$E$258,5,0))&lt;4,VLOOKUP(H211,Nasazení!$A$3:$E$258,5,0),0)</f>
        <v>0</v>
      </c>
      <c r="AI211" s="475" t="str">
        <f ca="1">IF(N($AH211)&gt;0,VLOOKUP($AH211,Body!$A$4:$F$259,5,0),"")</f>
        <v/>
      </c>
      <c r="AJ211" s="476" t="str">
        <f ca="1">IF(N($AH211)&gt;0,VLOOKUP($AH211,Body!$A$4:$F$259,6,0),"")</f>
        <v/>
      </c>
      <c r="AK211" s="475" t="str">
        <f ca="1">IF(N($AH211)&gt;0,VLOOKUP($AH211,Body!$A$4:$F$259,2,0),"")</f>
        <v/>
      </c>
      <c r="AL211" s="477" t="str">
        <f t="shared" ca="1" si="78"/>
        <v/>
      </c>
      <c r="AM211" s="478">
        <f t="shared" ca="1" si="79"/>
        <v>0</v>
      </c>
      <c r="AN211" s="408">
        <f ca="1">IF(OR(TYPE(I211)&gt;1,TYPE(MATCH(I211,I212:I$267,0))&gt;1),0,MATCH(I211,I212:I$267,0))+IF(OR(TYPE(I211)&gt;1,TYPE(MATCH(I211,O$11:O$267,0))&gt;1),0,MATCH(I211,O$11:O$267,0))+IF(OR(TYPE(I211)&gt;1,TYPE(MATCH(I211,U$11:U$267,0))&gt;1),0,MATCH(I211,U$11:U$267,0))+IF(OR(TYPE(I211)&gt;1,TYPE(MATCH(I211,AA$11:AA$267,0))&gt;1),0,MATCH(I211,AA$11:AA$267,0))</f>
        <v>0</v>
      </c>
      <c r="AO211" s="408">
        <f ca="1">IF(OR(TYPE(O211)&gt;1,TYPE(MATCH(O211,I$11:I$267,0))&gt;1),0,MATCH(O211,I$11:I$267,0))+IF(OR(TYPE(O211)&gt;1,TYPE(MATCH(O211,O212:O$267,0))&gt;1),0,MATCH(O211,O212:O$267,0))+IF(OR(TYPE(O211)&gt;1,TYPE(MATCH(O211,U$11:U$267,0))&gt;1),0,MATCH(O211,U$11:U$267,0))+IF(OR(TYPE(O211)&gt;1,TYPE(MATCH(O211,AA$11:AA$267,0))&gt;1),0,MATCH(O211,AA$11:AA$267,0))</f>
        <v>0</v>
      </c>
      <c r="AP211" s="408">
        <f ca="1">IF(OR(TYPE(U211)&gt;1,TYPE(MATCH(U211,I$11:I$267,0))&gt;1),0,MATCH(U211,I$11:I$267,0))+IF(OR(TYPE(U211)&gt;1,TYPE(MATCH(U211,O$11:O$267,0))&gt;1),0,MATCH(U211,O$11:O$267,0))+IF(OR(TYPE(U211)&gt;1,TYPE(MATCH(U211,U212:U$267,0))&gt;1),0,MATCH(U211,U212:U$267,0))+IF(OR(TYPE(U211)&gt;1,TYPE(MATCH(U211,AA$11:AA$267,0))&gt;1),0,MATCH(U211,AA$11:AA$267,0))</f>
        <v>0</v>
      </c>
      <c r="AQ211" s="408">
        <f ca="1">IF(OR(TYPE(AA211)&gt;1,TYPE(MATCH(AA211,I$11:I$267,0))&gt;1),0,MATCH(AA211,I$11:I$267,0))+IF(OR(TYPE(AA211)&gt;1,TYPE(MATCH(AA211,O$11:O$267,0))&gt;1),0,MATCH(AA211,O$11:O$267,0))+IF(OR(TYPE(AA211)&gt;1,TYPE(MATCH(AA211,U$11:U$267,0))&gt;1),0,MATCH(U211,U$11:U$267,0))+IF(OR(TYPE(AA211)&gt;1,TYPE(MATCH(AA211,AA212:AA$267,0))&gt;1),0,MATCH(AA211,AA212:AA$267,0))</f>
        <v>0</v>
      </c>
      <c r="AR211" s="408">
        <f t="shared" ca="1" si="75"/>
        <v>0</v>
      </c>
      <c r="BF211" s="408">
        <f t="shared" si="76"/>
        <v>201</v>
      </c>
    </row>
    <row r="212" spans="1:58" ht="14.25">
      <c r="A212" s="430">
        <f t="shared" ca="1" si="81"/>
        <v>0</v>
      </c>
      <c r="B212" s="430">
        <f t="shared" ca="1" si="82"/>
        <v>0</v>
      </c>
      <c r="C212" s="430">
        <f t="shared" ca="1" si="83"/>
        <v>0</v>
      </c>
      <c r="D212" s="430">
        <f t="shared" ca="1" si="84"/>
        <v>99999</v>
      </c>
      <c r="E212" s="430">
        <f t="shared" ca="1" si="85"/>
        <v>9999</v>
      </c>
      <c r="F212" s="431" t="str">
        <f t="shared" ca="1" si="80"/>
        <v>00000000000000000000852061</v>
      </c>
      <c r="G212" s="467" t="b">
        <f t="shared" ca="1" si="86"/>
        <v>1</v>
      </c>
      <c r="H212" s="468">
        <f t="shared" si="77"/>
        <v>202</v>
      </c>
      <c r="I212" s="469" t="str">
        <f t="shared" ca="1" si="87"/>
        <v/>
      </c>
      <c r="J212" s="470" t="str">
        <f ca="1">IF(N(I212)&gt;0,VLOOKUP(I212,Hraci!$A$1:$I$1500,2,0),IF(TYPE(INDIRECT(ADDRESS(ROW() + $A$9-9 + (ROW()-11)*4,2,1,1,"Internet")))&gt;1,INDIRECT(ADDRESS(ROW() + $A$9-9 + (ROW()-11)*4,2,1,1,"Internet"))," "))</f>
        <v xml:space="preserve"> </v>
      </c>
      <c r="K212" s="471" t="str">
        <f ca="1">IF(N(I212)&gt;0,VLOOKUP(I212,Hraci!$A$1:$I$1500,3,0)," ")</f>
        <v xml:space="preserve"> </v>
      </c>
      <c r="L212" s="471" t="str">
        <f ca="1">IF(N(I212)&gt;0,VLOOKUP(I212,Hraci!$A$1:$I$1500,5,0),IF(TYPE(INDIRECT(ADDRESS(ROW() + $A$9-9 + (ROW()-11)*4,3,1,1,"Internet")))&gt;1,INDIRECT(ADDRESS(ROW() + $A$9-9 + (ROW()-11)*4,3,1,1,"Internet"))," "))</f>
        <v xml:space="preserve"> </v>
      </c>
      <c r="M212" s="472">
        <f ca="1">IF(N(I212)=0,9999,VLOOKUP(I212,Hraci!$A$1:$I$1500,8,0))</f>
        <v>9999</v>
      </c>
      <c r="N212" s="473">
        <f ca="1">IF(N(I212)=0,0,VLOOKUP(I212,Hraci!$A$1:$I$1500,9,0))</f>
        <v>0</v>
      </c>
      <c r="O212" s="469" t="str">
        <f t="shared" ca="1" si="88"/>
        <v/>
      </c>
      <c r="P212" s="470" t="str">
        <f ca="1">IF(N(O212)&gt;0,VLOOKUP(O212,Hraci!$A$1:$I$1500,2,0),IF(TYPE(INDIRECT(ADDRESS(ROW() + $A$9-8 + (ROW()-11)*4,2,1,1,"Internet")))&gt;1,INDIRECT(ADDRESS(ROW() + $A$9-8 + (ROW()-11)*4,2,1,1,"Internet"))," "))</f>
        <v xml:space="preserve"> </v>
      </c>
      <c r="Q212" s="471" t="str">
        <f ca="1">IF(N(O212)&gt;0,VLOOKUP(O212,Hraci!$A$1:$I$1500,3,0)," ")</f>
        <v xml:space="preserve"> </v>
      </c>
      <c r="R212" s="471" t="str">
        <f ca="1">IF(N(O212)&gt;0,VLOOKUP(O212,Hraci!$A$1:$I$1500,5,0),IF(TYPE(INDIRECT(ADDRESS(ROW() + $A$9-8 + (ROW()-11)*4,3,1,1,"Internet")))&gt;1,INDIRECT(ADDRESS(ROW() + $A$9-8 + (ROW()-11)*4,3,1,1,"Internet"))," "))</f>
        <v xml:space="preserve"> </v>
      </c>
      <c r="S212" s="472">
        <f ca="1">IF(N(O212)=0,9999,VLOOKUP(O212,Hraci!$A$1:$I$1500,8,0))</f>
        <v>9999</v>
      </c>
      <c r="T212" s="473">
        <f ca="1">IF(N(O212)=0,0,VLOOKUP(O212,Hraci!$A$1:$I$1500,9,0))</f>
        <v>0</v>
      </c>
      <c r="U212" s="469" t="str">
        <f t="shared" ca="1" si="89"/>
        <v/>
      </c>
      <c r="V212" s="470" t="str">
        <f ca="1">IF(N(U212)&gt;0,VLOOKUP(U212,Hraci!$A$1:$I$1500,2,0),IF(TYPE(INDIRECT(ADDRESS(ROW() + $A$9-7 + (ROW()-11)*4,2,1,1,"Internet")))&gt;1,INDIRECT(ADDRESS(ROW() + $A$9-7 + (ROW()-11)*4,2,1,1,"Internet"))," "))</f>
        <v xml:space="preserve"> </v>
      </c>
      <c r="W212" s="471" t="str">
        <f ca="1">IF(N(U212)&gt;0,VLOOKUP(U212,Hraci!$A$1:$I$1500,3,0)," ")</f>
        <v xml:space="preserve"> </v>
      </c>
      <c r="X212" s="471" t="str">
        <f ca="1">IF(N(U212)&gt;0,VLOOKUP(U212,Hraci!$A$1:$I$1500,5,0),IF(TYPE(INDIRECT(ADDRESS(ROW() + $A$9-7 + (ROW()-11)*4,3,1,1,"Internet")))&gt;1,INDIRECT(ADDRESS(ROW() + $A$9-7 + (ROW()-11)*4,3,1,1,"Internet"))," "))</f>
        <v xml:space="preserve"> </v>
      </c>
      <c r="Y212" s="472">
        <f ca="1">IF(N(U212)=0,9999,VLOOKUP(U212,Hraci!$A$1:$I$1500,8,0))</f>
        <v>9999</v>
      </c>
      <c r="Z212" s="473">
        <f ca="1">IF(N(U212)=0,0,VLOOKUP(U212,Hraci!$A$1:$I$1500,9,0))</f>
        <v>0</v>
      </c>
      <c r="AA212" s="469" t="str">
        <f t="shared" ca="1" si="90"/>
        <v/>
      </c>
      <c r="AB212" s="470" t="str">
        <f ca="1">IF(N(AA212)&gt;0,VLOOKUP(AA212,Hraci!$A$1:$I$1500,2,0)," ")</f>
        <v xml:space="preserve"> </v>
      </c>
      <c r="AC212" s="471" t="str">
        <f ca="1">IF(N(AA212)&gt;0,VLOOKUP(AA212,Hraci!$A$1:$I$1500,3,0)," ")</f>
        <v xml:space="preserve"> </v>
      </c>
      <c r="AD212" s="471" t="str">
        <f ca="1">IF(N(AA212)&gt;0,VLOOKUP(AA212,Hraci!$A$1:$I$1500,5,0)," ")</f>
        <v xml:space="preserve"> </v>
      </c>
      <c r="AE212" s="472">
        <f ca="1">IF(N(AA212)=0,9999,VLOOKUP(AA212,Hraci!$A$1:$I$1500,8,0))</f>
        <v>9999</v>
      </c>
      <c r="AF212" s="473">
        <f ca="1">IF(N(AA212)=0,0,VLOOKUP(AA212,Hraci!$A$1:$I$1500,9,0))</f>
        <v>0</v>
      </c>
      <c r="AG212" s="474"/>
      <c r="AH212" s="480">
        <f ca="1">IF(TYPE(VLOOKUP(H212,Nasazení!$A$3:$E$258,5,0))&lt;4,VLOOKUP(H212,Nasazení!$A$3:$E$258,5,0),0)</f>
        <v>0</v>
      </c>
      <c r="AI212" s="475" t="str">
        <f ca="1">IF(N($AH212)&gt;0,VLOOKUP($AH212,Body!$A$4:$F$259,5,0),"")</f>
        <v/>
      </c>
      <c r="AJ212" s="476" t="str">
        <f ca="1">IF(N($AH212)&gt;0,VLOOKUP($AH212,Body!$A$4:$F$259,6,0),"")</f>
        <v/>
      </c>
      <c r="AK212" s="475" t="str">
        <f ca="1">IF(N($AH212)&gt;0,VLOOKUP($AH212,Body!$A$4:$F$259,2,0),"")</f>
        <v/>
      </c>
      <c r="AL212" s="477" t="str">
        <f t="shared" ca="1" si="78"/>
        <v/>
      </c>
      <c r="AM212" s="478">
        <f t="shared" ca="1" si="79"/>
        <v>0</v>
      </c>
      <c r="AN212" s="408">
        <f ca="1">IF(OR(TYPE(I212)&gt;1,TYPE(MATCH(I212,I213:I$267,0))&gt;1),0,MATCH(I212,I213:I$267,0))+IF(OR(TYPE(I212)&gt;1,TYPE(MATCH(I212,O$11:O$267,0))&gt;1),0,MATCH(I212,O$11:O$267,0))+IF(OR(TYPE(I212)&gt;1,TYPE(MATCH(I212,U$11:U$267,0))&gt;1),0,MATCH(I212,U$11:U$267,0))+IF(OR(TYPE(I212)&gt;1,TYPE(MATCH(I212,AA$11:AA$267,0))&gt;1),0,MATCH(I212,AA$11:AA$267,0))</f>
        <v>0</v>
      </c>
      <c r="AO212" s="408">
        <f ca="1">IF(OR(TYPE(O212)&gt;1,TYPE(MATCH(O212,I$11:I$267,0))&gt;1),0,MATCH(O212,I$11:I$267,0))+IF(OR(TYPE(O212)&gt;1,TYPE(MATCH(O212,O213:O$267,0))&gt;1),0,MATCH(O212,O213:O$267,0))+IF(OR(TYPE(O212)&gt;1,TYPE(MATCH(O212,U$11:U$267,0))&gt;1),0,MATCH(O212,U$11:U$267,0))+IF(OR(TYPE(O212)&gt;1,TYPE(MATCH(O212,AA$11:AA$267,0))&gt;1),0,MATCH(O212,AA$11:AA$267,0))</f>
        <v>0</v>
      </c>
      <c r="AP212" s="408">
        <f ca="1">IF(OR(TYPE(U212)&gt;1,TYPE(MATCH(U212,I$11:I$267,0))&gt;1),0,MATCH(U212,I$11:I$267,0))+IF(OR(TYPE(U212)&gt;1,TYPE(MATCH(U212,O$11:O$267,0))&gt;1),0,MATCH(U212,O$11:O$267,0))+IF(OR(TYPE(U212)&gt;1,TYPE(MATCH(U212,U213:U$267,0))&gt;1),0,MATCH(U212,U213:U$267,0))+IF(OR(TYPE(U212)&gt;1,TYPE(MATCH(U212,AA$11:AA$267,0))&gt;1),0,MATCH(U212,AA$11:AA$267,0))</f>
        <v>0</v>
      </c>
      <c r="AQ212" s="408">
        <f ca="1">IF(OR(TYPE(AA212)&gt;1,TYPE(MATCH(AA212,I$11:I$267,0))&gt;1),0,MATCH(AA212,I$11:I$267,0))+IF(OR(TYPE(AA212)&gt;1,TYPE(MATCH(AA212,O$11:O$267,0))&gt;1),0,MATCH(AA212,O$11:O$267,0))+IF(OR(TYPE(AA212)&gt;1,TYPE(MATCH(AA212,U$11:U$267,0))&gt;1),0,MATCH(U212,U$11:U$267,0))+IF(OR(TYPE(AA212)&gt;1,TYPE(MATCH(AA212,AA213:AA$267,0))&gt;1),0,MATCH(AA212,AA213:AA$267,0))</f>
        <v>0</v>
      </c>
      <c r="AR212" s="408">
        <f t="shared" ca="1" si="75"/>
        <v>0</v>
      </c>
      <c r="BF212" s="408">
        <f t="shared" si="76"/>
        <v>202</v>
      </c>
    </row>
    <row r="213" spans="1:58" ht="14.25">
      <c r="A213" s="430">
        <f t="shared" ca="1" si="81"/>
        <v>0</v>
      </c>
      <c r="B213" s="430">
        <f t="shared" ca="1" si="82"/>
        <v>0</v>
      </c>
      <c r="C213" s="430">
        <f t="shared" ca="1" si="83"/>
        <v>0</v>
      </c>
      <c r="D213" s="430">
        <f t="shared" ca="1" si="84"/>
        <v>99999</v>
      </c>
      <c r="E213" s="430">
        <f t="shared" ca="1" si="85"/>
        <v>9999</v>
      </c>
      <c r="F213" s="431" t="str">
        <f t="shared" ca="1" si="80"/>
        <v>00000000000000000000371834</v>
      </c>
      <c r="G213" s="467" t="b">
        <f t="shared" ca="1" si="86"/>
        <v>1</v>
      </c>
      <c r="H213" s="468">
        <f t="shared" si="77"/>
        <v>203</v>
      </c>
      <c r="I213" s="469" t="str">
        <f t="shared" ca="1" si="87"/>
        <v/>
      </c>
      <c r="J213" s="470" t="str">
        <f ca="1">IF(N(I213)&gt;0,VLOOKUP(I213,Hraci!$A$1:$I$1500,2,0),IF(TYPE(INDIRECT(ADDRESS(ROW() + $A$9-9 + (ROW()-11)*4,2,1,1,"Internet")))&gt;1,INDIRECT(ADDRESS(ROW() + $A$9-9 + (ROW()-11)*4,2,1,1,"Internet"))," "))</f>
        <v xml:space="preserve"> </v>
      </c>
      <c r="K213" s="471" t="str">
        <f ca="1">IF(N(I213)&gt;0,VLOOKUP(I213,Hraci!$A$1:$I$1500,3,0)," ")</f>
        <v xml:space="preserve"> </v>
      </c>
      <c r="L213" s="471" t="str">
        <f ca="1">IF(N(I213)&gt;0,VLOOKUP(I213,Hraci!$A$1:$I$1500,5,0),IF(TYPE(INDIRECT(ADDRESS(ROW() + $A$9-9 + (ROW()-11)*4,3,1,1,"Internet")))&gt;1,INDIRECT(ADDRESS(ROW() + $A$9-9 + (ROW()-11)*4,3,1,1,"Internet"))," "))</f>
        <v xml:space="preserve"> </v>
      </c>
      <c r="M213" s="472">
        <f ca="1">IF(N(I213)=0,9999,VLOOKUP(I213,Hraci!$A$1:$I$1500,8,0))</f>
        <v>9999</v>
      </c>
      <c r="N213" s="473">
        <f ca="1">IF(N(I213)=0,0,VLOOKUP(I213,Hraci!$A$1:$I$1500,9,0))</f>
        <v>0</v>
      </c>
      <c r="O213" s="469" t="str">
        <f t="shared" ca="1" si="88"/>
        <v/>
      </c>
      <c r="P213" s="470" t="str">
        <f ca="1">IF(N(O213)&gt;0,VLOOKUP(O213,Hraci!$A$1:$I$1500,2,0),IF(TYPE(INDIRECT(ADDRESS(ROW() + $A$9-8 + (ROW()-11)*4,2,1,1,"Internet")))&gt;1,INDIRECT(ADDRESS(ROW() + $A$9-8 + (ROW()-11)*4,2,1,1,"Internet"))," "))</f>
        <v xml:space="preserve"> </v>
      </c>
      <c r="Q213" s="471" t="str">
        <f ca="1">IF(N(O213)&gt;0,VLOOKUP(O213,Hraci!$A$1:$I$1500,3,0)," ")</f>
        <v xml:space="preserve"> </v>
      </c>
      <c r="R213" s="471" t="str">
        <f ca="1">IF(N(O213)&gt;0,VLOOKUP(O213,Hraci!$A$1:$I$1500,5,0),IF(TYPE(INDIRECT(ADDRESS(ROW() + $A$9-8 + (ROW()-11)*4,3,1,1,"Internet")))&gt;1,INDIRECT(ADDRESS(ROW() + $A$9-8 + (ROW()-11)*4,3,1,1,"Internet"))," "))</f>
        <v xml:space="preserve"> </v>
      </c>
      <c r="S213" s="472">
        <f ca="1">IF(N(O213)=0,9999,VLOOKUP(O213,Hraci!$A$1:$I$1500,8,0))</f>
        <v>9999</v>
      </c>
      <c r="T213" s="473">
        <f ca="1">IF(N(O213)=0,0,VLOOKUP(O213,Hraci!$A$1:$I$1500,9,0))</f>
        <v>0</v>
      </c>
      <c r="U213" s="469" t="str">
        <f t="shared" ca="1" si="89"/>
        <v/>
      </c>
      <c r="V213" s="470" t="str">
        <f ca="1">IF(N(U213)&gt;0,VLOOKUP(U213,Hraci!$A$1:$I$1500,2,0),IF(TYPE(INDIRECT(ADDRESS(ROW() + $A$9-7 + (ROW()-11)*4,2,1,1,"Internet")))&gt;1,INDIRECT(ADDRESS(ROW() + $A$9-7 + (ROW()-11)*4,2,1,1,"Internet"))," "))</f>
        <v xml:space="preserve"> </v>
      </c>
      <c r="W213" s="471" t="str">
        <f ca="1">IF(N(U213)&gt;0,VLOOKUP(U213,Hraci!$A$1:$I$1500,3,0)," ")</f>
        <v xml:space="preserve"> </v>
      </c>
      <c r="X213" s="471" t="str">
        <f ca="1">IF(N(U213)&gt;0,VLOOKUP(U213,Hraci!$A$1:$I$1500,5,0),IF(TYPE(INDIRECT(ADDRESS(ROW() + $A$9-7 + (ROW()-11)*4,3,1,1,"Internet")))&gt;1,INDIRECT(ADDRESS(ROW() + $A$9-7 + (ROW()-11)*4,3,1,1,"Internet"))," "))</f>
        <v xml:space="preserve"> </v>
      </c>
      <c r="Y213" s="472">
        <f ca="1">IF(N(U213)=0,9999,VLOOKUP(U213,Hraci!$A$1:$I$1500,8,0))</f>
        <v>9999</v>
      </c>
      <c r="Z213" s="473">
        <f ca="1">IF(N(U213)=0,0,VLOOKUP(U213,Hraci!$A$1:$I$1500,9,0))</f>
        <v>0</v>
      </c>
      <c r="AA213" s="469" t="str">
        <f t="shared" ca="1" si="90"/>
        <v/>
      </c>
      <c r="AB213" s="470" t="str">
        <f ca="1">IF(N(AA213)&gt;0,VLOOKUP(AA213,Hraci!$A$1:$I$1500,2,0)," ")</f>
        <v xml:space="preserve"> </v>
      </c>
      <c r="AC213" s="471" t="str">
        <f ca="1">IF(N(AA213)&gt;0,VLOOKUP(AA213,Hraci!$A$1:$I$1500,3,0)," ")</f>
        <v xml:space="preserve"> </v>
      </c>
      <c r="AD213" s="471" t="str">
        <f ca="1">IF(N(AA213)&gt;0,VLOOKUP(AA213,Hraci!$A$1:$I$1500,5,0)," ")</f>
        <v xml:space="preserve"> </v>
      </c>
      <c r="AE213" s="472">
        <f ca="1">IF(N(AA213)=0,9999,VLOOKUP(AA213,Hraci!$A$1:$I$1500,8,0))</f>
        <v>9999</v>
      </c>
      <c r="AF213" s="473">
        <f ca="1">IF(N(AA213)=0,0,VLOOKUP(AA213,Hraci!$A$1:$I$1500,9,0))</f>
        <v>0</v>
      </c>
      <c r="AG213" s="474"/>
      <c r="AH213" s="480">
        <f ca="1">IF(TYPE(VLOOKUP(H213,Nasazení!$A$3:$E$258,5,0))&lt;4,VLOOKUP(H213,Nasazení!$A$3:$E$258,5,0),0)</f>
        <v>0</v>
      </c>
      <c r="AI213" s="475" t="str">
        <f ca="1">IF(N($AH213)&gt;0,VLOOKUP($AH213,Body!$A$4:$F$259,5,0),"")</f>
        <v/>
      </c>
      <c r="AJ213" s="476" t="str">
        <f ca="1">IF(N($AH213)&gt;0,VLOOKUP($AH213,Body!$A$4:$F$259,6,0),"")</f>
        <v/>
      </c>
      <c r="AK213" s="475" t="str">
        <f ca="1">IF(N($AH213)&gt;0,VLOOKUP($AH213,Body!$A$4:$F$259,2,0),"")</f>
        <v/>
      </c>
      <c r="AL213" s="477" t="str">
        <f t="shared" ca="1" si="78"/>
        <v/>
      </c>
      <c r="AM213" s="478">
        <f t="shared" ca="1" si="79"/>
        <v>0</v>
      </c>
      <c r="AN213" s="408">
        <f ca="1">IF(OR(TYPE(I213)&gt;1,TYPE(MATCH(I213,I214:I$267,0))&gt;1),0,MATCH(I213,I214:I$267,0))+IF(OR(TYPE(I213)&gt;1,TYPE(MATCH(I213,O$11:O$267,0))&gt;1),0,MATCH(I213,O$11:O$267,0))+IF(OR(TYPE(I213)&gt;1,TYPE(MATCH(I213,U$11:U$267,0))&gt;1),0,MATCH(I213,U$11:U$267,0))+IF(OR(TYPE(I213)&gt;1,TYPE(MATCH(I213,AA$11:AA$267,0))&gt;1),0,MATCH(I213,AA$11:AA$267,0))</f>
        <v>0</v>
      </c>
      <c r="AO213" s="408">
        <f ca="1">IF(OR(TYPE(O213)&gt;1,TYPE(MATCH(O213,I$11:I$267,0))&gt;1),0,MATCH(O213,I$11:I$267,0))+IF(OR(TYPE(O213)&gt;1,TYPE(MATCH(O213,O214:O$267,0))&gt;1),0,MATCH(O213,O214:O$267,0))+IF(OR(TYPE(O213)&gt;1,TYPE(MATCH(O213,U$11:U$267,0))&gt;1),0,MATCH(O213,U$11:U$267,0))+IF(OR(TYPE(O213)&gt;1,TYPE(MATCH(O213,AA$11:AA$267,0))&gt;1),0,MATCH(O213,AA$11:AA$267,0))</f>
        <v>0</v>
      </c>
      <c r="AP213" s="408">
        <f ca="1">IF(OR(TYPE(U213)&gt;1,TYPE(MATCH(U213,I$11:I$267,0))&gt;1),0,MATCH(U213,I$11:I$267,0))+IF(OR(TYPE(U213)&gt;1,TYPE(MATCH(U213,O$11:O$267,0))&gt;1),0,MATCH(U213,O$11:O$267,0))+IF(OR(TYPE(U213)&gt;1,TYPE(MATCH(U213,U214:U$267,0))&gt;1),0,MATCH(U213,U214:U$267,0))+IF(OR(TYPE(U213)&gt;1,TYPE(MATCH(U213,AA$11:AA$267,0))&gt;1),0,MATCH(U213,AA$11:AA$267,0))</f>
        <v>0</v>
      </c>
      <c r="AQ213" s="408">
        <f ca="1">IF(OR(TYPE(AA213)&gt;1,TYPE(MATCH(AA213,I$11:I$267,0))&gt;1),0,MATCH(AA213,I$11:I$267,0))+IF(OR(TYPE(AA213)&gt;1,TYPE(MATCH(AA213,O$11:O$267,0))&gt;1),0,MATCH(AA213,O$11:O$267,0))+IF(OR(TYPE(AA213)&gt;1,TYPE(MATCH(AA213,U$11:U$267,0))&gt;1),0,MATCH(U213,U$11:U$267,0))+IF(OR(TYPE(AA213)&gt;1,TYPE(MATCH(AA213,AA214:AA$267,0))&gt;1),0,MATCH(AA213,AA214:AA$267,0))</f>
        <v>0</v>
      </c>
      <c r="AR213" s="408">
        <f t="shared" ca="1" si="75"/>
        <v>0</v>
      </c>
      <c r="BF213" s="408">
        <f t="shared" si="76"/>
        <v>203</v>
      </c>
    </row>
    <row r="214" spans="1:58" ht="14.25">
      <c r="A214" s="430">
        <f t="shared" ca="1" si="81"/>
        <v>0</v>
      </c>
      <c r="B214" s="430">
        <f t="shared" ca="1" si="82"/>
        <v>0</v>
      </c>
      <c r="C214" s="430">
        <f t="shared" ca="1" si="83"/>
        <v>0</v>
      </c>
      <c r="D214" s="430">
        <f t="shared" ca="1" si="84"/>
        <v>99999</v>
      </c>
      <c r="E214" s="430">
        <f t="shared" ca="1" si="85"/>
        <v>9999</v>
      </c>
      <c r="F214" s="431" t="str">
        <f t="shared" ca="1" si="80"/>
        <v>00000000000000000000181060</v>
      </c>
      <c r="G214" s="467" t="b">
        <f t="shared" ca="1" si="86"/>
        <v>1</v>
      </c>
      <c r="H214" s="468">
        <f t="shared" si="77"/>
        <v>204</v>
      </c>
      <c r="I214" s="469" t="str">
        <f t="shared" ca="1" si="87"/>
        <v/>
      </c>
      <c r="J214" s="470" t="str">
        <f ca="1">IF(N(I214)&gt;0,VLOOKUP(I214,Hraci!$A$1:$I$1500,2,0),IF(TYPE(INDIRECT(ADDRESS(ROW() + $A$9-9 + (ROW()-11)*4,2,1,1,"Internet")))&gt;1,INDIRECT(ADDRESS(ROW() + $A$9-9 + (ROW()-11)*4,2,1,1,"Internet"))," "))</f>
        <v xml:space="preserve"> </v>
      </c>
      <c r="K214" s="471" t="str">
        <f ca="1">IF(N(I214)&gt;0,VLOOKUP(I214,Hraci!$A$1:$I$1500,3,0)," ")</f>
        <v xml:space="preserve"> </v>
      </c>
      <c r="L214" s="471" t="str">
        <f ca="1">IF(N(I214)&gt;0,VLOOKUP(I214,Hraci!$A$1:$I$1500,5,0),IF(TYPE(INDIRECT(ADDRESS(ROW() + $A$9-9 + (ROW()-11)*4,3,1,1,"Internet")))&gt;1,INDIRECT(ADDRESS(ROW() + $A$9-9 + (ROW()-11)*4,3,1,1,"Internet"))," "))</f>
        <v xml:space="preserve"> </v>
      </c>
      <c r="M214" s="472">
        <f ca="1">IF(N(I214)=0,9999,VLOOKUP(I214,Hraci!$A$1:$I$1500,8,0))</f>
        <v>9999</v>
      </c>
      <c r="N214" s="473">
        <f ca="1">IF(N(I214)=0,0,VLOOKUP(I214,Hraci!$A$1:$I$1500,9,0))</f>
        <v>0</v>
      </c>
      <c r="O214" s="469" t="str">
        <f t="shared" ca="1" si="88"/>
        <v/>
      </c>
      <c r="P214" s="470" t="str">
        <f ca="1">IF(N(O214)&gt;0,VLOOKUP(O214,Hraci!$A$1:$I$1500,2,0),IF(TYPE(INDIRECT(ADDRESS(ROW() + $A$9-8 + (ROW()-11)*4,2,1,1,"Internet")))&gt;1,INDIRECT(ADDRESS(ROW() + $A$9-8 + (ROW()-11)*4,2,1,1,"Internet"))," "))</f>
        <v xml:space="preserve"> </v>
      </c>
      <c r="Q214" s="471" t="str">
        <f ca="1">IF(N(O214)&gt;0,VLOOKUP(O214,Hraci!$A$1:$I$1500,3,0)," ")</f>
        <v xml:space="preserve"> </v>
      </c>
      <c r="R214" s="471" t="str">
        <f ca="1">IF(N(O214)&gt;0,VLOOKUP(O214,Hraci!$A$1:$I$1500,5,0),IF(TYPE(INDIRECT(ADDRESS(ROW() + $A$9-8 + (ROW()-11)*4,3,1,1,"Internet")))&gt;1,INDIRECT(ADDRESS(ROW() + $A$9-8 + (ROW()-11)*4,3,1,1,"Internet"))," "))</f>
        <v xml:space="preserve"> </v>
      </c>
      <c r="S214" s="472">
        <f ca="1">IF(N(O214)=0,9999,VLOOKUP(O214,Hraci!$A$1:$I$1500,8,0))</f>
        <v>9999</v>
      </c>
      <c r="T214" s="473">
        <f ca="1">IF(N(O214)=0,0,VLOOKUP(O214,Hraci!$A$1:$I$1500,9,0))</f>
        <v>0</v>
      </c>
      <c r="U214" s="469" t="str">
        <f t="shared" ca="1" si="89"/>
        <v/>
      </c>
      <c r="V214" s="470" t="str">
        <f ca="1">IF(N(U214)&gt;0,VLOOKUP(U214,Hraci!$A$1:$I$1500,2,0),IF(TYPE(INDIRECT(ADDRESS(ROW() + $A$9-7 + (ROW()-11)*4,2,1,1,"Internet")))&gt;1,INDIRECT(ADDRESS(ROW() + $A$9-7 + (ROW()-11)*4,2,1,1,"Internet"))," "))</f>
        <v xml:space="preserve"> </v>
      </c>
      <c r="W214" s="471" t="str">
        <f ca="1">IF(N(U214)&gt;0,VLOOKUP(U214,Hraci!$A$1:$I$1500,3,0)," ")</f>
        <v xml:space="preserve"> </v>
      </c>
      <c r="X214" s="471" t="str">
        <f ca="1">IF(N(U214)&gt;0,VLOOKUP(U214,Hraci!$A$1:$I$1500,5,0),IF(TYPE(INDIRECT(ADDRESS(ROW() + $A$9-7 + (ROW()-11)*4,3,1,1,"Internet")))&gt;1,INDIRECT(ADDRESS(ROW() + $A$9-7 + (ROW()-11)*4,3,1,1,"Internet"))," "))</f>
        <v xml:space="preserve"> </v>
      </c>
      <c r="Y214" s="472">
        <f ca="1">IF(N(U214)=0,9999,VLOOKUP(U214,Hraci!$A$1:$I$1500,8,0))</f>
        <v>9999</v>
      </c>
      <c r="Z214" s="473">
        <f ca="1">IF(N(U214)=0,0,VLOOKUP(U214,Hraci!$A$1:$I$1500,9,0))</f>
        <v>0</v>
      </c>
      <c r="AA214" s="469" t="str">
        <f t="shared" ca="1" si="90"/>
        <v/>
      </c>
      <c r="AB214" s="470" t="str">
        <f ca="1">IF(N(AA214)&gt;0,VLOOKUP(AA214,Hraci!$A$1:$I$1500,2,0)," ")</f>
        <v xml:space="preserve"> </v>
      </c>
      <c r="AC214" s="471" t="str">
        <f ca="1">IF(N(AA214)&gt;0,VLOOKUP(AA214,Hraci!$A$1:$I$1500,3,0)," ")</f>
        <v xml:space="preserve"> </v>
      </c>
      <c r="AD214" s="471" t="str">
        <f ca="1">IF(N(AA214)&gt;0,VLOOKUP(AA214,Hraci!$A$1:$I$1500,5,0)," ")</f>
        <v xml:space="preserve"> </v>
      </c>
      <c r="AE214" s="472">
        <f ca="1">IF(N(AA214)=0,9999,VLOOKUP(AA214,Hraci!$A$1:$I$1500,8,0))</f>
        <v>9999</v>
      </c>
      <c r="AF214" s="473">
        <f ca="1">IF(N(AA214)=0,0,VLOOKUP(AA214,Hraci!$A$1:$I$1500,9,0))</f>
        <v>0</v>
      </c>
      <c r="AG214" s="474"/>
      <c r="AH214" s="480">
        <f ca="1">IF(TYPE(VLOOKUP(H214,Nasazení!$A$3:$E$258,5,0))&lt;4,VLOOKUP(H214,Nasazení!$A$3:$E$258,5,0),0)</f>
        <v>0</v>
      </c>
      <c r="AI214" s="475" t="str">
        <f ca="1">IF(N($AH214)&gt;0,VLOOKUP($AH214,Body!$A$4:$F$259,5,0),"")</f>
        <v/>
      </c>
      <c r="AJ214" s="476" t="str">
        <f ca="1">IF(N($AH214)&gt;0,VLOOKUP($AH214,Body!$A$4:$F$259,6,0),"")</f>
        <v/>
      </c>
      <c r="AK214" s="475" t="str">
        <f ca="1">IF(N($AH214)&gt;0,VLOOKUP($AH214,Body!$A$4:$F$259,2,0),"")</f>
        <v/>
      </c>
      <c r="AL214" s="477" t="str">
        <f t="shared" ca="1" si="78"/>
        <v/>
      </c>
      <c r="AM214" s="478">
        <f t="shared" ca="1" si="79"/>
        <v>0</v>
      </c>
      <c r="AN214" s="408">
        <f ca="1">IF(OR(TYPE(I214)&gt;1,TYPE(MATCH(I214,I215:I$267,0))&gt;1),0,MATCH(I214,I215:I$267,0))+IF(OR(TYPE(I214)&gt;1,TYPE(MATCH(I214,O$11:O$267,0))&gt;1),0,MATCH(I214,O$11:O$267,0))+IF(OR(TYPE(I214)&gt;1,TYPE(MATCH(I214,U$11:U$267,0))&gt;1),0,MATCH(I214,U$11:U$267,0))+IF(OR(TYPE(I214)&gt;1,TYPE(MATCH(I214,AA$11:AA$267,0))&gt;1),0,MATCH(I214,AA$11:AA$267,0))</f>
        <v>0</v>
      </c>
      <c r="AO214" s="408">
        <f ca="1">IF(OR(TYPE(O214)&gt;1,TYPE(MATCH(O214,I$11:I$267,0))&gt;1),0,MATCH(O214,I$11:I$267,0))+IF(OR(TYPE(O214)&gt;1,TYPE(MATCH(O214,O215:O$267,0))&gt;1),0,MATCH(O214,O215:O$267,0))+IF(OR(TYPE(O214)&gt;1,TYPE(MATCH(O214,U$11:U$267,0))&gt;1),0,MATCH(O214,U$11:U$267,0))+IF(OR(TYPE(O214)&gt;1,TYPE(MATCH(O214,AA$11:AA$267,0))&gt;1),0,MATCH(O214,AA$11:AA$267,0))</f>
        <v>0</v>
      </c>
      <c r="AP214" s="408">
        <f ca="1">IF(OR(TYPE(U214)&gt;1,TYPE(MATCH(U214,I$11:I$267,0))&gt;1),0,MATCH(U214,I$11:I$267,0))+IF(OR(TYPE(U214)&gt;1,TYPE(MATCH(U214,O$11:O$267,0))&gt;1),0,MATCH(U214,O$11:O$267,0))+IF(OR(TYPE(U214)&gt;1,TYPE(MATCH(U214,U215:U$267,0))&gt;1),0,MATCH(U214,U215:U$267,0))+IF(OR(TYPE(U214)&gt;1,TYPE(MATCH(U214,AA$11:AA$267,0))&gt;1),0,MATCH(U214,AA$11:AA$267,0))</f>
        <v>0</v>
      </c>
      <c r="AQ214" s="408">
        <f ca="1">IF(OR(TYPE(AA214)&gt;1,TYPE(MATCH(AA214,I$11:I$267,0))&gt;1),0,MATCH(AA214,I$11:I$267,0))+IF(OR(TYPE(AA214)&gt;1,TYPE(MATCH(AA214,O$11:O$267,0))&gt;1),0,MATCH(AA214,O$11:O$267,0))+IF(OR(TYPE(AA214)&gt;1,TYPE(MATCH(AA214,U$11:U$267,0))&gt;1),0,MATCH(U214,U$11:U$267,0))+IF(OR(TYPE(AA214)&gt;1,TYPE(MATCH(AA214,AA215:AA$267,0))&gt;1),0,MATCH(AA214,AA215:AA$267,0))</f>
        <v>0</v>
      </c>
      <c r="AR214" s="408">
        <f t="shared" ref="AR214:AR266" ca="1" si="91">SUM(AN214:AQ214)</f>
        <v>0</v>
      </c>
      <c r="BF214" s="408">
        <f t="shared" ref="BF214:BF266" si="92">H214</f>
        <v>204</v>
      </c>
    </row>
    <row r="215" spans="1:58" ht="14.25">
      <c r="A215" s="430">
        <f t="shared" ca="1" si="81"/>
        <v>0</v>
      </c>
      <c r="B215" s="430">
        <f t="shared" ca="1" si="82"/>
        <v>0</v>
      </c>
      <c r="C215" s="430">
        <f t="shared" ca="1" si="83"/>
        <v>0</v>
      </c>
      <c r="D215" s="430">
        <f t="shared" ca="1" si="84"/>
        <v>99999</v>
      </c>
      <c r="E215" s="430">
        <f t="shared" ca="1" si="85"/>
        <v>9999</v>
      </c>
      <c r="F215" s="431" t="str">
        <f t="shared" ca="1" si="80"/>
        <v>00000000000000000000680792</v>
      </c>
      <c r="G215" s="467" t="b">
        <f t="shared" ca="1" si="86"/>
        <v>1</v>
      </c>
      <c r="H215" s="468">
        <f t="shared" si="77"/>
        <v>205</v>
      </c>
      <c r="I215" s="469" t="str">
        <f t="shared" ca="1" si="87"/>
        <v/>
      </c>
      <c r="J215" s="470" t="str">
        <f ca="1">IF(N(I215)&gt;0,VLOOKUP(I215,Hraci!$A$1:$I$1500,2,0),IF(TYPE(INDIRECT(ADDRESS(ROW() + $A$9-9 + (ROW()-11)*4,2,1,1,"Internet")))&gt;1,INDIRECT(ADDRESS(ROW() + $A$9-9 + (ROW()-11)*4,2,1,1,"Internet"))," "))</f>
        <v xml:space="preserve"> </v>
      </c>
      <c r="K215" s="471" t="str">
        <f ca="1">IF(N(I215)&gt;0,VLOOKUP(I215,Hraci!$A$1:$I$1500,3,0)," ")</f>
        <v xml:space="preserve"> </v>
      </c>
      <c r="L215" s="471" t="str">
        <f ca="1">IF(N(I215)&gt;0,VLOOKUP(I215,Hraci!$A$1:$I$1500,5,0),IF(TYPE(INDIRECT(ADDRESS(ROW() + $A$9-9 + (ROW()-11)*4,3,1,1,"Internet")))&gt;1,INDIRECT(ADDRESS(ROW() + $A$9-9 + (ROW()-11)*4,3,1,1,"Internet"))," "))</f>
        <v xml:space="preserve"> </v>
      </c>
      <c r="M215" s="472">
        <f ca="1">IF(N(I215)=0,9999,VLOOKUP(I215,Hraci!$A$1:$I$1500,8,0))</f>
        <v>9999</v>
      </c>
      <c r="N215" s="473">
        <f ca="1">IF(N(I215)=0,0,VLOOKUP(I215,Hraci!$A$1:$I$1500,9,0))</f>
        <v>0</v>
      </c>
      <c r="O215" s="469" t="str">
        <f t="shared" ca="1" si="88"/>
        <v/>
      </c>
      <c r="P215" s="470" t="str">
        <f ca="1">IF(N(O215)&gt;0,VLOOKUP(O215,Hraci!$A$1:$I$1500,2,0),IF(TYPE(INDIRECT(ADDRESS(ROW() + $A$9-8 + (ROW()-11)*4,2,1,1,"Internet")))&gt;1,INDIRECT(ADDRESS(ROW() + $A$9-8 + (ROW()-11)*4,2,1,1,"Internet"))," "))</f>
        <v xml:space="preserve"> </v>
      </c>
      <c r="Q215" s="471" t="str">
        <f ca="1">IF(N(O215)&gt;0,VLOOKUP(O215,Hraci!$A$1:$I$1500,3,0)," ")</f>
        <v xml:space="preserve"> </v>
      </c>
      <c r="R215" s="471" t="str">
        <f ca="1">IF(N(O215)&gt;0,VLOOKUP(O215,Hraci!$A$1:$I$1500,5,0),IF(TYPE(INDIRECT(ADDRESS(ROW() + $A$9-8 + (ROW()-11)*4,3,1,1,"Internet")))&gt;1,INDIRECT(ADDRESS(ROW() + $A$9-8 + (ROW()-11)*4,3,1,1,"Internet"))," "))</f>
        <v xml:space="preserve"> </v>
      </c>
      <c r="S215" s="472">
        <f ca="1">IF(N(O215)=0,9999,VLOOKUP(O215,Hraci!$A$1:$I$1500,8,0))</f>
        <v>9999</v>
      </c>
      <c r="T215" s="473">
        <f ca="1">IF(N(O215)=0,0,VLOOKUP(O215,Hraci!$A$1:$I$1500,9,0))</f>
        <v>0</v>
      </c>
      <c r="U215" s="469" t="str">
        <f t="shared" ca="1" si="89"/>
        <v/>
      </c>
      <c r="V215" s="470" t="str">
        <f ca="1">IF(N(U215)&gt;0,VLOOKUP(U215,Hraci!$A$1:$I$1500,2,0),IF(TYPE(INDIRECT(ADDRESS(ROW() + $A$9-7 + (ROW()-11)*4,2,1,1,"Internet")))&gt;1,INDIRECT(ADDRESS(ROW() + $A$9-7 + (ROW()-11)*4,2,1,1,"Internet"))," "))</f>
        <v xml:space="preserve"> </v>
      </c>
      <c r="W215" s="471" t="str">
        <f ca="1">IF(N(U215)&gt;0,VLOOKUP(U215,Hraci!$A$1:$I$1500,3,0)," ")</f>
        <v xml:space="preserve"> </v>
      </c>
      <c r="X215" s="471" t="str">
        <f ca="1">IF(N(U215)&gt;0,VLOOKUP(U215,Hraci!$A$1:$I$1500,5,0),IF(TYPE(INDIRECT(ADDRESS(ROW() + $A$9-7 + (ROW()-11)*4,3,1,1,"Internet")))&gt;1,INDIRECT(ADDRESS(ROW() + $A$9-7 + (ROW()-11)*4,3,1,1,"Internet"))," "))</f>
        <v xml:space="preserve"> </v>
      </c>
      <c r="Y215" s="472">
        <f ca="1">IF(N(U215)=0,9999,VLOOKUP(U215,Hraci!$A$1:$I$1500,8,0))</f>
        <v>9999</v>
      </c>
      <c r="Z215" s="473">
        <f ca="1">IF(N(U215)=0,0,VLOOKUP(U215,Hraci!$A$1:$I$1500,9,0))</f>
        <v>0</v>
      </c>
      <c r="AA215" s="469" t="str">
        <f t="shared" ca="1" si="90"/>
        <v/>
      </c>
      <c r="AB215" s="470" t="str">
        <f ca="1">IF(N(AA215)&gt;0,VLOOKUP(AA215,Hraci!$A$1:$I$1500,2,0)," ")</f>
        <v xml:space="preserve"> </v>
      </c>
      <c r="AC215" s="471" t="str">
        <f ca="1">IF(N(AA215)&gt;0,VLOOKUP(AA215,Hraci!$A$1:$I$1500,3,0)," ")</f>
        <v xml:space="preserve"> </v>
      </c>
      <c r="AD215" s="471" t="str">
        <f ca="1">IF(N(AA215)&gt;0,VLOOKUP(AA215,Hraci!$A$1:$I$1500,5,0)," ")</f>
        <v xml:space="preserve"> </v>
      </c>
      <c r="AE215" s="472">
        <f ca="1">IF(N(AA215)=0,9999,VLOOKUP(AA215,Hraci!$A$1:$I$1500,8,0))</f>
        <v>9999</v>
      </c>
      <c r="AF215" s="473">
        <f ca="1">IF(N(AA215)=0,0,VLOOKUP(AA215,Hraci!$A$1:$I$1500,9,0))</f>
        <v>0</v>
      </c>
      <c r="AG215" s="474"/>
      <c r="AH215" s="480">
        <f ca="1">IF(TYPE(VLOOKUP(H215,Nasazení!$A$3:$E$258,5,0))&lt;4,VLOOKUP(H215,Nasazení!$A$3:$E$258,5,0),0)</f>
        <v>0</v>
      </c>
      <c r="AI215" s="475" t="str">
        <f ca="1">IF(N($AH215)&gt;0,VLOOKUP($AH215,Body!$A$4:$F$259,5,0),"")</f>
        <v/>
      </c>
      <c r="AJ215" s="476" t="str">
        <f ca="1">IF(N($AH215)&gt;0,VLOOKUP($AH215,Body!$A$4:$F$259,6,0),"")</f>
        <v/>
      </c>
      <c r="AK215" s="475" t="str">
        <f ca="1">IF(N($AH215)&gt;0,VLOOKUP($AH215,Body!$A$4:$F$259,2,0),"")</f>
        <v/>
      </c>
      <c r="AL215" s="477" t="str">
        <f t="shared" ca="1" si="78"/>
        <v/>
      </c>
      <c r="AM215" s="478">
        <f t="shared" ca="1" si="79"/>
        <v>0</v>
      </c>
      <c r="AN215" s="408">
        <f ca="1">IF(OR(TYPE(I215)&gt;1,TYPE(MATCH(I215,I216:I$267,0))&gt;1),0,MATCH(I215,I216:I$267,0))+IF(OR(TYPE(I215)&gt;1,TYPE(MATCH(I215,O$11:O$267,0))&gt;1),0,MATCH(I215,O$11:O$267,0))+IF(OR(TYPE(I215)&gt;1,TYPE(MATCH(I215,U$11:U$267,0))&gt;1),0,MATCH(I215,U$11:U$267,0))+IF(OR(TYPE(I215)&gt;1,TYPE(MATCH(I215,AA$11:AA$267,0))&gt;1),0,MATCH(I215,AA$11:AA$267,0))</f>
        <v>0</v>
      </c>
      <c r="AO215" s="408">
        <f ca="1">IF(OR(TYPE(O215)&gt;1,TYPE(MATCH(O215,I$11:I$267,0))&gt;1),0,MATCH(O215,I$11:I$267,0))+IF(OR(TYPE(O215)&gt;1,TYPE(MATCH(O215,O216:O$267,0))&gt;1),0,MATCH(O215,O216:O$267,0))+IF(OR(TYPE(O215)&gt;1,TYPE(MATCH(O215,U$11:U$267,0))&gt;1),0,MATCH(O215,U$11:U$267,0))+IF(OR(TYPE(O215)&gt;1,TYPE(MATCH(O215,AA$11:AA$267,0))&gt;1),0,MATCH(O215,AA$11:AA$267,0))</f>
        <v>0</v>
      </c>
      <c r="AP215" s="408">
        <f ca="1">IF(OR(TYPE(U215)&gt;1,TYPE(MATCH(U215,I$11:I$267,0))&gt;1),0,MATCH(U215,I$11:I$267,0))+IF(OR(TYPE(U215)&gt;1,TYPE(MATCH(U215,O$11:O$267,0))&gt;1),0,MATCH(U215,O$11:O$267,0))+IF(OR(TYPE(U215)&gt;1,TYPE(MATCH(U215,U216:U$267,0))&gt;1),0,MATCH(U215,U216:U$267,0))+IF(OR(TYPE(U215)&gt;1,TYPE(MATCH(U215,AA$11:AA$267,0))&gt;1),0,MATCH(U215,AA$11:AA$267,0))</f>
        <v>0</v>
      </c>
      <c r="AQ215" s="408">
        <f ca="1">IF(OR(TYPE(AA215)&gt;1,TYPE(MATCH(AA215,I$11:I$267,0))&gt;1),0,MATCH(AA215,I$11:I$267,0))+IF(OR(TYPE(AA215)&gt;1,TYPE(MATCH(AA215,O$11:O$267,0))&gt;1),0,MATCH(AA215,O$11:O$267,0))+IF(OR(TYPE(AA215)&gt;1,TYPE(MATCH(AA215,U$11:U$267,0))&gt;1),0,MATCH(U215,U$11:U$267,0))+IF(OR(TYPE(AA215)&gt;1,TYPE(MATCH(AA215,AA216:AA$267,0))&gt;1),0,MATCH(AA215,AA216:AA$267,0))</f>
        <v>0</v>
      </c>
      <c r="AR215" s="408">
        <f t="shared" ca="1" si="91"/>
        <v>0</v>
      </c>
      <c r="BF215" s="408">
        <f t="shared" si="92"/>
        <v>205</v>
      </c>
    </row>
    <row r="216" spans="1:58" ht="14.25">
      <c r="A216" s="430">
        <f t="shared" ca="1" si="81"/>
        <v>0</v>
      </c>
      <c r="B216" s="430">
        <f t="shared" ca="1" si="82"/>
        <v>0</v>
      </c>
      <c r="C216" s="430">
        <f t="shared" ca="1" si="83"/>
        <v>0</v>
      </c>
      <c r="D216" s="472">
        <f t="shared" ca="1" si="84"/>
        <v>99999</v>
      </c>
      <c r="E216" s="430">
        <f t="shared" ca="1" si="85"/>
        <v>9999</v>
      </c>
      <c r="F216" s="431" t="str">
        <f t="shared" ca="1" si="80"/>
        <v>00000000000000000000875880</v>
      </c>
      <c r="G216" s="467" t="b">
        <f t="shared" ca="1" si="86"/>
        <v>1</v>
      </c>
      <c r="H216" s="468">
        <f t="shared" si="77"/>
        <v>206</v>
      </c>
      <c r="I216" s="469" t="str">
        <f t="shared" ca="1" si="87"/>
        <v/>
      </c>
      <c r="J216" s="470" t="str">
        <f ca="1">IF(N(I216)&gt;0,VLOOKUP(I216,Hraci!$A$1:$I$1500,2,0),IF(TYPE(INDIRECT(ADDRESS(ROW() + $A$9-9 + (ROW()-11)*4,2,1,1,"Internet")))&gt;1,INDIRECT(ADDRESS(ROW() + $A$9-9 + (ROW()-11)*4,2,1,1,"Internet"))," "))</f>
        <v xml:space="preserve"> </v>
      </c>
      <c r="K216" s="471" t="str">
        <f ca="1">IF(N(I216)&gt;0,VLOOKUP(I216,Hraci!$A$1:$I$1500,3,0)," ")</f>
        <v xml:space="preserve"> </v>
      </c>
      <c r="L216" s="471" t="str">
        <f ca="1">IF(N(I216)&gt;0,VLOOKUP(I216,Hraci!$A$1:$I$1500,5,0),IF(TYPE(INDIRECT(ADDRESS(ROW() + $A$9-9 + (ROW()-11)*4,3,1,1,"Internet")))&gt;1,INDIRECT(ADDRESS(ROW() + $A$9-9 + (ROW()-11)*4,3,1,1,"Internet"))," "))</f>
        <v xml:space="preserve"> </v>
      </c>
      <c r="M216" s="472">
        <f ca="1">IF(N(I216)=0,9999,VLOOKUP(I216,Hraci!$A$1:$I$1500,8,0))</f>
        <v>9999</v>
      </c>
      <c r="N216" s="473">
        <f ca="1">IF(N(I216)=0,0,VLOOKUP(I216,Hraci!$A$1:$I$1500,9,0))</f>
        <v>0</v>
      </c>
      <c r="O216" s="469" t="str">
        <f t="shared" ca="1" si="88"/>
        <v/>
      </c>
      <c r="P216" s="470" t="str">
        <f ca="1">IF(N(O216)&gt;0,VLOOKUP(O216,Hraci!$A$1:$I$1500,2,0),IF(TYPE(INDIRECT(ADDRESS(ROW() + $A$9-8 + (ROW()-11)*4,2,1,1,"Internet")))&gt;1,INDIRECT(ADDRESS(ROW() + $A$9-8 + (ROW()-11)*4,2,1,1,"Internet"))," "))</f>
        <v xml:space="preserve"> </v>
      </c>
      <c r="Q216" s="471" t="str">
        <f ca="1">IF(N(O216)&gt;0,VLOOKUP(O216,Hraci!$A$1:$I$1500,3,0)," ")</f>
        <v xml:space="preserve"> </v>
      </c>
      <c r="R216" s="471" t="str">
        <f ca="1">IF(N(O216)&gt;0,VLOOKUP(O216,Hraci!$A$1:$I$1500,5,0),IF(TYPE(INDIRECT(ADDRESS(ROW() + $A$9-8 + (ROW()-11)*4,3,1,1,"Internet")))&gt;1,INDIRECT(ADDRESS(ROW() + $A$9-8 + (ROW()-11)*4,3,1,1,"Internet"))," "))</f>
        <v xml:space="preserve"> </v>
      </c>
      <c r="S216" s="472">
        <f ca="1">IF(N(O216)=0,9999,VLOOKUP(O216,Hraci!$A$1:$I$1500,8,0))</f>
        <v>9999</v>
      </c>
      <c r="T216" s="473">
        <f ca="1">IF(N(O216)=0,0,VLOOKUP(O216,Hraci!$A$1:$I$1500,9,0))</f>
        <v>0</v>
      </c>
      <c r="U216" s="469" t="str">
        <f t="shared" ca="1" si="89"/>
        <v/>
      </c>
      <c r="V216" s="470" t="str">
        <f ca="1">IF(N(U216)&gt;0,VLOOKUP(U216,Hraci!$A$1:$I$1500,2,0),IF(TYPE(INDIRECT(ADDRESS(ROW() + $A$9-7 + (ROW()-11)*4,2,1,1,"Internet")))&gt;1,INDIRECT(ADDRESS(ROW() + $A$9-7 + (ROW()-11)*4,2,1,1,"Internet"))," "))</f>
        <v xml:space="preserve"> </v>
      </c>
      <c r="W216" s="471" t="str">
        <f ca="1">IF(N(U216)&gt;0,VLOOKUP(U216,Hraci!$A$1:$I$1500,3,0)," ")</f>
        <v xml:space="preserve"> </v>
      </c>
      <c r="X216" s="471" t="str">
        <f ca="1">IF(N(U216)&gt;0,VLOOKUP(U216,Hraci!$A$1:$I$1500,5,0),IF(TYPE(INDIRECT(ADDRESS(ROW() + $A$9-7 + (ROW()-11)*4,3,1,1,"Internet")))&gt;1,INDIRECT(ADDRESS(ROW() + $A$9-7 + (ROW()-11)*4,3,1,1,"Internet"))," "))</f>
        <v xml:space="preserve"> </v>
      </c>
      <c r="Y216" s="472">
        <f ca="1">IF(N(U216)=0,9999,VLOOKUP(U216,Hraci!$A$1:$I$1500,8,0))</f>
        <v>9999</v>
      </c>
      <c r="Z216" s="473">
        <f ca="1">IF(N(U216)=0,0,VLOOKUP(U216,Hraci!$A$1:$I$1500,9,0))</f>
        <v>0</v>
      </c>
      <c r="AA216" s="469" t="str">
        <f t="shared" ca="1" si="90"/>
        <v/>
      </c>
      <c r="AB216" s="470" t="str">
        <f ca="1">IF(N(AA216)&gt;0,VLOOKUP(AA216,Hraci!$A$1:$I$1500,2,0)," ")</f>
        <v xml:space="preserve"> </v>
      </c>
      <c r="AC216" s="471" t="str">
        <f ca="1">IF(N(AA216)&gt;0,VLOOKUP(AA216,Hraci!$A$1:$I$1500,3,0)," ")</f>
        <v xml:space="preserve"> </v>
      </c>
      <c r="AD216" s="471" t="str">
        <f ca="1">IF(N(AA216)&gt;0,VLOOKUP(AA216,Hraci!$A$1:$I$1500,5,0)," ")</f>
        <v xml:space="preserve"> </v>
      </c>
      <c r="AE216" s="472">
        <f ca="1">IF(N(AA216)=0,9999,VLOOKUP(AA216,Hraci!$A$1:$I$1500,8,0))</f>
        <v>9999</v>
      </c>
      <c r="AF216" s="473">
        <f ca="1">IF(N(AA216)=0,0,VLOOKUP(AA216,Hraci!$A$1:$I$1500,9,0))</f>
        <v>0</v>
      </c>
      <c r="AG216" s="474"/>
      <c r="AH216" s="480">
        <f ca="1">IF(TYPE(VLOOKUP(H216,Nasazení!$A$3:$E$258,5,0))&lt;4,VLOOKUP(H216,Nasazení!$A$3:$E$258,5,0),0)</f>
        <v>0</v>
      </c>
      <c r="AI216" s="475" t="str">
        <f ca="1">IF(N($AH216)&gt;0,VLOOKUP($AH216,Body!$A$4:$F$259,5,0),"")</f>
        <v/>
      </c>
      <c r="AJ216" s="476" t="str">
        <f ca="1">IF(N($AH216)&gt;0,VLOOKUP($AH216,Body!$A$4:$F$259,6,0),"")</f>
        <v/>
      </c>
      <c r="AK216" s="475" t="str">
        <f ca="1">IF(N($AH216)&gt;0,VLOOKUP($AH216,Body!$A$4:$F$259,2,0),"")</f>
        <v/>
      </c>
      <c r="AL216" s="477" t="str">
        <f t="shared" ca="1" si="78"/>
        <v/>
      </c>
      <c r="AM216" s="478">
        <f t="shared" ca="1" si="79"/>
        <v>0</v>
      </c>
      <c r="AN216" s="408">
        <f ca="1">IF(OR(TYPE(I216)&gt;1,TYPE(MATCH(I216,I217:I$267,0))&gt;1),0,MATCH(I216,I217:I$267,0))+IF(OR(TYPE(I216)&gt;1,TYPE(MATCH(I216,O$11:O$267,0))&gt;1),0,MATCH(I216,O$11:O$267,0))+IF(OR(TYPE(I216)&gt;1,TYPE(MATCH(I216,U$11:U$267,0))&gt;1),0,MATCH(I216,U$11:U$267,0))+IF(OR(TYPE(I216)&gt;1,TYPE(MATCH(I216,AA$11:AA$267,0))&gt;1),0,MATCH(I216,AA$11:AA$267,0))</f>
        <v>0</v>
      </c>
      <c r="AO216" s="408">
        <f ca="1">IF(OR(TYPE(O216)&gt;1,TYPE(MATCH(O216,I$11:I$267,0))&gt;1),0,MATCH(O216,I$11:I$267,0))+IF(OR(TYPE(O216)&gt;1,TYPE(MATCH(O216,O217:O$267,0))&gt;1),0,MATCH(O216,O217:O$267,0))+IF(OR(TYPE(O216)&gt;1,TYPE(MATCH(O216,U$11:U$267,0))&gt;1),0,MATCH(O216,U$11:U$267,0))+IF(OR(TYPE(O216)&gt;1,TYPE(MATCH(O216,AA$11:AA$267,0))&gt;1),0,MATCH(O216,AA$11:AA$267,0))</f>
        <v>0</v>
      </c>
      <c r="AP216" s="408">
        <f ca="1">IF(OR(TYPE(U216)&gt;1,TYPE(MATCH(U216,I$11:I$267,0))&gt;1),0,MATCH(U216,I$11:I$267,0))+IF(OR(TYPE(U216)&gt;1,TYPE(MATCH(U216,O$11:O$267,0))&gt;1),0,MATCH(U216,O$11:O$267,0))+IF(OR(TYPE(U216)&gt;1,TYPE(MATCH(U216,U217:U$267,0))&gt;1),0,MATCH(U216,U217:U$267,0))+IF(OR(TYPE(U216)&gt;1,TYPE(MATCH(U216,AA$11:AA$267,0))&gt;1),0,MATCH(U216,AA$11:AA$267,0))</f>
        <v>0</v>
      </c>
      <c r="AQ216" s="408">
        <f ca="1">IF(OR(TYPE(AA216)&gt;1,TYPE(MATCH(AA216,I$11:I$267,0))&gt;1),0,MATCH(AA216,I$11:I$267,0))+IF(OR(TYPE(AA216)&gt;1,TYPE(MATCH(AA216,O$11:O$267,0))&gt;1),0,MATCH(AA216,O$11:O$267,0))+IF(OR(TYPE(AA216)&gt;1,TYPE(MATCH(AA216,U$11:U$267,0))&gt;1),0,MATCH(U216,U$11:U$267,0))+IF(OR(TYPE(AA216)&gt;1,TYPE(MATCH(AA216,AA217:AA$267,0))&gt;1),0,MATCH(AA216,AA217:AA$267,0))</f>
        <v>0</v>
      </c>
      <c r="AR216" s="408">
        <f t="shared" ca="1" si="91"/>
        <v>0</v>
      </c>
      <c r="BF216" s="408">
        <f t="shared" si="92"/>
        <v>206</v>
      </c>
    </row>
    <row r="217" spans="1:58" ht="14.25">
      <c r="A217" s="430">
        <f t="shared" ca="1" si="81"/>
        <v>0</v>
      </c>
      <c r="B217" s="430">
        <f t="shared" ca="1" si="82"/>
        <v>0</v>
      </c>
      <c r="C217" s="430">
        <f t="shared" ca="1" si="83"/>
        <v>0</v>
      </c>
      <c r="D217" s="430">
        <f t="shared" ca="1" si="84"/>
        <v>99999</v>
      </c>
      <c r="E217" s="430">
        <f t="shared" ca="1" si="85"/>
        <v>9999</v>
      </c>
      <c r="F217" s="431" t="str">
        <f t="shared" ca="1" si="80"/>
        <v>00000000000000000000513671</v>
      </c>
      <c r="G217" s="467" t="b">
        <f t="shared" ca="1" si="86"/>
        <v>1</v>
      </c>
      <c r="H217" s="468">
        <f t="shared" si="77"/>
        <v>207</v>
      </c>
      <c r="I217" s="469" t="str">
        <f t="shared" ca="1" si="87"/>
        <v/>
      </c>
      <c r="J217" s="470" t="str">
        <f ca="1">IF(N(I217)&gt;0,VLOOKUP(I217,Hraci!$A$1:$I$1500,2,0),IF(TYPE(INDIRECT(ADDRESS(ROW() + $A$9-9 + (ROW()-11)*4,2,1,1,"Internet")))&gt;1,INDIRECT(ADDRESS(ROW() + $A$9-9 + (ROW()-11)*4,2,1,1,"Internet"))," "))</f>
        <v xml:space="preserve"> </v>
      </c>
      <c r="K217" s="471" t="str">
        <f ca="1">IF(N(I217)&gt;0,VLOOKUP(I217,Hraci!$A$1:$I$1500,3,0)," ")</f>
        <v xml:space="preserve"> </v>
      </c>
      <c r="L217" s="471" t="str">
        <f ca="1">IF(N(I217)&gt;0,VLOOKUP(I217,Hraci!$A$1:$I$1500,5,0),IF(TYPE(INDIRECT(ADDRESS(ROW() + $A$9-9 + (ROW()-11)*4,3,1,1,"Internet")))&gt;1,INDIRECT(ADDRESS(ROW() + $A$9-9 + (ROW()-11)*4,3,1,1,"Internet"))," "))</f>
        <v xml:space="preserve"> </v>
      </c>
      <c r="M217" s="472">
        <f ca="1">IF(N(I217)=0,9999,VLOOKUP(I217,Hraci!$A$1:$I$1500,8,0))</f>
        <v>9999</v>
      </c>
      <c r="N217" s="473">
        <f ca="1">IF(N(I217)=0,0,VLOOKUP(I217,Hraci!$A$1:$I$1500,9,0))</f>
        <v>0</v>
      </c>
      <c r="O217" s="469" t="str">
        <f t="shared" ca="1" si="88"/>
        <v/>
      </c>
      <c r="P217" s="470" t="str">
        <f ca="1">IF(N(O217)&gt;0,VLOOKUP(O217,Hraci!$A$1:$I$1500,2,0),IF(TYPE(INDIRECT(ADDRESS(ROW() + $A$9-8 + (ROW()-11)*4,2,1,1,"Internet")))&gt;1,INDIRECT(ADDRESS(ROW() + $A$9-8 + (ROW()-11)*4,2,1,1,"Internet"))," "))</f>
        <v xml:space="preserve"> </v>
      </c>
      <c r="Q217" s="471" t="str">
        <f ca="1">IF(N(O217)&gt;0,VLOOKUP(O217,Hraci!$A$1:$I$1500,3,0)," ")</f>
        <v xml:space="preserve"> </v>
      </c>
      <c r="R217" s="471" t="str">
        <f ca="1">IF(N(O217)&gt;0,VLOOKUP(O217,Hraci!$A$1:$I$1500,5,0),IF(TYPE(INDIRECT(ADDRESS(ROW() + $A$9-8 + (ROW()-11)*4,3,1,1,"Internet")))&gt;1,INDIRECT(ADDRESS(ROW() + $A$9-8 + (ROW()-11)*4,3,1,1,"Internet"))," "))</f>
        <v xml:space="preserve"> </v>
      </c>
      <c r="S217" s="472">
        <f ca="1">IF(N(O217)=0,9999,VLOOKUP(O217,Hraci!$A$1:$I$1500,8,0))</f>
        <v>9999</v>
      </c>
      <c r="T217" s="473">
        <f ca="1">IF(N(O217)=0,0,VLOOKUP(O217,Hraci!$A$1:$I$1500,9,0))</f>
        <v>0</v>
      </c>
      <c r="U217" s="469" t="str">
        <f t="shared" ca="1" si="89"/>
        <v/>
      </c>
      <c r="V217" s="470" t="str">
        <f ca="1">IF(N(U217)&gt;0,VLOOKUP(U217,Hraci!$A$1:$I$1500,2,0),IF(TYPE(INDIRECT(ADDRESS(ROW() + $A$9-7 + (ROW()-11)*4,2,1,1,"Internet")))&gt;1,INDIRECT(ADDRESS(ROW() + $A$9-7 + (ROW()-11)*4,2,1,1,"Internet"))," "))</f>
        <v xml:space="preserve"> </v>
      </c>
      <c r="W217" s="471" t="str">
        <f ca="1">IF(N(U217)&gt;0,VLOOKUP(U217,Hraci!$A$1:$I$1500,3,0)," ")</f>
        <v xml:space="preserve"> </v>
      </c>
      <c r="X217" s="471" t="str">
        <f ca="1">IF(N(U217)&gt;0,VLOOKUP(U217,Hraci!$A$1:$I$1500,5,0),IF(TYPE(INDIRECT(ADDRESS(ROW() + $A$9-7 + (ROW()-11)*4,3,1,1,"Internet")))&gt;1,INDIRECT(ADDRESS(ROW() + $A$9-7 + (ROW()-11)*4,3,1,1,"Internet"))," "))</f>
        <v xml:space="preserve"> </v>
      </c>
      <c r="Y217" s="472">
        <f ca="1">IF(N(U217)=0,9999,VLOOKUP(U217,Hraci!$A$1:$I$1500,8,0))</f>
        <v>9999</v>
      </c>
      <c r="Z217" s="473">
        <f ca="1">IF(N(U217)=0,0,VLOOKUP(U217,Hraci!$A$1:$I$1500,9,0))</f>
        <v>0</v>
      </c>
      <c r="AA217" s="469" t="str">
        <f t="shared" ca="1" si="90"/>
        <v/>
      </c>
      <c r="AB217" s="470" t="str">
        <f ca="1">IF(N(AA217)&gt;0,VLOOKUP(AA217,Hraci!$A$1:$I$1500,2,0)," ")</f>
        <v xml:space="preserve"> </v>
      </c>
      <c r="AC217" s="471" t="str">
        <f ca="1">IF(N(AA217)&gt;0,VLOOKUP(AA217,Hraci!$A$1:$I$1500,3,0)," ")</f>
        <v xml:space="preserve"> </v>
      </c>
      <c r="AD217" s="471" t="str">
        <f ca="1">IF(N(AA217)&gt;0,VLOOKUP(AA217,Hraci!$A$1:$I$1500,5,0)," ")</f>
        <v xml:space="preserve"> </v>
      </c>
      <c r="AE217" s="472">
        <f ca="1">IF(N(AA217)=0,9999,VLOOKUP(AA217,Hraci!$A$1:$I$1500,8,0))</f>
        <v>9999</v>
      </c>
      <c r="AF217" s="473">
        <f ca="1">IF(N(AA217)=0,0,VLOOKUP(AA217,Hraci!$A$1:$I$1500,9,0))</f>
        <v>0</v>
      </c>
      <c r="AG217" s="474"/>
      <c r="AH217" s="480">
        <f ca="1">IF(TYPE(VLOOKUP(H217,Nasazení!$A$3:$E$258,5,0))&lt;4,VLOOKUP(H217,Nasazení!$A$3:$E$258,5,0),0)</f>
        <v>0</v>
      </c>
      <c r="AI217" s="475" t="str">
        <f ca="1">IF(N($AH217)&gt;0,VLOOKUP($AH217,Body!$A$4:$F$259,5,0),"")</f>
        <v/>
      </c>
      <c r="AJ217" s="476" t="str">
        <f ca="1">IF(N($AH217)&gt;0,VLOOKUP($AH217,Body!$A$4:$F$259,6,0),"")</f>
        <v/>
      </c>
      <c r="AK217" s="475" t="str">
        <f ca="1">IF(N($AH217)&gt;0,VLOOKUP($AH217,Body!$A$4:$F$259,2,0),"")</f>
        <v/>
      </c>
      <c r="AL217" s="477" t="str">
        <f t="shared" ca="1" si="78"/>
        <v/>
      </c>
      <c r="AM217" s="478">
        <f t="shared" ca="1" si="79"/>
        <v>0</v>
      </c>
      <c r="AN217" s="408">
        <f ca="1">IF(OR(TYPE(I217)&gt;1,TYPE(MATCH(I217,I218:I$267,0))&gt;1),0,MATCH(I217,I218:I$267,0))+IF(OR(TYPE(I217)&gt;1,TYPE(MATCH(I217,O$11:O$267,0))&gt;1),0,MATCH(I217,O$11:O$267,0))+IF(OR(TYPE(I217)&gt;1,TYPE(MATCH(I217,U$11:U$267,0))&gt;1),0,MATCH(I217,U$11:U$267,0))+IF(OR(TYPE(I217)&gt;1,TYPE(MATCH(I217,AA$11:AA$267,0))&gt;1),0,MATCH(I217,AA$11:AA$267,0))</f>
        <v>0</v>
      </c>
      <c r="AO217" s="408">
        <f ca="1">IF(OR(TYPE(O217)&gt;1,TYPE(MATCH(O217,I$11:I$267,0))&gt;1),0,MATCH(O217,I$11:I$267,0))+IF(OR(TYPE(O217)&gt;1,TYPE(MATCH(O217,O218:O$267,0))&gt;1),0,MATCH(O217,O218:O$267,0))+IF(OR(TYPE(O217)&gt;1,TYPE(MATCH(O217,U$11:U$267,0))&gt;1),0,MATCH(O217,U$11:U$267,0))+IF(OR(TYPE(O217)&gt;1,TYPE(MATCH(O217,AA$11:AA$267,0))&gt;1),0,MATCH(O217,AA$11:AA$267,0))</f>
        <v>0</v>
      </c>
      <c r="AP217" s="408">
        <f ca="1">IF(OR(TYPE(U217)&gt;1,TYPE(MATCH(U217,I$11:I$267,0))&gt;1),0,MATCH(U217,I$11:I$267,0))+IF(OR(TYPE(U217)&gt;1,TYPE(MATCH(U217,O$11:O$267,0))&gt;1),0,MATCH(U217,O$11:O$267,0))+IF(OR(TYPE(U217)&gt;1,TYPE(MATCH(U217,U218:U$267,0))&gt;1),0,MATCH(U217,U218:U$267,0))+IF(OR(TYPE(U217)&gt;1,TYPE(MATCH(U217,AA$11:AA$267,0))&gt;1),0,MATCH(U217,AA$11:AA$267,0))</f>
        <v>0</v>
      </c>
      <c r="AQ217" s="408">
        <f ca="1">IF(OR(TYPE(AA217)&gt;1,TYPE(MATCH(AA217,I$11:I$267,0))&gt;1),0,MATCH(AA217,I$11:I$267,0))+IF(OR(TYPE(AA217)&gt;1,TYPE(MATCH(AA217,O$11:O$267,0))&gt;1),0,MATCH(AA217,O$11:O$267,0))+IF(OR(TYPE(AA217)&gt;1,TYPE(MATCH(AA217,U$11:U$267,0))&gt;1),0,MATCH(U217,U$11:U$267,0))+IF(OR(TYPE(AA217)&gt;1,TYPE(MATCH(AA217,AA218:AA$267,0))&gt;1),0,MATCH(AA217,AA218:AA$267,0))</f>
        <v>0</v>
      </c>
      <c r="AR217" s="408">
        <f t="shared" ca="1" si="91"/>
        <v>0</v>
      </c>
      <c r="BF217" s="408">
        <f t="shared" si="92"/>
        <v>207</v>
      </c>
    </row>
    <row r="218" spans="1:58" ht="14.25">
      <c r="A218" s="430">
        <f t="shared" ca="1" si="81"/>
        <v>0</v>
      </c>
      <c r="B218" s="430">
        <f t="shared" ca="1" si="82"/>
        <v>0</v>
      </c>
      <c r="C218" s="430">
        <f t="shared" ca="1" si="83"/>
        <v>0</v>
      </c>
      <c r="D218" s="430">
        <f t="shared" ca="1" si="84"/>
        <v>99999</v>
      </c>
      <c r="E218" s="430">
        <f t="shared" ca="1" si="85"/>
        <v>9999</v>
      </c>
      <c r="F218" s="431" t="str">
        <f t="shared" ca="1" si="80"/>
        <v>00000000000000000000189450</v>
      </c>
      <c r="G218" s="467" t="b">
        <f t="shared" ca="1" si="86"/>
        <v>1</v>
      </c>
      <c r="H218" s="468">
        <f t="shared" si="77"/>
        <v>208</v>
      </c>
      <c r="I218" s="469" t="str">
        <f t="shared" ca="1" si="87"/>
        <v/>
      </c>
      <c r="J218" s="470" t="str">
        <f ca="1">IF(N(I218)&gt;0,VLOOKUP(I218,Hraci!$A$1:$I$1500,2,0),IF(TYPE(INDIRECT(ADDRESS(ROW() + $A$9-9 + (ROW()-11)*4,2,1,1,"Internet")))&gt;1,INDIRECT(ADDRESS(ROW() + $A$9-9 + (ROW()-11)*4,2,1,1,"Internet"))," "))</f>
        <v xml:space="preserve"> </v>
      </c>
      <c r="K218" s="471" t="str">
        <f ca="1">IF(N(I218)&gt;0,VLOOKUP(I218,Hraci!$A$1:$I$1500,3,0)," ")</f>
        <v xml:space="preserve"> </v>
      </c>
      <c r="L218" s="471" t="str">
        <f ca="1">IF(N(I218)&gt;0,VLOOKUP(I218,Hraci!$A$1:$I$1500,5,0),IF(TYPE(INDIRECT(ADDRESS(ROW() + $A$9-9 + (ROW()-11)*4,3,1,1,"Internet")))&gt;1,INDIRECT(ADDRESS(ROW() + $A$9-9 + (ROW()-11)*4,3,1,1,"Internet"))," "))</f>
        <v xml:space="preserve"> </v>
      </c>
      <c r="M218" s="472">
        <f ca="1">IF(N(I218)=0,9999,VLOOKUP(I218,Hraci!$A$1:$I$1500,8,0))</f>
        <v>9999</v>
      </c>
      <c r="N218" s="473">
        <f ca="1">IF(N(I218)=0,0,VLOOKUP(I218,Hraci!$A$1:$I$1500,9,0))</f>
        <v>0</v>
      </c>
      <c r="O218" s="469" t="str">
        <f t="shared" ca="1" si="88"/>
        <v/>
      </c>
      <c r="P218" s="470" t="str">
        <f ca="1">IF(N(O218)&gt;0,VLOOKUP(O218,Hraci!$A$1:$I$1500,2,0),IF(TYPE(INDIRECT(ADDRESS(ROW() + $A$9-8 + (ROW()-11)*4,2,1,1,"Internet")))&gt;1,INDIRECT(ADDRESS(ROW() + $A$9-8 + (ROW()-11)*4,2,1,1,"Internet"))," "))</f>
        <v xml:space="preserve"> </v>
      </c>
      <c r="Q218" s="471" t="str">
        <f ca="1">IF(N(O218)&gt;0,VLOOKUP(O218,Hraci!$A$1:$I$1500,3,0)," ")</f>
        <v xml:space="preserve"> </v>
      </c>
      <c r="R218" s="471" t="str">
        <f ca="1">IF(N(O218)&gt;0,VLOOKUP(O218,Hraci!$A$1:$I$1500,5,0),IF(TYPE(INDIRECT(ADDRESS(ROW() + $A$9-8 + (ROW()-11)*4,3,1,1,"Internet")))&gt;1,INDIRECT(ADDRESS(ROW() + $A$9-8 + (ROW()-11)*4,3,1,1,"Internet"))," "))</f>
        <v xml:space="preserve"> </v>
      </c>
      <c r="S218" s="472">
        <f ca="1">IF(N(O218)=0,9999,VLOOKUP(O218,Hraci!$A$1:$I$1500,8,0))</f>
        <v>9999</v>
      </c>
      <c r="T218" s="473">
        <f ca="1">IF(N(O218)=0,0,VLOOKUP(O218,Hraci!$A$1:$I$1500,9,0))</f>
        <v>0</v>
      </c>
      <c r="U218" s="469" t="str">
        <f t="shared" ca="1" si="89"/>
        <v/>
      </c>
      <c r="V218" s="470" t="str">
        <f ca="1">IF(N(U218)&gt;0,VLOOKUP(U218,Hraci!$A$1:$I$1500,2,0),IF(TYPE(INDIRECT(ADDRESS(ROW() + $A$9-7 + (ROW()-11)*4,2,1,1,"Internet")))&gt;1,INDIRECT(ADDRESS(ROW() + $A$9-7 + (ROW()-11)*4,2,1,1,"Internet"))," "))</f>
        <v xml:space="preserve"> </v>
      </c>
      <c r="W218" s="471" t="str">
        <f ca="1">IF(N(U218)&gt;0,VLOOKUP(U218,Hraci!$A$1:$I$1500,3,0)," ")</f>
        <v xml:space="preserve"> </v>
      </c>
      <c r="X218" s="471" t="str">
        <f ca="1">IF(N(U218)&gt;0,VLOOKUP(U218,Hraci!$A$1:$I$1500,5,0),IF(TYPE(INDIRECT(ADDRESS(ROW() + $A$9-7 + (ROW()-11)*4,3,1,1,"Internet")))&gt;1,INDIRECT(ADDRESS(ROW() + $A$9-7 + (ROW()-11)*4,3,1,1,"Internet"))," "))</f>
        <v xml:space="preserve"> </v>
      </c>
      <c r="Y218" s="472">
        <f ca="1">IF(N(U218)=0,9999,VLOOKUP(U218,Hraci!$A$1:$I$1500,8,0))</f>
        <v>9999</v>
      </c>
      <c r="Z218" s="473">
        <f ca="1">IF(N(U218)=0,0,VLOOKUP(U218,Hraci!$A$1:$I$1500,9,0))</f>
        <v>0</v>
      </c>
      <c r="AA218" s="469" t="str">
        <f t="shared" ca="1" si="90"/>
        <v/>
      </c>
      <c r="AB218" s="470" t="str">
        <f ca="1">IF(N(AA218)&gt;0,VLOOKUP(AA218,Hraci!$A$1:$I$1500,2,0)," ")</f>
        <v xml:space="preserve"> </v>
      </c>
      <c r="AC218" s="471" t="str">
        <f ca="1">IF(N(AA218)&gt;0,VLOOKUP(AA218,Hraci!$A$1:$I$1500,3,0)," ")</f>
        <v xml:space="preserve"> </v>
      </c>
      <c r="AD218" s="471" t="str">
        <f ca="1">IF(N(AA218)&gt;0,VLOOKUP(AA218,Hraci!$A$1:$I$1500,5,0)," ")</f>
        <v xml:space="preserve"> </v>
      </c>
      <c r="AE218" s="472">
        <f ca="1">IF(N(AA218)=0,9999,VLOOKUP(AA218,Hraci!$A$1:$I$1500,8,0))</f>
        <v>9999</v>
      </c>
      <c r="AF218" s="473">
        <f ca="1">IF(N(AA218)=0,0,VLOOKUP(AA218,Hraci!$A$1:$I$1500,9,0))</f>
        <v>0</v>
      </c>
      <c r="AG218" s="474"/>
      <c r="AH218" s="480">
        <f ca="1">IF(TYPE(VLOOKUP(H218,Nasazení!$A$3:$E$258,5,0))&lt;4,VLOOKUP(H218,Nasazení!$A$3:$E$258,5,0),0)</f>
        <v>0</v>
      </c>
      <c r="AI218" s="475" t="str">
        <f ca="1">IF(N($AH218)&gt;0,VLOOKUP($AH218,Body!$A$4:$F$259,5,0),"")</f>
        <v/>
      </c>
      <c r="AJ218" s="476" t="str">
        <f ca="1">IF(N($AH218)&gt;0,VLOOKUP($AH218,Body!$A$4:$F$259,6,0),"")</f>
        <v/>
      </c>
      <c r="AK218" s="475" t="str">
        <f ca="1">IF(N($AH218)&gt;0,VLOOKUP($AH218,Body!$A$4:$F$259,2,0),"")</f>
        <v/>
      </c>
      <c r="AL218" s="477" t="str">
        <f t="shared" ca="1" si="78"/>
        <v/>
      </c>
      <c r="AM218" s="478">
        <f t="shared" ca="1" si="79"/>
        <v>0</v>
      </c>
      <c r="AN218" s="408">
        <f ca="1">IF(OR(TYPE(I218)&gt;1,TYPE(MATCH(I218,I219:I$267,0))&gt;1),0,MATCH(I218,I219:I$267,0))+IF(OR(TYPE(I218)&gt;1,TYPE(MATCH(I218,O$11:O$267,0))&gt;1),0,MATCH(I218,O$11:O$267,0))+IF(OR(TYPE(I218)&gt;1,TYPE(MATCH(I218,U$11:U$267,0))&gt;1),0,MATCH(I218,U$11:U$267,0))+IF(OR(TYPE(I218)&gt;1,TYPE(MATCH(I218,AA$11:AA$267,0))&gt;1),0,MATCH(I218,AA$11:AA$267,0))</f>
        <v>0</v>
      </c>
      <c r="AO218" s="408">
        <f ca="1">IF(OR(TYPE(O218)&gt;1,TYPE(MATCH(O218,I$11:I$267,0))&gt;1),0,MATCH(O218,I$11:I$267,0))+IF(OR(TYPE(O218)&gt;1,TYPE(MATCH(O218,O219:O$267,0))&gt;1),0,MATCH(O218,O219:O$267,0))+IF(OR(TYPE(O218)&gt;1,TYPE(MATCH(O218,U$11:U$267,0))&gt;1),0,MATCH(O218,U$11:U$267,0))+IF(OR(TYPE(O218)&gt;1,TYPE(MATCH(O218,AA$11:AA$267,0))&gt;1),0,MATCH(O218,AA$11:AA$267,0))</f>
        <v>0</v>
      </c>
      <c r="AP218" s="408">
        <f ca="1">IF(OR(TYPE(U218)&gt;1,TYPE(MATCH(U218,I$11:I$267,0))&gt;1),0,MATCH(U218,I$11:I$267,0))+IF(OR(TYPE(U218)&gt;1,TYPE(MATCH(U218,O$11:O$267,0))&gt;1),0,MATCH(U218,O$11:O$267,0))+IF(OR(TYPE(U218)&gt;1,TYPE(MATCH(U218,U219:U$267,0))&gt;1),0,MATCH(U218,U219:U$267,0))+IF(OR(TYPE(U218)&gt;1,TYPE(MATCH(U218,AA$11:AA$267,0))&gt;1),0,MATCH(U218,AA$11:AA$267,0))</f>
        <v>0</v>
      </c>
      <c r="AQ218" s="408">
        <f ca="1">IF(OR(TYPE(AA218)&gt;1,TYPE(MATCH(AA218,I$11:I$267,0))&gt;1),0,MATCH(AA218,I$11:I$267,0))+IF(OR(TYPE(AA218)&gt;1,TYPE(MATCH(AA218,O$11:O$267,0))&gt;1),0,MATCH(AA218,O$11:O$267,0))+IF(OR(TYPE(AA218)&gt;1,TYPE(MATCH(AA218,U$11:U$267,0))&gt;1),0,MATCH(U218,U$11:U$267,0))+IF(OR(TYPE(AA218)&gt;1,TYPE(MATCH(AA218,AA219:AA$267,0))&gt;1),0,MATCH(AA218,AA219:AA$267,0))</f>
        <v>0</v>
      </c>
      <c r="AR218" s="408">
        <f t="shared" ca="1" si="91"/>
        <v>0</v>
      </c>
      <c r="BF218" s="408">
        <f t="shared" si="92"/>
        <v>208</v>
      </c>
    </row>
    <row r="219" spans="1:58" ht="14.25">
      <c r="A219" s="430">
        <f t="shared" ca="1" si="81"/>
        <v>0</v>
      </c>
      <c r="B219" s="430">
        <f t="shared" ca="1" si="82"/>
        <v>0</v>
      </c>
      <c r="C219" s="430">
        <f t="shared" ca="1" si="83"/>
        <v>0</v>
      </c>
      <c r="D219" s="430">
        <f t="shared" ca="1" si="84"/>
        <v>99999</v>
      </c>
      <c r="E219" s="430">
        <f t="shared" ca="1" si="85"/>
        <v>9999</v>
      </c>
      <c r="F219" s="431" t="str">
        <f t="shared" ca="1" si="80"/>
        <v>00000000000000000000734553</v>
      </c>
      <c r="G219" s="467" t="b">
        <f t="shared" ca="1" si="86"/>
        <v>1</v>
      </c>
      <c r="H219" s="468">
        <f t="shared" si="77"/>
        <v>209</v>
      </c>
      <c r="I219" s="469" t="str">
        <f t="shared" ca="1" si="87"/>
        <v/>
      </c>
      <c r="J219" s="470" t="str">
        <f ca="1">IF(N(I219)&gt;0,VLOOKUP(I219,Hraci!$A$1:$I$1500,2,0),IF(TYPE(INDIRECT(ADDRESS(ROW() + $A$9-9 + (ROW()-11)*4,2,1,1,"Internet")))&gt;1,INDIRECT(ADDRESS(ROW() + $A$9-9 + (ROW()-11)*4,2,1,1,"Internet"))," "))</f>
        <v xml:space="preserve"> </v>
      </c>
      <c r="K219" s="471" t="str">
        <f ca="1">IF(N(I219)&gt;0,VLOOKUP(I219,Hraci!$A$1:$I$1500,3,0)," ")</f>
        <v xml:space="preserve"> </v>
      </c>
      <c r="L219" s="471" t="str">
        <f ca="1">IF(N(I219)&gt;0,VLOOKUP(I219,Hraci!$A$1:$I$1500,5,0),IF(TYPE(INDIRECT(ADDRESS(ROW() + $A$9-9 + (ROW()-11)*4,3,1,1,"Internet")))&gt;1,INDIRECT(ADDRESS(ROW() + $A$9-9 + (ROW()-11)*4,3,1,1,"Internet"))," "))</f>
        <v xml:space="preserve"> </v>
      </c>
      <c r="M219" s="472">
        <f ca="1">IF(N(I219)=0,9999,VLOOKUP(I219,Hraci!$A$1:$I$1500,8,0))</f>
        <v>9999</v>
      </c>
      <c r="N219" s="473">
        <f ca="1">IF(N(I219)=0,0,VLOOKUP(I219,Hraci!$A$1:$I$1500,9,0))</f>
        <v>0</v>
      </c>
      <c r="O219" s="469" t="str">
        <f t="shared" ca="1" si="88"/>
        <v/>
      </c>
      <c r="P219" s="470" t="str">
        <f ca="1">IF(N(O219)&gt;0,VLOOKUP(O219,Hraci!$A$1:$I$1500,2,0),IF(TYPE(INDIRECT(ADDRESS(ROW() + $A$9-8 + (ROW()-11)*4,2,1,1,"Internet")))&gt;1,INDIRECT(ADDRESS(ROW() + $A$9-8 + (ROW()-11)*4,2,1,1,"Internet"))," "))</f>
        <v xml:space="preserve"> </v>
      </c>
      <c r="Q219" s="471" t="str">
        <f ca="1">IF(N(O219)&gt;0,VLOOKUP(O219,Hraci!$A$1:$I$1500,3,0)," ")</f>
        <v xml:space="preserve"> </v>
      </c>
      <c r="R219" s="471" t="str">
        <f ca="1">IF(N(O219)&gt;0,VLOOKUP(O219,Hraci!$A$1:$I$1500,5,0),IF(TYPE(INDIRECT(ADDRESS(ROW() + $A$9-8 + (ROW()-11)*4,3,1,1,"Internet")))&gt;1,INDIRECT(ADDRESS(ROW() + $A$9-8 + (ROW()-11)*4,3,1,1,"Internet"))," "))</f>
        <v xml:space="preserve"> </v>
      </c>
      <c r="S219" s="472">
        <f ca="1">IF(N(O219)=0,9999,VLOOKUP(O219,Hraci!$A$1:$I$1500,8,0))</f>
        <v>9999</v>
      </c>
      <c r="T219" s="473">
        <f ca="1">IF(N(O219)=0,0,VLOOKUP(O219,Hraci!$A$1:$I$1500,9,0))</f>
        <v>0</v>
      </c>
      <c r="U219" s="469" t="str">
        <f t="shared" ca="1" si="89"/>
        <v/>
      </c>
      <c r="V219" s="470" t="str">
        <f ca="1">IF(N(U219)&gt;0,VLOOKUP(U219,Hraci!$A$1:$I$1500,2,0),IF(TYPE(INDIRECT(ADDRESS(ROW() + $A$9-7 + (ROW()-11)*4,2,1,1,"Internet")))&gt;1,INDIRECT(ADDRESS(ROW() + $A$9-7 + (ROW()-11)*4,2,1,1,"Internet"))," "))</f>
        <v xml:space="preserve"> </v>
      </c>
      <c r="W219" s="471" t="str">
        <f ca="1">IF(N(U219)&gt;0,VLOOKUP(U219,Hraci!$A$1:$I$1500,3,0)," ")</f>
        <v xml:space="preserve"> </v>
      </c>
      <c r="X219" s="471" t="str">
        <f ca="1">IF(N(U219)&gt;0,VLOOKUP(U219,Hraci!$A$1:$I$1500,5,0),IF(TYPE(INDIRECT(ADDRESS(ROW() + $A$9-7 + (ROW()-11)*4,3,1,1,"Internet")))&gt;1,INDIRECT(ADDRESS(ROW() + $A$9-7 + (ROW()-11)*4,3,1,1,"Internet"))," "))</f>
        <v xml:space="preserve"> </v>
      </c>
      <c r="Y219" s="472">
        <f ca="1">IF(N(U219)=0,9999,VLOOKUP(U219,Hraci!$A$1:$I$1500,8,0))</f>
        <v>9999</v>
      </c>
      <c r="Z219" s="473">
        <f ca="1">IF(N(U219)=0,0,VLOOKUP(U219,Hraci!$A$1:$I$1500,9,0))</f>
        <v>0</v>
      </c>
      <c r="AA219" s="469" t="str">
        <f t="shared" ca="1" si="90"/>
        <v/>
      </c>
      <c r="AB219" s="470" t="str">
        <f ca="1">IF(N(AA219)&gt;0,VLOOKUP(AA219,Hraci!$A$1:$I$1500,2,0)," ")</f>
        <v xml:space="preserve"> </v>
      </c>
      <c r="AC219" s="471" t="str">
        <f ca="1">IF(N(AA219)&gt;0,VLOOKUP(AA219,Hraci!$A$1:$I$1500,3,0)," ")</f>
        <v xml:space="preserve"> </v>
      </c>
      <c r="AD219" s="471" t="str">
        <f ca="1">IF(N(AA219)&gt;0,VLOOKUP(AA219,Hraci!$A$1:$I$1500,5,0)," ")</f>
        <v xml:space="preserve"> </v>
      </c>
      <c r="AE219" s="472">
        <f ca="1">IF(N(AA219)=0,9999,VLOOKUP(AA219,Hraci!$A$1:$I$1500,8,0))</f>
        <v>9999</v>
      </c>
      <c r="AF219" s="473">
        <f ca="1">IF(N(AA219)=0,0,VLOOKUP(AA219,Hraci!$A$1:$I$1500,9,0))</f>
        <v>0</v>
      </c>
      <c r="AG219" s="474"/>
      <c r="AH219" s="480">
        <f ca="1">IF(TYPE(VLOOKUP(H219,Nasazení!$A$3:$E$258,5,0))&lt;4,VLOOKUP(H219,Nasazení!$A$3:$E$258,5,0),0)</f>
        <v>0</v>
      </c>
      <c r="AI219" s="475" t="str">
        <f ca="1">IF(N($AH219)&gt;0,VLOOKUP($AH219,Body!$A$4:$F$259,5,0),"")</f>
        <v/>
      </c>
      <c r="AJ219" s="476" t="str">
        <f ca="1">IF(N($AH219)&gt;0,VLOOKUP($AH219,Body!$A$4:$F$259,6,0),"")</f>
        <v/>
      </c>
      <c r="AK219" s="475" t="str">
        <f ca="1">IF(N($AH219)&gt;0,VLOOKUP($AH219,Body!$A$4:$F$259,2,0),"")</f>
        <v/>
      </c>
      <c r="AL219" s="477" t="str">
        <f t="shared" ca="1" si="78"/>
        <v/>
      </c>
      <c r="AM219" s="478">
        <f t="shared" ca="1" si="79"/>
        <v>0</v>
      </c>
      <c r="AN219" s="408">
        <f ca="1">IF(OR(TYPE(I219)&gt;1,TYPE(MATCH(I219,I220:I$267,0))&gt;1),0,MATCH(I219,I220:I$267,0))+IF(OR(TYPE(I219)&gt;1,TYPE(MATCH(I219,O$11:O$267,0))&gt;1),0,MATCH(I219,O$11:O$267,0))+IF(OR(TYPE(I219)&gt;1,TYPE(MATCH(I219,U$11:U$267,0))&gt;1),0,MATCH(I219,U$11:U$267,0))+IF(OR(TYPE(I219)&gt;1,TYPE(MATCH(I219,AA$11:AA$267,0))&gt;1),0,MATCH(I219,AA$11:AA$267,0))</f>
        <v>0</v>
      </c>
      <c r="AO219" s="408">
        <f ca="1">IF(OR(TYPE(O219)&gt;1,TYPE(MATCH(O219,I$11:I$267,0))&gt;1),0,MATCH(O219,I$11:I$267,0))+IF(OR(TYPE(O219)&gt;1,TYPE(MATCH(O219,O220:O$267,0))&gt;1),0,MATCH(O219,O220:O$267,0))+IF(OR(TYPE(O219)&gt;1,TYPE(MATCH(O219,U$11:U$267,0))&gt;1),0,MATCH(O219,U$11:U$267,0))+IF(OR(TYPE(O219)&gt;1,TYPE(MATCH(O219,AA$11:AA$267,0))&gt;1),0,MATCH(O219,AA$11:AA$267,0))</f>
        <v>0</v>
      </c>
      <c r="AP219" s="408">
        <f ca="1">IF(OR(TYPE(U219)&gt;1,TYPE(MATCH(U219,I$11:I$267,0))&gt;1),0,MATCH(U219,I$11:I$267,0))+IF(OR(TYPE(U219)&gt;1,TYPE(MATCH(U219,O$11:O$267,0))&gt;1),0,MATCH(U219,O$11:O$267,0))+IF(OR(TYPE(U219)&gt;1,TYPE(MATCH(U219,U220:U$267,0))&gt;1),0,MATCH(U219,U220:U$267,0))+IF(OR(TYPE(U219)&gt;1,TYPE(MATCH(U219,AA$11:AA$267,0))&gt;1),0,MATCH(U219,AA$11:AA$267,0))</f>
        <v>0</v>
      </c>
      <c r="AQ219" s="408">
        <f ca="1">IF(OR(TYPE(AA219)&gt;1,TYPE(MATCH(AA219,I$11:I$267,0))&gt;1),0,MATCH(AA219,I$11:I$267,0))+IF(OR(TYPE(AA219)&gt;1,TYPE(MATCH(AA219,O$11:O$267,0))&gt;1),0,MATCH(AA219,O$11:O$267,0))+IF(OR(TYPE(AA219)&gt;1,TYPE(MATCH(AA219,U$11:U$267,0))&gt;1),0,MATCH(U219,U$11:U$267,0))+IF(OR(TYPE(AA219)&gt;1,TYPE(MATCH(AA219,AA220:AA$267,0))&gt;1),0,MATCH(AA219,AA220:AA$267,0))</f>
        <v>0</v>
      </c>
      <c r="AR219" s="408">
        <f t="shared" ca="1" si="91"/>
        <v>0</v>
      </c>
      <c r="BF219" s="408">
        <f t="shared" si="92"/>
        <v>209</v>
      </c>
    </row>
    <row r="220" spans="1:58" ht="14.25">
      <c r="A220" s="430">
        <f t="shared" ca="1" si="81"/>
        <v>0</v>
      </c>
      <c r="B220" s="430">
        <f t="shared" ca="1" si="82"/>
        <v>0</v>
      </c>
      <c r="C220" s="430">
        <f t="shared" ca="1" si="83"/>
        <v>0</v>
      </c>
      <c r="D220" s="430">
        <f t="shared" ca="1" si="84"/>
        <v>99999</v>
      </c>
      <c r="E220" s="430">
        <f t="shared" ca="1" si="85"/>
        <v>9999</v>
      </c>
      <c r="F220" s="431" t="str">
        <f t="shared" ca="1" si="80"/>
        <v>00000000000000000000471249</v>
      </c>
      <c r="G220" s="467" t="b">
        <f t="shared" ca="1" si="86"/>
        <v>1</v>
      </c>
      <c r="H220" s="468">
        <f t="shared" si="77"/>
        <v>210</v>
      </c>
      <c r="I220" s="469" t="str">
        <f t="shared" ca="1" si="87"/>
        <v/>
      </c>
      <c r="J220" s="470" t="str">
        <f ca="1">IF(N(I220)&gt;0,VLOOKUP(I220,Hraci!$A$1:$I$1500,2,0),IF(TYPE(INDIRECT(ADDRESS(ROW() + $A$9-9 + (ROW()-11)*4,2,1,1,"Internet")))&gt;1,INDIRECT(ADDRESS(ROW() + $A$9-9 + (ROW()-11)*4,2,1,1,"Internet"))," "))</f>
        <v xml:space="preserve"> </v>
      </c>
      <c r="K220" s="471" t="str">
        <f ca="1">IF(N(I220)&gt;0,VLOOKUP(I220,Hraci!$A$1:$I$1500,3,0)," ")</f>
        <v xml:space="preserve"> </v>
      </c>
      <c r="L220" s="471" t="str">
        <f ca="1">IF(N(I220)&gt;0,VLOOKUP(I220,Hraci!$A$1:$I$1500,5,0),IF(TYPE(INDIRECT(ADDRESS(ROW() + $A$9-9 + (ROW()-11)*4,3,1,1,"Internet")))&gt;1,INDIRECT(ADDRESS(ROW() + $A$9-9 + (ROW()-11)*4,3,1,1,"Internet"))," "))</f>
        <v xml:space="preserve"> </v>
      </c>
      <c r="M220" s="472">
        <f ca="1">IF(N(I220)=0,9999,VLOOKUP(I220,Hraci!$A$1:$I$1500,8,0))</f>
        <v>9999</v>
      </c>
      <c r="N220" s="473">
        <f ca="1">IF(N(I220)=0,0,VLOOKUP(I220,Hraci!$A$1:$I$1500,9,0))</f>
        <v>0</v>
      </c>
      <c r="O220" s="469" t="str">
        <f t="shared" ca="1" si="88"/>
        <v/>
      </c>
      <c r="P220" s="470" t="str">
        <f ca="1">IF(N(O220)&gt;0,VLOOKUP(O220,Hraci!$A$1:$I$1500,2,0),IF(TYPE(INDIRECT(ADDRESS(ROW() + $A$9-8 + (ROW()-11)*4,2,1,1,"Internet")))&gt;1,INDIRECT(ADDRESS(ROW() + $A$9-8 + (ROW()-11)*4,2,1,1,"Internet"))," "))</f>
        <v xml:space="preserve"> </v>
      </c>
      <c r="Q220" s="471" t="str">
        <f ca="1">IF(N(O220)&gt;0,VLOOKUP(O220,Hraci!$A$1:$I$1500,3,0)," ")</f>
        <v xml:space="preserve"> </v>
      </c>
      <c r="R220" s="471" t="str">
        <f ca="1">IF(N(O220)&gt;0,VLOOKUP(O220,Hraci!$A$1:$I$1500,5,0),IF(TYPE(INDIRECT(ADDRESS(ROW() + $A$9-8 + (ROW()-11)*4,3,1,1,"Internet")))&gt;1,INDIRECT(ADDRESS(ROW() + $A$9-8 + (ROW()-11)*4,3,1,1,"Internet"))," "))</f>
        <v xml:space="preserve"> </v>
      </c>
      <c r="S220" s="472">
        <f ca="1">IF(N(O220)=0,9999,VLOOKUP(O220,Hraci!$A$1:$I$1500,8,0))</f>
        <v>9999</v>
      </c>
      <c r="T220" s="473">
        <f ca="1">IF(N(O220)=0,0,VLOOKUP(O220,Hraci!$A$1:$I$1500,9,0))</f>
        <v>0</v>
      </c>
      <c r="U220" s="469" t="str">
        <f t="shared" ca="1" si="89"/>
        <v/>
      </c>
      <c r="V220" s="470" t="str">
        <f ca="1">IF(N(U220)&gt;0,VLOOKUP(U220,Hraci!$A$1:$I$1500,2,0),IF(TYPE(INDIRECT(ADDRESS(ROW() + $A$9-7 + (ROW()-11)*4,2,1,1,"Internet")))&gt;1,INDIRECT(ADDRESS(ROW() + $A$9-7 + (ROW()-11)*4,2,1,1,"Internet"))," "))</f>
        <v xml:space="preserve"> </v>
      </c>
      <c r="W220" s="471" t="str">
        <f ca="1">IF(N(U220)&gt;0,VLOOKUP(U220,Hraci!$A$1:$I$1500,3,0)," ")</f>
        <v xml:space="preserve"> </v>
      </c>
      <c r="X220" s="471" t="str">
        <f ca="1">IF(N(U220)&gt;0,VLOOKUP(U220,Hraci!$A$1:$I$1500,5,0),IF(TYPE(INDIRECT(ADDRESS(ROW() + $A$9-7 + (ROW()-11)*4,3,1,1,"Internet")))&gt;1,INDIRECT(ADDRESS(ROW() + $A$9-7 + (ROW()-11)*4,3,1,1,"Internet"))," "))</f>
        <v xml:space="preserve"> </v>
      </c>
      <c r="Y220" s="472">
        <f ca="1">IF(N(U220)=0,9999,VLOOKUP(U220,Hraci!$A$1:$I$1500,8,0))</f>
        <v>9999</v>
      </c>
      <c r="Z220" s="473">
        <f ca="1">IF(N(U220)=0,0,VLOOKUP(U220,Hraci!$A$1:$I$1500,9,0))</f>
        <v>0</v>
      </c>
      <c r="AA220" s="469" t="str">
        <f t="shared" ca="1" si="90"/>
        <v/>
      </c>
      <c r="AB220" s="470" t="str">
        <f ca="1">IF(N(AA220)&gt;0,VLOOKUP(AA220,Hraci!$A$1:$I$1500,2,0)," ")</f>
        <v xml:space="preserve"> </v>
      </c>
      <c r="AC220" s="471" t="str">
        <f ca="1">IF(N(AA220)&gt;0,VLOOKUP(AA220,Hraci!$A$1:$I$1500,3,0)," ")</f>
        <v xml:space="preserve"> </v>
      </c>
      <c r="AD220" s="471" t="str">
        <f ca="1">IF(N(AA220)&gt;0,VLOOKUP(AA220,Hraci!$A$1:$I$1500,5,0)," ")</f>
        <v xml:space="preserve"> </v>
      </c>
      <c r="AE220" s="472">
        <f ca="1">IF(N(AA220)=0,9999,VLOOKUP(AA220,Hraci!$A$1:$I$1500,8,0))</f>
        <v>9999</v>
      </c>
      <c r="AF220" s="473">
        <f ca="1">IF(N(AA220)=0,0,VLOOKUP(AA220,Hraci!$A$1:$I$1500,9,0))</f>
        <v>0</v>
      </c>
      <c r="AG220" s="474"/>
      <c r="AH220" s="480">
        <f ca="1">IF(TYPE(VLOOKUP(H220,Nasazení!$A$3:$E$258,5,0))&lt;4,VLOOKUP(H220,Nasazení!$A$3:$E$258,5,0),0)</f>
        <v>0</v>
      </c>
      <c r="AI220" s="475" t="str">
        <f ca="1">IF(N($AH220)&gt;0,VLOOKUP($AH220,Body!$A$4:$F$259,5,0),"")</f>
        <v/>
      </c>
      <c r="AJ220" s="476" t="str">
        <f ca="1">IF(N($AH220)&gt;0,VLOOKUP($AH220,Body!$A$4:$F$259,6,0),"")</f>
        <v/>
      </c>
      <c r="AK220" s="475" t="str">
        <f ca="1">IF(N($AH220)&gt;0,VLOOKUP($AH220,Body!$A$4:$F$259,2,0),"")</f>
        <v/>
      </c>
      <c r="AL220" s="477" t="str">
        <f t="shared" ca="1" si="78"/>
        <v/>
      </c>
      <c r="AM220" s="478">
        <f t="shared" ca="1" si="79"/>
        <v>0</v>
      </c>
      <c r="AN220" s="408">
        <f ca="1">IF(OR(TYPE(I220)&gt;1,TYPE(MATCH(I220,I221:I$267,0))&gt;1),0,MATCH(I220,I221:I$267,0))+IF(OR(TYPE(I220)&gt;1,TYPE(MATCH(I220,O$11:O$267,0))&gt;1),0,MATCH(I220,O$11:O$267,0))+IF(OR(TYPE(I220)&gt;1,TYPE(MATCH(I220,U$11:U$267,0))&gt;1),0,MATCH(I220,U$11:U$267,0))+IF(OR(TYPE(I220)&gt;1,TYPE(MATCH(I220,AA$11:AA$267,0))&gt;1),0,MATCH(I220,AA$11:AA$267,0))</f>
        <v>0</v>
      </c>
      <c r="AO220" s="408">
        <f ca="1">IF(OR(TYPE(O220)&gt;1,TYPE(MATCH(O220,I$11:I$267,0))&gt;1),0,MATCH(O220,I$11:I$267,0))+IF(OR(TYPE(O220)&gt;1,TYPE(MATCH(O220,O221:O$267,0))&gt;1),0,MATCH(O220,O221:O$267,0))+IF(OR(TYPE(O220)&gt;1,TYPE(MATCH(O220,U$11:U$267,0))&gt;1),0,MATCH(O220,U$11:U$267,0))+IF(OR(TYPE(O220)&gt;1,TYPE(MATCH(O220,AA$11:AA$267,0))&gt;1),0,MATCH(O220,AA$11:AA$267,0))</f>
        <v>0</v>
      </c>
      <c r="AP220" s="408">
        <f ca="1">IF(OR(TYPE(U220)&gt;1,TYPE(MATCH(U220,I$11:I$267,0))&gt;1),0,MATCH(U220,I$11:I$267,0))+IF(OR(TYPE(U220)&gt;1,TYPE(MATCH(U220,O$11:O$267,0))&gt;1),0,MATCH(U220,O$11:O$267,0))+IF(OR(TYPE(U220)&gt;1,TYPE(MATCH(U220,U221:U$267,0))&gt;1),0,MATCH(U220,U221:U$267,0))+IF(OR(TYPE(U220)&gt;1,TYPE(MATCH(U220,AA$11:AA$267,0))&gt;1),0,MATCH(U220,AA$11:AA$267,0))</f>
        <v>0</v>
      </c>
      <c r="AQ220" s="408">
        <f ca="1">IF(OR(TYPE(AA220)&gt;1,TYPE(MATCH(AA220,I$11:I$267,0))&gt;1),0,MATCH(AA220,I$11:I$267,0))+IF(OR(TYPE(AA220)&gt;1,TYPE(MATCH(AA220,O$11:O$267,0))&gt;1),0,MATCH(AA220,O$11:O$267,0))+IF(OR(TYPE(AA220)&gt;1,TYPE(MATCH(AA220,U$11:U$267,0))&gt;1),0,MATCH(U220,U$11:U$267,0))+IF(OR(TYPE(AA220)&gt;1,TYPE(MATCH(AA220,AA221:AA$267,0))&gt;1),0,MATCH(AA220,AA221:AA$267,0))</f>
        <v>0</v>
      </c>
      <c r="AR220" s="408">
        <f t="shared" ca="1" si="91"/>
        <v>0</v>
      </c>
      <c r="BF220" s="408">
        <f t="shared" si="92"/>
        <v>210</v>
      </c>
    </row>
    <row r="221" spans="1:58" ht="14.25">
      <c r="A221" s="430">
        <f t="shared" ca="1" si="81"/>
        <v>0</v>
      </c>
      <c r="B221" s="430">
        <f t="shared" ca="1" si="82"/>
        <v>0</v>
      </c>
      <c r="C221" s="430">
        <f t="shared" ca="1" si="83"/>
        <v>0</v>
      </c>
      <c r="D221" s="430">
        <f t="shared" ca="1" si="84"/>
        <v>99999</v>
      </c>
      <c r="E221" s="430">
        <f t="shared" ca="1" si="85"/>
        <v>9999</v>
      </c>
      <c r="F221" s="431" t="str">
        <f t="shared" ca="1" si="80"/>
        <v>00000000000000000000994285</v>
      </c>
      <c r="G221" s="467" t="b">
        <f t="shared" ca="1" si="86"/>
        <v>1</v>
      </c>
      <c r="H221" s="468">
        <f t="shared" si="77"/>
        <v>211</v>
      </c>
      <c r="I221" s="469" t="str">
        <f t="shared" ca="1" si="87"/>
        <v/>
      </c>
      <c r="J221" s="470" t="str">
        <f ca="1">IF(N(I221)&gt;0,VLOOKUP(I221,Hraci!$A$1:$I$1500,2,0),IF(TYPE(INDIRECT(ADDRESS(ROW() + $A$9-9 + (ROW()-11)*4,2,1,1,"Internet")))&gt;1,INDIRECT(ADDRESS(ROW() + $A$9-9 + (ROW()-11)*4,2,1,1,"Internet"))," "))</f>
        <v xml:space="preserve"> </v>
      </c>
      <c r="K221" s="471" t="str">
        <f ca="1">IF(N(I221)&gt;0,VLOOKUP(I221,Hraci!$A$1:$I$1500,3,0)," ")</f>
        <v xml:space="preserve"> </v>
      </c>
      <c r="L221" s="471" t="str">
        <f ca="1">IF(N(I221)&gt;0,VLOOKUP(I221,Hraci!$A$1:$I$1500,5,0),IF(TYPE(INDIRECT(ADDRESS(ROW() + $A$9-9 + (ROW()-11)*4,3,1,1,"Internet")))&gt;1,INDIRECT(ADDRESS(ROW() + $A$9-9 + (ROW()-11)*4,3,1,1,"Internet"))," "))</f>
        <v xml:space="preserve"> </v>
      </c>
      <c r="M221" s="472">
        <f ca="1">IF(N(I221)=0,9999,VLOOKUP(I221,Hraci!$A$1:$I$1500,8,0))</f>
        <v>9999</v>
      </c>
      <c r="N221" s="473">
        <f ca="1">IF(N(I221)=0,0,VLOOKUP(I221,Hraci!$A$1:$I$1500,9,0))</f>
        <v>0</v>
      </c>
      <c r="O221" s="469" t="str">
        <f t="shared" ca="1" si="88"/>
        <v/>
      </c>
      <c r="P221" s="470" t="str">
        <f ca="1">IF(N(O221)&gt;0,VLOOKUP(O221,Hraci!$A$1:$I$1500,2,0),IF(TYPE(INDIRECT(ADDRESS(ROW() + $A$9-8 + (ROW()-11)*4,2,1,1,"Internet")))&gt;1,INDIRECT(ADDRESS(ROW() + $A$9-8 + (ROW()-11)*4,2,1,1,"Internet"))," "))</f>
        <v xml:space="preserve"> </v>
      </c>
      <c r="Q221" s="471" t="str">
        <f ca="1">IF(N(O221)&gt;0,VLOOKUP(O221,Hraci!$A$1:$I$1500,3,0)," ")</f>
        <v xml:space="preserve"> </v>
      </c>
      <c r="R221" s="471" t="str">
        <f ca="1">IF(N(O221)&gt;0,VLOOKUP(O221,Hraci!$A$1:$I$1500,5,0),IF(TYPE(INDIRECT(ADDRESS(ROW() + $A$9-8 + (ROW()-11)*4,3,1,1,"Internet")))&gt;1,INDIRECT(ADDRESS(ROW() + $A$9-8 + (ROW()-11)*4,3,1,1,"Internet"))," "))</f>
        <v xml:space="preserve"> </v>
      </c>
      <c r="S221" s="472">
        <f ca="1">IF(N(O221)=0,9999,VLOOKUP(O221,Hraci!$A$1:$I$1500,8,0))</f>
        <v>9999</v>
      </c>
      <c r="T221" s="473">
        <f ca="1">IF(N(O221)=0,0,VLOOKUP(O221,Hraci!$A$1:$I$1500,9,0))</f>
        <v>0</v>
      </c>
      <c r="U221" s="469" t="str">
        <f t="shared" ca="1" si="89"/>
        <v/>
      </c>
      <c r="V221" s="470" t="str">
        <f ca="1">IF(N(U221)&gt;0,VLOOKUP(U221,Hraci!$A$1:$I$1500,2,0),IF(TYPE(INDIRECT(ADDRESS(ROW() + $A$9-7 + (ROW()-11)*4,2,1,1,"Internet")))&gt;1,INDIRECT(ADDRESS(ROW() + $A$9-7 + (ROW()-11)*4,2,1,1,"Internet"))," "))</f>
        <v xml:space="preserve"> </v>
      </c>
      <c r="W221" s="471" t="str">
        <f ca="1">IF(N(U221)&gt;0,VLOOKUP(U221,Hraci!$A$1:$I$1500,3,0)," ")</f>
        <v xml:space="preserve"> </v>
      </c>
      <c r="X221" s="471" t="str">
        <f ca="1">IF(N(U221)&gt;0,VLOOKUP(U221,Hraci!$A$1:$I$1500,5,0),IF(TYPE(INDIRECT(ADDRESS(ROW() + $A$9-7 + (ROW()-11)*4,3,1,1,"Internet")))&gt;1,INDIRECT(ADDRESS(ROW() + $A$9-7 + (ROW()-11)*4,3,1,1,"Internet"))," "))</f>
        <v xml:space="preserve"> </v>
      </c>
      <c r="Y221" s="472">
        <f ca="1">IF(N(U221)=0,9999,VLOOKUP(U221,Hraci!$A$1:$I$1500,8,0))</f>
        <v>9999</v>
      </c>
      <c r="Z221" s="473">
        <f ca="1">IF(N(U221)=0,0,VLOOKUP(U221,Hraci!$A$1:$I$1500,9,0))</f>
        <v>0</v>
      </c>
      <c r="AA221" s="469" t="str">
        <f t="shared" ca="1" si="90"/>
        <v/>
      </c>
      <c r="AB221" s="470" t="str">
        <f ca="1">IF(N(AA221)&gt;0,VLOOKUP(AA221,Hraci!$A$1:$I$1500,2,0)," ")</f>
        <v xml:space="preserve"> </v>
      </c>
      <c r="AC221" s="471" t="str">
        <f ca="1">IF(N(AA221)&gt;0,VLOOKUP(AA221,Hraci!$A$1:$I$1500,3,0)," ")</f>
        <v xml:space="preserve"> </v>
      </c>
      <c r="AD221" s="471" t="str">
        <f ca="1">IF(N(AA221)&gt;0,VLOOKUP(AA221,Hraci!$A$1:$I$1500,5,0)," ")</f>
        <v xml:space="preserve"> </v>
      </c>
      <c r="AE221" s="472">
        <f ca="1">IF(N(AA221)=0,9999,VLOOKUP(AA221,Hraci!$A$1:$I$1500,8,0))</f>
        <v>9999</v>
      </c>
      <c r="AF221" s="473">
        <f ca="1">IF(N(AA221)=0,0,VLOOKUP(AA221,Hraci!$A$1:$I$1500,9,0))</f>
        <v>0</v>
      </c>
      <c r="AG221" s="474"/>
      <c r="AH221" s="480">
        <f ca="1">IF(TYPE(VLOOKUP(H221,Nasazení!$A$3:$E$258,5,0))&lt;4,VLOOKUP(H221,Nasazení!$A$3:$E$258,5,0),0)</f>
        <v>0</v>
      </c>
      <c r="AI221" s="475" t="str">
        <f ca="1">IF(N($AH221)&gt;0,VLOOKUP($AH221,Body!$A$4:$F$259,5,0),"")</f>
        <v/>
      </c>
      <c r="AJ221" s="476" t="str">
        <f ca="1">IF(N($AH221)&gt;0,VLOOKUP($AH221,Body!$A$4:$F$259,6,0),"")</f>
        <v/>
      </c>
      <c r="AK221" s="475" t="str">
        <f ca="1">IF(N($AH221)&gt;0,VLOOKUP($AH221,Body!$A$4:$F$259,2,0),"")</f>
        <v/>
      </c>
      <c r="AL221" s="477" t="str">
        <f t="shared" ca="1" si="78"/>
        <v/>
      </c>
      <c r="AM221" s="478">
        <f t="shared" ca="1" si="79"/>
        <v>0</v>
      </c>
      <c r="AN221" s="408">
        <f ca="1">IF(OR(TYPE(I221)&gt;1,TYPE(MATCH(I221,I222:I$267,0))&gt;1),0,MATCH(I221,I222:I$267,0))+IF(OR(TYPE(I221)&gt;1,TYPE(MATCH(I221,O$11:O$267,0))&gt;1),0,MATCH(I221,O$11:O$267,0))+IF(OR(TYPE(I221)&gt;1,TYPE(MATCH(I221,U$11:U$267,0))&gt;1),0,MATCH(I221,U$11:U$267,0))+IF(OR(TYPE(I221)&gt;1,TYPE(MATCH(I221,AA$11:AA$267,0))&gt;1),0,MATCH(I221,AA$11:AA$267,0))</f>
        <v>0</v>
      </c>
      <c r="AO221" s="408">
        <f ca="1">IF(OR(TYPE(O221)&gt;1,TYPE(MATCH(O221,I$11:I$267,0))&gt;1),0,MATCH(O221,I$11:I$267,0))+IF(OR(TYPE(O221)&gt;1,TYPE(MATCH(O221,O222:O$267,0))&gt;1),0,MATCH(O221,O222:O$267,0))+IF(OR(TYPE(O221)&gt;1,TYPE(MATCH(O221,U$11:U$267,0))&gt;1),0,MATCH(O221,U$11:U$267,0))+IF(OR(TYPE(O221)&gt;1,TYPE(MATCH(O221,AA$11:AA$267,0))&gt;1),0,MATCH(O221,AA$11:AA$267,0))</f>
        <v>0</v>
      </c>
      <c r="AP221" s="408">
        <f ca="1">IF(OR(TYPE(U221)&gt;1,TYPE(MATCH(U221,I$11:I$267,0))&gt;1),0,MATCH(U221,I$11:I$267,0))+IF(OR(TYPE(U221)&gt;1,TYPE(MATCH(U221,O$11:O$267,0))&gt;1),0,MATCH(U221,O$11:O$267,0))+IF(OR(TYPE(U221)&gt;1,TYPE(MATCH(U221,U222:U$267,0))&gt;1),0,MATCH(U221,U222:U$267,0))+IF(OR(TYPE(U221)&gt;1,TYPE(MATCH(U221,AA$11:AA$267,0))&gt;1),0,MATCH(U221,AA$11:AA$267,0))</f>
        <v>0</v>
      </c>
      <c r="AQ221" s="408">
        <f ca="1">IF(OR(TYPE(AA221)&gt;1,TYPE(MATCH(AA221,I$11:I$267,0))&gt;1),0,MATCH(AA221,I$11:I$267,0))+IF(OR(TYPE(AA221)&gt;1,TYPE(MATCH(AA221,O$11:O$267,0))&gt;1),0,MATCH(AA221,O$11:O$267,0))+IF(OR(TYPE(AA221)&gt;1,TYPE(MATCH(AA221,U$11:U$267,0))&gt;1),0,MATCH(U221,U$11:U$267,0))+IF(OR(TYPE(AA221)&gt;1,TYPE(MATCH(AA221,AA222:AA$267,0))&gt;1),0,MATCH(AA221,AA222:AA$267,0))</f>
        <v>0</v>
      </c>
      <c r="AR221" s="408">
        <f t="shared" ca="1" si="91"/>
        <v>0</v>
      </c>
      <c r="BF221" s="408">
        <f t="shared" si="92"/>
        <v>211</v>
      </c>
    </row>
    <row r="222" spans="1:58" ht="14.25">
      <c r="A222" s="430">
        <f t="shared" ca="1" si="81"/>
        <v>0</v>
      </c>
      <c r="B222" s="430">
        <f t="shared" ca="1" si="82"/>
        <v>0</v>
      </c>
      <c r="C222" s="430">
        <f t="shared" ca="1" si="83"/>
        <v>0</v>
      </c>
      <c r="D222" s="430">
        <f t="shared" ca="1" si="84"/>
        <v>99999</v>
      </c>
      <c r="E222" s="430">
        <f t="shared" ca="1" si="85"/>
        <v>9999</v>
      </c>
      <c r="F222" s="431" t="str">
        <f t="shared" ca="1" si="80"/>
        <v>00000000000000000000674262</v>
      </c>
      <c r="G222" s="467" t="b">
        <f t="shared" ca="1" si="86"/>
        <v>1</v>
      </c>
      <c r="H222" s="468">
        <f t="shared" si="77"/>
        <v>212</v>
      </c>
      <c r="I222" s="469" t="str">
        <f t="shared" ca="1" si="87"/>
        <v/>
      </c>
      <c r="J222" s="470" t="str">
        <f ca="1">IF(N(I222)&gt;0,VLOOKUP(I222,Hraci!$A$1:$I$1500,2,0),IF(TYPE(INDIRECT(ADDRESS(ROW() + $A$9-9 + (ROW()-11)*4,2,1,1,"Internet")))&gt;1,INDIRECT(ADDRESS(ROW() + $A$9-9 + (ROW()-11)*4,2,1,1,"Internet"))," "))</f>
        <v xml:space="preserve"> </v>
      </c>
      <c r="K222" s="471" t="str">
        <f ca="1">IF(N(I222)&gt;0,VLOOKUP(I222,Hraci!$A$1:$I$1500,3,0)," ")</f>
        <v xml:space="preserve"> </v>
      </c>
      <c r="L222" s="471" t="str">
        <f ca="1">IF(N(I222)&gt;0,VLOOKUP(I222,Hraci!$A$1:$I$1500,5,0),IF(TYPE(INDIRECT(ADDRESS(ROW() + $A$9-9 + (ROW()-11)*4,3,1,1,"Internet")))&gt;1,INDIRECT(ADDRESS(ROW() + $A$9-9 + (ROW()-11)*4,3,1,1,"Internet"))," "))</f>
        <v xml:space="preserve"> </v>
      </c>
      <c r="M222" s="472">
        <f ca="1">IF(N(I222)=0,9999,VLOOKUP(I222,Hraci!$A$1:$I$1500,8,0))</f>
        <v>9999</v>
      </c>
      <c r="N222" s="473">
        <f ca="1">IF(N(I222)=0,0,VLOOKUP(I222,Hraci!$A$1:$I$1500,9,0))</f>
        <v>0</v>
      </c>
      <c r="O222" s="469" t="str">
        <f t="shared" ca="1" si="88"/>
        <v/>
      </c>
      <c r="P222" s="470" t="str">
        <f ca="1">IF(N(O222)&gt;0,VLOOKUP(O222,Hraci!$A$1:$I$1500,2,0),IF(TYPE(INDIRECT(ADDRESS(ROW() + $A$9-8 + (ROW()-11)*4,2,1,1,"Internet")))&gt;1,INDIRECT(ADDRESS(ROW() + $A$9-8 + (ROW()-11)*4,2,1,1,"Internet"))," "))</f>
        <v xml:space="preserve"> </v>
      </c>
      <c r="Q222" s="471" t="str">
        <f ca="1">IF(N(O222)&gt;0,VLOOKUP(O222,Hraci!$A$1:$I$1500,3,0)," ")</f>
        <v xml:space="preserve"> </v>
      </c>
      <c r="R222" s="471" t="str">
        <f ca="1">IF(N(O222)&gt;0,VLOOKUP(O222,Hraci!$A$1:$I$1500,5,0),IF(TYPE(INDIRECT(ADDRESS(ROW() + $A$9-8 + (ROW()-11)*4,3,1,1,"Internet")))&gt;1,INDIRECT(ADDRESS(ROW() + $A$9-8 + (ROW()-11)*4,3,1,1,"Internet"))," "))</f>
        <v xml:space="preserve"> </v>
      </c>
      <c r="S222" s="472">
        <f ca="1">IF(N(O222)=0,9999,VLOOKUP(O222,Hraci!$A$1:$I$1500,8,0))</f>
        <v>9999</v>
      </c>
      <c r="T222" s="473">
        <f ca="1">IF(N(O222)=0,0,VLOOKUP(O222,Hraci!$A$1:$I$1500,9,0))</f>
        <v>0</v>
      </c>
      <c r="U222" s="469" t="str">
        <f t="shared" ca="1" si="89"/>
        <v/>
      </c>
      <c r="V222" s="470" t="str">
        <f ca="1">IF(N(U222)&gt;0,VLOOKUP(U222,Hraci!$A$1:$I$1500,2,0),IF(TYPE(INDIRECT(ADDRESS(ROW() + $A$9-7 + (ROW()-11)*4,2,1,1,"Internet")))&gt;1,INDIRECT(ADDRESS(ROW() + $A$9-7 + (ROW()-11)*4,2,1,1,"Internet"))," "))</f>
        <v xml:space="preserve"> </v>
      </c>
      <c r="W222" s="471" t="str">
        <f ca="1">IF(N(U222)&gt;0,VLOOKUP(U222,Hraci!$A$1:$I$1500,3,0)," ")</f>
        <v xml:space="preserve"> </v>
      </c>
      <c r="X222" s="471" t="str">
        <f ca="1">IF(N(U222)&gt;0,VLOOKUP(U222,Hraci!$A$1:$I$1500,5,0),IF(TYPE(INDIRECT(ADDRESS(ROW() + $A$9-7 + (ROW()-11)*4,3,1,1,"Internet")))&gt;1,INDIRECT(ADDRESS(ROW() + $A$9-7 + (ROW()-11)*4,3,1,1,"Internet"))," "))</f>
        <v xml:space="preserve"> </v>
      </c>
      <c r="Y222" s="472">
        <f ca="1">IF(N(U222)=0,9999,VLOOKUP(U222,Hraci!$A$1:$I$1500,8,0))</f>
        <v>9999</v>
      </c>
      <c r="Z222" s="473">
        <f ca="1">IF(N(U222)=0,0,VLOOKUP(U222,Hraci!$A$1:$I$1500,9,0))</f>
        <v>0</v>
      </c>
      <c r="AA222" s="469" t="str">
        <f t="shared" ca="1" si="90"/>
        <v/>
      </c>
      <c r="AB222" s="470" t="str">
        <f ca="1">IF(N(AA222)&gt;0,VLOOKUP(AA222,Hraci!$A$1:$I$1500,2,0)," ")</f>
        <v xml:space="preserve"> </v>
      </c>
      <c r="AC222" s="471" t="str">
        <f ca="1">IF(N(AA222)&gt;0,VLOOKUP(AA222,Hraci!$A$1:$I$1500,3,0)," ")</f>
        <v xml:space="preserve"> </v>
      </c>
      <c r="AD222" s="471" t="str">
        <f ca="1">IF(N(AA222)&gt;0,VLOOKUP(AA222,Hraci!$A$1:$I$1500,5,0)," ")</f>
        <v xml:space="preserve"> </v>
      </c>
      <c r="AE222" s="472">
        <f ca="1">IF(N(AA222)=0,9999,VLOOKUP(AA222,Hraci!$A$1:$I$1500,8,0))</f>
        <v>9999</v>
      </c>
      <c r="AF222" s="473">
        <f ca="1">IF(N(AA222)=0,0,VLOOKUP(AA222,Hraci!$A$1:$I$1500,9,0))</f>
        <v>0</v>
      </c>
      <c r="AG222" s="474"/>
      <c r="AH222" s="480">
        <f ca="1">IF(TYPE(VLOOKUP(H222,Nasazení!$A$3:$E$258,5,0))&lt;4,VLOOKUP(H222,Nasazení!$A$3:$E$258,5,0),0)</f>
        <v>0</v>
      </c>
      <c r="AI222" s="475" t="str">
        <f ca="1">IF(N($AH222)&gt;0,VLOOKUP($AH222,Body!$A$4:$F$259,5,0),"")</f>
        <v/>
      </c>
      <c r="AJ222" s="476" t="str">
        <f ca="1">IF(N($AH222)&gt;0,VLOOKUP($AH222,Body!$A$4:$F$259,6,0),"")</f>
        <v/>
      </c>
      <c r="AK222" s="475" t="str">
        <f ca="1">IF(N($AH222)&gt;0,VLOOKUP($AH222,Body!$A$4:$F$259,2,0),"")</f>
        <v/>
      </c>
      <c r="AL222" s="477" t="str">
        <f t="shared" ca="1" si="78"/>
        <v/>
      </c>
      <c r="AM222" s="478">
        <f t="shared" ca="1" si="79"/>
        <v>0</v>
      </c>
      <c r="AN222" s="408">
        <f ca="1">IF(OR(TYPE(I222)&gt;1,TYPE(MATCH(I222,I223:I$267,0))&gt;1),0,MATCH(I222,I223:I$267,0))+IF(OR(TYPE(I222)&gt;1,TYPE(MATCH(I222,O$11:O$267,0))&gt;1),0,MATCH(I222,O$11:O$267,0))+IF(OR(TYPE(I222)&gt;1,TYPE(MATCH(I222,U$11:U$267,0))&gt;1),0,MATCH(I222,U$11:U$267,0))+IF(OR(TYPE(I222)&gt;1,TYPE(MATCH(I222,AA$11:AA$267,0))&gt;1),0,MATCH(I222,AA$11:AA$267,0))</f>
        <v>0</v>
      </c>
      <c r="AO222" s="408">
        <f ca="1">IF(OR(TYPE(O222)&gt;1,TYPE(MATCH(O222,I$11:I$267,0))&gt;1),0,MATCH(O222,I$11:I$267,0))+IF(OR(TYPE(O222)&gt;1,TYPE(MATCH(O222,O223:O$267,0))&gt;1),0,MATCH(O222,O223:O$267,0))+IF(OR(TYPE(O222)&gt;1,TYPE(MATCH(O222,U$11:U$267,0))&gt;1),0,MATCH(O222,U$11:U$267,0))+IF(OR(TYPE(O222)&gt;1,TYPE(MATCH(O222,AA$11:AA$267,0))&gt;1),0,MATCH(O222,AA$11:AA$267,0))</f>
        <v>0</v>
      </c>
      <c r="AP222" s="408">
        <f ca="1">IF(OR(TYPE(U222)&gt;1,TYPE(MATCH(U222,I$11:I$267,0))&gt;1),0,MATCH(U222,I$11:I$267,0))+IF(OR(TYPE(U222)&gt;1,TYPE(MATCH(U222,O$11:O$267,0))&gt;1),0,MATCH(U222,O$11:O$267,0))+IF(OR(TYPE(U222)&gt;1,TYPE(MATCH(U222,U223:U$267,0))&gt;1),0,MATCH(U222,U223:U$267,0))+IF(OR(TYPE(U222)&gt;1,TYPE(MATCH(U222,AA$11:AA$267,0))&gt;1),0,MATCH(U222,AA$11:AA$267,0))</f>
        <v>0</v>
      </c>
      <c r="AQ222" s="408">
        <f ca="1">IF(OR(TYPE(AA222)&gt;1,TYPE(MATCH(AA222,I$11:I$267,0))&gt;1),0,MATCH(AA222,I$11:I$267,0))+IF(OR(TYPE(AA222)&gt;1,TYPE(MATCH(AA222,O$11:O$267,0))&gt;1),0,MATCH(AA222,O$11:O$267,0))+IF(OR(TYPE(AA222)&gt;1,TYPE(MATCH(AA222,U$11:U$267,0))&gt;1),0,MATCH(U222,U$11:U$267,0))+IF(OR(TYPE(AA222)&gt;1,TYPE(MATCH(AA222,AA223:AA$267,0))&gt;1),0,MATCH(AA222,AA223:AA$267,0))</f>
        <v>0</v>
      </c>
      <c r="AR222" s="408">
        <f t="shared" ca="1" si="91"/>
        <v>0</v>
      </c>
      <c r="BF222" s="408">
        <f t="shared" si="92"/>
        <v>212</v>
      </c>
    </row>
    <row r="223" spans="1:58" ht="14.25">
      <c r="A223" s="430">
        <f t="shared" ca="1" si="81"/>
        <v>0</v>
      </c>
      <c r="B223" s="430">
        <f t="shared" ca="1" si="82"/>
        <v>0</v>
      </c>
      <c r="C223" s="430">
        <f t="shared" ca="1" si="83"/>
        <v>0</v>
      </c>
      <c r="D223" s="430">
        <f t="shared" ca="1" si="84"/>
        <v>99999</v>
      </c>
      <c r="E223" s="430">
        <f t="shared" ca="1" si="85"/>
        <v>9999</v>
      </c>
      <c r="F223" s="431" t="str">
        <f t="shared" ca="1" si="80"/>
        <v>00000000000000000000745006</v>
      </c>
      <c r="G223" s="467" t="b">
        <f t="shared" ca="1" si="86"/>
        <v>1</v>
      </c>
      <c r="H223" s="468">
        <f t="shared" si="77"/>
        <v>213</v>
      </c>
      <c r="I223" s="469" t="str">
        <f t="shared" ca="1" si="87"/>
        <v/>
      </c>
      <c r="J223" s="470" t="str">
        <f ca="1">IF(N(I223)&gt;0,VLOOKUP(I223,Hraci!$A$1:$I$1500,2,0),IF(TYPE(INDIRECT(ADDRESS(ROW() + $A$9-9 + (ROW()-11)*4,2,1,1,"Internet")))&gt;1,INDIRECT(ADDRESS(ROW() + $A$9-9 + (ROW()-11)*4,2,1,1,"Internet"))," "))</f>
        <v xml:space="preserve"> </v>
      </c>
      <c r="K223" s="471" t="str">
        <f ca="1">IF(N(I223)&gt;0,VLOOKUP(I223,Hraci!$A$1:$I$1500,3,0)," ")</f>
        <v xml:space="preserve"> </v>
      </c>
      <c r="L223" s="471" t="str">
        <f ca="1">IF(N(I223)&gt;0,VLOOKUP(I223,Hraci!$A$1:$I$1500,5,0),IF(TYPE(INDIRECT(ADDRESS(ROW() + $A$9-9 + (ROW()-11)*4,3,1,1,"Internet")))&gt;1,INDIRECT(ADDRESS(ROW() + $A$9-9 + (ROW()-11)*4,3,1,1,"Internet"))," "))</f>
        <v xml:space="preserve"> </v>
      </c>
      <c r="M223" s="472">
        <f ca="1">IF(N(I223)=0,9999,VLOOKUP(I223,Hraci!$A$1:$I$1500,8,0))</f>
        <v>9999</v>
      </c>
      <c r="N223" s="473">
        <f ca="1">IF(N(I223)=0,0,VLOOKUP(I223,Hraci!$A$1:$I$1500,9,0))</f>
        <v>0</v>
      </c>
      <c r="O223" s="469" t="str">
        <f t="shared" ca="1" si="88"/>
        <v/>
      </c>
      <c r="P223" s="470" t="str">
        <f ca="1">IF(N(O223)&gt;0,VLOOKUP(O223,Hraci!$A$1:$I$1500,2,0),IF(TYPE(INDIRECT(ADDRESS(ROW() + $A$9-8 + (ROW()-11)*4,2,1,1,"Internet")))&gt;1,INDIRECT(ADDRESS(ROW() + $A$9-8 + (ROW()-11)*4,2,1,1,"Internet"))," "))</f>
        <v xml:space="preserve"> </v>
      </c>
      <c r="Q223" s="471" t="str">
        <f ca="1">IF(N(O223)&gt;0,VLOOKUP(O223,Hraci!$A$1:$I$1500,3,0)," ")</f>
        <v xml:space="preserve"> </v>
      </c>
      <c r="R223" s="471" t="str">
        <f ca="1">IF(N(O223)&gt;0,VLOOKUP(O223,Hraci!$A$1:$I$1500,5,0),IF(TYPE(INDIRECT(ADDRESS(ROW() + $A$9-8 + (ROW()-11)*4,3,1,1,"Internet")))&gt;1,INDIRECT(ADDRESS(ROW() + $A$9-8 + (ROW()-11)*4,3,1,1,"Internet"))," "))</f>
        <v xml:space="preserve"> </v>
      </c>
      <c r="S223" s="472">
        <f ca="1">IF(N(O223)=0,9999,VLOOKUP(O223,Hraci!$A$1:$I$1500,8,0))</f>
        <v>9999</v>
      </c>
      <c r="T223" s="473">
        <f ca="1">IF(N(O223)=0,0,VLOOKUP(O223,Hraci!$A$1:$I$1500,9,0))</f>
        <v>0</v>
      </c>
      <c r="U223" s="469" t="str">
        <f t="shared" ca="1" si="89"/>
        <v/>
      </c>
      <c r="V223" s="470" t="str">
        <f ca="1">IF(N(U223)&gt;0,VLOOKUP(U223,Hraci!$A$1:$I$1500,2,0),IF(TYPE(INDIRECT(ADDRESS(ROW() + $A$9-7 + (ROW()-11)*4,2,1,1,"Internet")))&gt;1,INDIRECT(ADDRESS(ROW() + $A$9-7 + (ROW()-11)*4,2,1,1,"Internet"))," "))</f>
        <v xml:space="preserve"> </v>
      </c>
      <c r="W223" s="471" t="str">
        <f ca="1">IF(N(U223)&gt;0,VLOOKUP(U223,Hraci!$A$1:$I$1500,3,0)," ")</f>
        <v xml:space="preserve"> </v>
      </c>
      <c r="X223" s="471" t="str">
        <f ca="1">IF(N(U223)&gt;0,VLOOKUP(U223,Hraci!$A$1:$I$1500,5,0),IF(TYPE(INDIRECT(ADDRESS(ROW() + $A$9-7 + (ROW()-11)*4,3,1,1,"Internet")))&gt;1,INDIRECT(ADDRESS(ROW() + $A$9-7 + (ROW()-11)*4,3,1,1,"Internet"))," "))</f>
        <v xml:space="preserve"> </v>
      </c>
      <c r="Y223" s="472">
        <f ca="1">IF(N(U223)=0,9999,VLOOKUP(U223,Hraci!$A$1:$I$1500,8,0))</f>
        <v>9999</v>
      </c>
      <c r="Z223" s="473">
        <f ca="1">IF(N(U223)=0,0,VLOOKUP(U223,Hraci!$A$1:$I$1500,9,0))</f>
        <v>0</v>
      </c>
      <c r="AA223" s="469" t="str">
        <f t="shared" ca="1" si="90"/>
        <v/>
      </c>
      <c r="AB223" s="470" t="str">
        <f ca="1">IF(N(AA223)&gt;0,VLOOKUP(AA223,Hraci!$A$1:$I$1500,2,0)," ")</f>
        <v xml:space="preserve"> </v>
      </c>
      <c r="AC223" s="471" t="str">
        <f ca="1">IF(N(AA223)&gt;0,VLOOKUP(AA223,Hraci!$A$1:$I$1500,3,0)," ")</f>
        <v xml:space="preserve"> </v>
      </c>
      <c r="AD223" s="471" t="str">
        <f ca="1">IF(N(AA223)&gt;0,VLOOKUP(AA223,Hraci!$A$1:$I$1500,5,0)," ")</f>
        <v xml:space="preserve"> </v>
      </c>
      <c r="AE223" s="472">
        <f ca="1">IF(N(AA223)=0,9999,VLOOKUP(AA223,Hraci!$A$1:$I$1500,8,0))</f>
        <v>9999</v>
      </c>
      <c r="AF223" s="473">
        <f ca="1">IF(N(AA223)=0,0,VLOOKUP(AA223,Hraci!$A$1:$I$1500,9,0))</f>
        <v>0</v>
      </c>
      <c r="AG223" s="474"/>
      <c r="AH223" s="480">
        <f ca="1">IF(TYPE(VLOOKUP(H223,Nasazení!$A$3:$E$258,5,0))&lt;4,VLOOKUP(H223,Nasazení!$A$3:$E$258,5,0),0)</f>
        <v>0</v>
      </c>
      <c r="AI223" s="475" t="str">
        <f ca="1">IF(N($AH223)&gt;0,VLOOKUP($AH223,Body!$A$4:$F$259,5,0),"")</f>
        <v/>
      </c>
      <c r="AJ223" s="476" t="str">
        <f ca="1">IF(N($AH223)&gt;0,VLOOKUP($AH223,Body!$A$4:$F$259,6,0),"")</f>
        <v/>
      </c>
      <c r="AK223" s="475" t="str">
        <f ca="1">IF(N($AH223)&gt;0,VLOOKUP($AH223,Body!$A$4:$F$259,2,0),"")</f>
        <v/>
      </c>
      <c r="AL223" s="477" t="str">
        <f t="shared" ca="1" si="78"/>
        <v/>
      </c>
      <c r="AM223" s="478">
        <f t="shared" ca="1" si="79"/>
        <v>0</v>
      </c>
      <c r="AN223" s="408">
        <f ca="1">IF(OR(TYPE(I223)&gt;1,TYPE(MATCH(I223,I224:I$267,0))&gt;1),0,MATCH(I223,I224:I$267,0))+IF(OR(TYPE(I223)&gt;1,TYPE(MATCH(I223,O$11:O$267,0))&gt;1),0,MATCH(I223,O$11:O$267,0))+IF(OR(TYPE(I223)&gt;1,TYPE(MATCH(I223,U$11:U$267,0))&gt;1),0,MATCH(I223,U$11:U$267,0))+IF(OR(TYPE(I223)&gt;1,TYPE(MATCH(I223,AA$11:AA$267,0))&gt;1),0,MATCH(I223,AA$11:AA$267,0))</f>
        <v>0</v>
      </c>
      <c r="AO223" s="408">
        <f ca="1">IF(OR(TYPE(O223)&gt;1,TYPE(MATCH(O223,I$11:I$267,0))&gt;1),0,MATCH(O223,I$11:I$267,0))+IF(OR(TYPE(O223)&gt;1,TYPE(MATCH(O223,O224:O$267,0))&gt;1),0,MATCH(O223,O224:O$267,0))+IF(OR(TYPE(O223)&gt;1,TYPE(MATCH(O223,U$11:U$267,0))&gt;1),0,MATCH(O223,U$11:U$267,0))+IF(OR(TYPE(O223)&gt;1,TYPE(MATCH(O223,AA$11:AA$267,0))&gt;1),0,MATCH(O223,AA$11:AA$267,0))</f>
        <v>0</v>
      </c>
      <c r="AP223" s="408">
        <f ca="1">IF(OR(TYPE(U223)&gt;1,TYPE(MATCH(U223,I$11:I$267,0))&gt;1),0,MATCH(U223,I$11:I$267,0))+IF(OR(TYPE(U223)&gt;1,TYPE(MATCH(U223,O$11:O$267,0))&gt;1),0,MATCH(U223,O$11:O$267,0))+IF(OR(TYPE(U223)&gt;1,TYPE(MATCH(U223,U224:U$267,0))&gt;1),0,MATCH(U223,U224:U$267,0))+IF(OR(TYPE(U223)&gt;1,TYPE(MATCH(U223,AA$11:AA$267,0))&gt;1),0,MATCH(U223,AA$11:AA$267,0))</f>
        <v>0</v>
      </c>
      <c r="AQ223" s="408">
        <f ca="1">IF(OR(TYPE(AA223)&gt;1,TYPE(MATCH(AA223,I$11:I$267,0))&gt;1),0,MATCH(AA223,I$11:I$267,0))+IF(OR(TYPE(AA223)&gt;1,TYPE(MATCH(AA223,O$11:O$267,0))&gt;1),0,MATCH(AA223,O$11:O$267,0))+IF(OR(TYPE(AA223)&gt;1,TYPE(MATCH(AA223,U$11:U$267,0))&gt;1),0,MATCH(U223,U$11:U$267,0))+IF(OR(TYPE(AA223)&gt;1,TYPE(MATCH(AA223,AA224:AA$267,0))&gt;1),0,MATCH(AA223,AA224:AA$267,0))</f>
        <v>0</v>
      </c>
      <c r="AR223" s="408">
        <f t="shared" ca="1" si="91"/>
        <v>0</v>
      </c>
      <c r="BF223" s="408">
        <f t="shared" si="92"/>
        <v>213</v>
      </c>
    </row>
    <row r="224" spans="1:58" ht="14.25">
      <c r="A224" s="430">
        <f t="shared" ca="1" si="81"/>
        <v>0</v>
      </c>
      <c r="B224" s="430">
        <f t="shared" ca="1" si="82"/>
        <v>0</v>
      </c>
      <c r="C224" s="430">
        <f t="shared" ca="1" si="83"/>
        <v>0</v>
      </c>
      <c r="D224" s="430">
        <f t="shared" ca="1" si="84"/>
        <v>99999</v>
      </c>
      <c r="E224" s="430">
        <f t="shared" ca="1" si="85"/>
        <v>9999</v>
      </c>
      <c r="F224" s="431" t="str">
        <f t="shared" ca="1" si="80"/>
        <v>00000000000000000000970746</v>
      </c>
      <c r="G224" s="467" t="b">
        <f t="shared" ca="1" si="86"/>
        <v>1</v>
      </c>
      <c r="H224" s="468">
        <f t="shared" si="77"/>
        <v>214</v>
      </c>
      <c r="I224" s="469" t="str">
        <f t="shared" ca="1" si="87"/>
        <v/>
      </c>
      <c r="J224" s="470" t="str">
        <f ca="1">IF(N(I224)&gt;0,VLOOKUP(I224,Hraci!$A$1:$I$1500,2,0),IF(TYPE(INDIRECT(ADDRESS(ROW() + $A$9-9 + (ROW()-11)*4,2,1,1,"Internet")))&gt;1,INDIRECT(ADDRESS(ROW() + $A$9-9 + (ROW()-11)*4,2,1,1,"Internet"))," "))</f>
        <v xml:space="preserve"> </v>
      </c>
      <c r="K224" s="471" t="str">
        <f ca="1">IF(N(I224)&gt;0,VLOOKUP(I224,Hraci!$A$1:$I$1500,3,0)," ")</f>
        <v xml:space="preserve"> </v>
      </c>
      <c r="L224" s="471" t="str">
        <f ca="1">IF(N(I224)&gt;0,VLOOKUP(I224,Hraci!$A$1:$I$1500,5,0),IF(TYPE(INDIRECT(ADDRESS(ROW() + $A$9-9 + (ROW()-11)*4,3,1,1,"Internet")))&gt;1,INDIRECT(ADDRESS(ROW() + $A$9-9 + (ROW()-11)*4,3,1,1,"Internet"))," "))</f>
        <v xml:space="preserve"> </v>
      </c>
      <c r="M224" s="472">
        <f ca="1">IF(N(I224)=0,9999,VLOOKUP(I224,Hraci!$A$1:$I$1500,8,0))</f>
        <v>9999</v>
      </c>
      <c r="N224" s="473">
        <f ca="1">IF(N(I224)=0,0,VLOOKUP(I224,Hraci!$A$1:$I$1500,9,0))</f>
        <v>0</v>
      </c>
      <c r="O224" s="469" t="str">
        <f t="shared" ca="1" si="88"/>
        <v/>
      </c>
      <c r="P224" s="470" t="str">
        <f ca="1">IF(N(O224)&gt;0,VLOOKUP(O224,Hraci!$A$1:$I$1500,2,0),IF(TYPE(INDIRECT(ADDRESS(ROW() + $A$9-8 + (ROW()-11)*4,2,1,1,"Internet")))&gt;1,INDIRECT(ADDRESS(ROW() + $A$9-8 + (ROW()-11)*4,2,1,1,"Internet"))," "))</f>
        <v xml:space="preserve"> </v>
      </c>
      <c r="Q224" s="471" t="str">
        <f ca="1">IF(N(O224)&gt;0,VLOOKUP(O224,Hraci!$A$1:$I$1500,3,0)," ")</f>
        <v xml:space="preserve"> </v>
      </c>
      <c r="R224" s="471" t="str">
        <f ca="1">IF(N(O224)&gt;0,VLOOKUP(O224,Hraci!$A$1:$I$1500,5,0),IF(TYPE(INDIRECT(ADDRESS(ROW() + $A$9-8 + (ROW()-11)*4,3,1,1,"Internet")))&gt;1,INDIRECT(ADDRESS(ROW() + $A$9-8 + (ROW()-11)*4,3,1,1,"Internet"))," "))</f>
        <v xml:space="preserve"> </v>
      </c>
      <c r="S224" s="472">
        <f ca="1">IF(N(O224)=0,9999,VLOOKUP(O224,Hraci!$A$1:$I$1500,8,0))</f>
        <v>9999</v>
      </c>
      <c r="T224" s="473">
        <f ca="1">IF(N(O224)=0,0,VLOOKUP(O224,Hraci!$A$1:$I$1500,9,0))</f>
        <v>0</v>
      </c>
      <c r="U224" s="469" t="str">
        <f t="shared" ca="1" si="89"/>
        <v/>
      </c>
      <c r="V224" s="470" t="str">
        <f ca="1">IF(N(U224)&gt;0,VLOOKUP(U224,Hraci!$A$1:$I$1500,2,0),IF(TYPE(INDIRECT(ADDRESS(ROW() + $A$9-7 + (ROW()-11)*4,2,1,1,"Internet")))&gt;1,INDIRECT(ADDRESS(ROW() + $A$9-7 + (ROW()-11)*4,2,1,1,"Internet"))," "))</f>
        <v xml:space="preserve"> </v>
      </c>
      <c r="W224" s="471" t="str">
        <f ca="1">IF(N(U224)&gt;0,VLOOKUP(U224,Hraci!$A$1:$I$1500,3,0)," ")</f>
        <v xml:space="preserve"> </v>
      </c>
      <c r="X224" s="471" t="str">
        <f ca="1">IF(N(U224)&gt;0,VLOOKUP(U224,Hraci!$A$1:$I$1500,5,0),IF(TYPE(INDIRECT(ADDRESS(ROW() + $A$9-7 + (ROW()-11)*4,3,1,1,"Internet")))&gt;1,INDIRECT(ADDRESS(ROW() + $A$9-7 + (ROW()-11)*4,3,1,1,"Internet"))," "))</f>
        <v xml:space="preserve"> </v>
      </c>
      <c r="Y224" s="472">
        <f ca="1">IF(N(U224)=0,9999,VLOOKUP(U224,Hraci!$A$1:$I$1500,8,0))</f>
        <v>9999</v>
      </c>
      <c r="Z224" s="473">
        <f ca="1">IF(N(U224)=0,0,VLOOKUP(U224,Hraci!$A$1:$I$1500,9,0))</f>
        <v>0</v>
      </c>
      <c r="AA224" s="469" t="str">
        <f t="shared" ca="1" si="90"/>
        <v/>
      </c>
      <c r="AB224" s="470" t="str">
        <f ca="1">IF(N(AA224)&gt;0,VLOOKUP(AA224,Hraci!$A$1:$I$1500,2,0)," ")</f>
        <v xml:space="preserve"> </v>
      </c>
      <c r="AC224" s="471" t="str">
        <f ca="1">IF(N(AA224)&gt;0,VLOOKUP(AA224,Hraci!$A$1:$I$1500,3,0)," ")</f>
        <v xml:space="preserve"> </v>
      </c>
      <c r="AD224" s="471" t="str">
        <f ca="1">IF(N(AA224)&gt;0,VLOOKUP(AA224,Hraci!$A$1:$I$1500,5,0)," ")</f>
        <v xml:space="preserve"> </v>
      </c>
      <c r="AE224" s="472">
        <f ca="1">IF(N(AA224)=0,9999,VLOOKUP(AA224,Hraci!$A$1:$I$1500,8,0))</f>
        <v>9999</v>
      </c>
      <c r="AF224" s="473">
        <f ca="1">IF(N(AA224)=0,0,VLOOKUP(AA224,Hraci!$A$1:$I$1500,9,0))</f>
        <v>0</v>
      </c>
      <c r="AG224" s="474"/>
      <c r="AH224" s="480">
        <f ca="1">IF(TYPE(VLOOKUP(H224,Nasazení!$A$3:$E$258,5,0))&lt;4,VLOOKUP(H224,Nasazení!$A$3:$E$258,5,0),0)</f>
        <v>0</v>
      </c>
      <c r="AI224" s="475" t="str">
        <f ca="1">IF(N($AH224)&gt;0,VLOOKUP($AH224,Body!$A$4:$F$259,5,0),"")</f>
        <v/>
      </c>
      <c r="AJ224" s="476" t="str">
        <f ca="1">IF(N($AH224)&gt;0,VLOOKUP($AH224,Body!$A$4:$F$259,6,0),"")</f>
        <v/>
      </c>
      <c r="AK224" s="475" t="str">
        <f ca="1">IF(N($AH224)&gt;0,VLOOKUP($AH224,Body!$A$4:$F$259,2,0),"")</f>
        <v/>
      </c>
      <c r="AL224" s="477" t="str">
        <f t="shared" ca="1" si="78"/>
        <v/>
      </c>
      <c r="AM224" s="478">
        <f t="shared" ca="1" si="79"/>
        <v>0</v>
      </c>
      <c r="AN224" s="408">
        <f ca="1">IF(OR(TYPE(I224)&gt;1,TYPE(MATCH(I224,I225:I$267,0))&gt;1),0,MATCH(I224,I225:I$267,0))+IF(OR(TYPE(I224)&gt;1,TYPE(MATCH(I224,O$11:O$267,0))&gt;1),0,MATCH(I224,O$11:O$267,0))+IF(OR(TYPE(I224)&gt;1,TYPE(MATCH(I224,U$11:U$267,0))&gt;1),0,MATCH(I224,U$11:U$267,0))+IF(OR(TYPE(I224)&gt;1,TYPE(MATCH(I224,AA$11:AA$267,0))&gt;1),0,MATCH(I224,AA$11:AA$267,0))</f>
        <v>0</v>
      </c>
      <c r="AO224" s="408">
        <f ca="1">IF(OR(TYPE(O224)&gt;1,TYPE(MATCH(O224,I$11:I$267,0))&gt;1),0,MATCH(O224,I$11:I$267,0))+IF(OR(TYPE(O224)&gt;1,TYPE(MATCH(O224,O225:O$267,0))&gt;1),0,MATCH(O224,O225:O$267,0))+IF(OR(TYPE(O224)&gt;1,TYPE(MATCH(O224,U$11:U$267,0))&gt;1),0,MATCH(O224,U$11:U$267,0))+IF(OR(TYPE(O224)&gt;1,TYPE(MATCH(O224,AA$11:AA$267,0))&gt;1),0,MATCH(O224,AA$11:AA$267,0))</f>
        <v>0</v>
      </c>
      <c r="AP224" s="408">
        <f ca="1">IF(OR(TYPE(U224)&gt;1,TYPE(MATCH(U224,I$11:I$267,0))&gt;1),0,MATCH(U224,I$11:I$267,0))+IF(OR(TYPE(U224)&gt;1,TYPE(MATCH(U224,O$11:O$267,0))&gt;1),0,MATCH(U224,O$11:O$267,0))+IF(OR(TYPE(U224)&gt;1,TYPE(MATCH(U224,U225:U$267,0))&gt;1),0,MATCH(U224,U225:U$267,0))+IF(OR(TYPE(U224)&gt;1,TYPE(MATCH(U224,AA$11:AA$267,0))&gt;1),0,MATCH(U224,AA$11:AA$267,0))</f>
        <v>0</v>
      </c>
      <c r="AQ224" s="408">
        <f ca="1">IF(OR(TYPE(AA224)&gt;1,TYPE(MATCH(AA224,I$11:I$267,0))&gt;1),0,MATCH(AA224,I$11:I$267,0))+IF(OR(TYPE(AA224)&gt;1,TYPE(MATCH(AA224,O$11:O$267,0))&gt;1),0,MATCH(AA224,O$11:O$267,0))+IF(OR(TYPE(AA224)&gt;1,TYPE(MATCH(AA224,U$11:U$267,0))&gt;1),0,MATCH(U224,U$11:U$267,0))+IF(OR(TYPE(AA224)&gt;1,TYPE(MATCH(AA224,AA225:AA$267,0))&gt;1),0,MATCH(AA224,AA225:AA$267,0))</f>
        <v>0</v>
      </c>
      <c r="AR224" s="408">
        <f t="shared" ca="1" si="91"/>
        <v>0</v>
      </c>
      <c r="BF224" s="408">
        <f t="shared" si="92"/>
        <v>214</v>
      </c>
    </row>
    <row r="225" spans="1:58" ht="14.25">
      <c r="A225" s="430">
        <f t="shared" ca="1" si="81"/>
        <v>0</v>
      </c>
      <c r="B225" s="430">
        <f t="shared" ca="1" si="82"/>
        <v>0</v>
      </c>
      <c r="C225" s="430">
        <f t="shared" ca="1" si="83"/>
        <v>0</v>
      </c>
      <c r="D225" s="430">
        <f t="shared" ca="1" si="84"/>
        <v>99999</v>
      </c>
      <c r="E225" s="430">
        <f t="shared" ca="1" si="85"/>
        <v>9999</v>
      </c>
      <c r="F225" s="431" t="str">
        <f t="shared" ca="1" si="80"/>
        <v>00000000000000000000497651</v>
      </c>
      <c r="G225" s="467" t="b">
        <f t="shared" ca="1" si="86"/>
        <v>1</v>
      </c>
      <c r="H225" s="468">
        <f t="shared" si="77"/>
        <v>215</v>
      </c>
      <c r="I225" s="469" t="str">
        <f t="shared" ca="1" si="87"/>
        <v/>
      </c>
      <c r="J225" s="470" t="str">
        <f ca="1">IF(N(I225)&gt;0,VLOOKUP(I225,Hraci!$A$1:$I$1500,2,0),IF(TYPE(INDIRECT(ADDRESS(ROW() + $A$9-9 + (ROW()-11)*4,2,1,1,"Internet")))&gt;1,INDIRECT(ADDRESS(ROW() + $A$9-9 + (ROW()-11)*4,2,1,1,"Internet"))," "))</f>
        <v xml:space="preserve"> </v>
      </c>
      <c r="K225" s="471" t="str">
        <f ca="1">IF(N(I225)&gt;0,VLOOKUP(I225,Hraci!$A$1:$I$1500,3,0)," ")</f>
        <v xml:space="preserve"> </v>
      </c>
      <c r="L225" s="471" t="str">
        <f ca="1">IF(N(I225)&gt;0,VLOOKUP(I225,Hraci!$A$1:$I$1500,5,0),IF(TYPE(INDIRECT(ADDRESS(ROW() + $A$9-9 + (ROW()-11)*4,3,1,1,"Internet")))&gt;1,INDIRECT(ADDRESS(ROW() + $A$9-9 + (ROW()-11)*4,3,1,1,"Internet"))," "))</f>
        <v xml:space="preserve"> </v>
      </c>
      <c r="M225" s="472">
        <f ca="1">IF(N(I225)=0,9999,VLOOKUP(I225,Hraci!$A$1:$I$1500,8,0))</f>
        <v>9999</v>
      </c>
      <c r="N225" s="473">
        <f ca="1">IF(N(I225)=0,0,VLOOKUP(I225,Hraci!$A$1:$I$1500,9,0))</f>
        <v>0</v>
      </c>
      <c r="O225" s="469" t="str">
        <f t="shared" ca="1" si="88"/>
        <v/>
      </c>
      <c r="P225" s="470" t="str">
        <f ca="1">IF(N(O225)&gt;0,VLOOKUP(O225,Hraci!$A$1:$I$1500,2,0),IF(TYPE(INDIRECT(ADDRESS(ROW() + $A$9-8 + (ROW()-11)*4,2,1,1,"Internet")))&gt;1,INDIRECT(ADDRESS(ROW() + $A$9-8 + (ROW()-11)*4,2,1,1,"Internet"))," "))</f>
        <v xml:space="preserve"> </v>
      </c>
      <c r="Q225" s="471" t="str">
        <f ca="1">IF(N(O225)&gt;0,VLOOKUP(O225,Hraci!$A$1:$I$1500,3,0)," ")</f>
        <v xml:space="preserve"> </v>
      </c>
      <c r="R225" s="471" t="str">
        <f ca="1">IF(N(O225)&gt;0,VLOOKUP(O225,Hraci!$A$1:$I$1500,5,0),IF(TYPE(INDIRECT(ADDRESS(ROW() + $A$9-8 + (ROW()-11)*4,3,1,1,"Internet")))&gt;1,INDIRECT(ADDRESS(ROW() + $A$9-8 + (ROW()-11)*4,3,1,1,"Internet"))," "))</f>
        <v xml:space="preserve"> </v>
      </c>
      <c r="S225" s="472">
        <f ca="1">IF(N(O225)=0,9999,VLOOKUP(O225,Hraci!$A$1:$I$1500,8,0))</f>
        <v>9999</v>
      </c>
      <c r="T225" s="473">
        <f ca="1">IF(N(O225)=0,0,VLOOKUP(O225,Hraci!$A$1:$I$1500,9,0))</f>
        <v>0</v>
      </c>
      <c r="U225" s="469" t="str">
        <f t="shared" ca="1" si="89"/>
        <v/>
      </c>
      <c r="V225" s="470" t="str">
        <f ca="1">IF(N(U225)&gt;0,VLOOKUP(U225,Hraci!$A$1:$I$1500,2,0),IF(TYPE(INDIRECT(ADDRESS(ROW() + $A$9-7 + (ROW()-11)*4,2,1,1,"Internet")))&gt;1,INDIRECT(ADDRESS(ROW() + $A$9-7 + (ROW()-11)*4,2,1,1,"Internet"))," "))</f>
        <v xml:space="preserve"> </v>
      </c>
      <c r="W225" s="471" t="str">
        <f ca="1">IF(N(U225)&gt;0,VLOOKUP(U225,Hraci!$A$1:$I$1500,3,0)," ")</f>
        <v xml:space="preserve"> </v>
      </c>
      <c r="X225" s="471" t="str">
        <f ca="1">IF(N(U225)&gt;0,VLOOKUP(U225,Hraci!$A$1:$I$1500,5,0),IF(TYPE(INDIRECT(ADDRESS(ROW() + $A$9-7 + (ROW()-11)*4,3,1,1,"Internet")))&gt;1,INDIRECT(ADDRESS(ROW() + $A$9-7 + (ROW()-11)*4,3,1,1,"Internet"))," "))</f>
        <v xml:space="preserve"> </v>
      </c>
      <c r="Y225" s="472">
        <f ca="1">IF(N(U225)=0,9999,VLOOKUP(U225,Hraci!$A$1:$I$1500,8,0))</f>
        <v>9999</v>
      </c>
      <c r="Z225" s="473">
        <f ca="1">IF(N(U225)=0,0,VLOOKUP(U225,Hraci!$A$1:$I$1500,9,0))</f>
        <v>0</v>
      </c>
      <c r="AA225" s="469" t="str">
        <f t="shared" ca="1" si="90"/>
        <v/>
      </c>
      <c r="AB225" s="470" t="str">
        <f ca="1">IF(N(AA225)&gt;0,VLOOKUP(AA225,Hraci!$A$1:$I$1500,2,0)," ")</f>
        <v xml:space="preserve"> </v>
      </c>
      <c r="AC225" s="471" t="str">
        <f ca="1">IF(N(AA225)&gt;0,VLOOKUP(AA225,Hraci!$A$1:$I$1500,3,0)," ")</f>
        <v xml:space="preserve"> </v>
      </c>
      <c r="AD225" s="471" t="str">
        <f ca="1">IF(N(AA225)&gt;0,VLOOKUP(AA225,Hraci!$A$1:$I$1500,5,0)," ")</f>
        <v xml:space="preserve"> </v>
      </c>
      <c r="AE225" s="472">
        <f ca="1">IF(N(AA225)=0,9999,VLOOKUP(AA225,Hraci!$A$1:$I$1500,8,0))</f>
        <v>9999</v>
      </c>
      <c r="AF225" s="473">
        <f ca="1">IF(N(AA225)=0,0,VLOOKUP(AA225,Hraci!$A$1:$I$1500,9,0))</f>
        <v>0</v>
      </c>
      <c r="AG225" s="474"/>
      <c r="AH225" s="480">
        <f ca="1">IF(TYPE(VLOOKUP(H225,Nasazení!$A$3:$E$258,5,0))&lt;4,VLOOKUP(H225,Nasazení!$A$3:$E$258,5,0),0)</f>
        <v>0</v>
      </c>
      <c r="AI225" s="475" t="str">
        <f ca="1">IF(N($AH225)&gt;0,VLOOKUP($AH225,Body!$A$4:$F$259,5,0),"")</f>
        <v/>
      </c>
      <c r="AJ225" s="476" t="str">
        <f ca="1">IF(N($AH225)&gt;0,VLOOKUP($AH225,Body!$A$4:$F$259,6,0),"")</f>
        <v/>
      </c>
      <c r="AK225" s="475" t="str">
        <f ca="1">IF(N($AH225)&gt;0,VLOOKUP($AH225,Body!$A$4:$F$259,2,0),"")</f>
        <v/>
      </c>
      <c r="AL225" s="477" t="str">
        <f t="shared" ca="1" si="78"/>
        <v/>
      </c>
      <c r="AM225" s="478">
        <f t="shared" ca="1" si="79"/>
        <v>0</v>
      </c>
      <c r="AN225" s="408">
        <f ca="1">IF(OR(TYPE(I225)&gt;1,TYPE(MATCH(I225,I226:I$267,0))&gt;1),0,MATCH(I225,I226:I$267,0))+IF(OR(TYPE(I225)&gt;1,TYPE(MATCH(I225,O$11:O$267,0))&gt;1),0,MATCH(I225,O$11:O$267,0))+IF(OR(TYPE(I225)&gt;1,TYPE(MATCH(I225,U$11:U$267,0))&gt;1),0,MATCH(I225,U$11:U$267,0))+IF(OR(TYPE(I225)&gt;1,TYPE(MATCH(I225,AA$11:AA$267,0))&gt;1),0,MATCH(I225,AA$11:AA$267,0))</f>
        <v>0</v>
      </c>
      <c r="AO225" s="408">
        <f ca="1">IF(OR(TYPE(O225)&gt;1,TYPE(MATCH(O225,I$11:I$267,0))&gt;1),0,MATCH(O225,I$11:I$267,0))+IF(OR(TYPE(O225)&gt;1,TYPE(MATCH(O225,O226:O$267,0))&gt;1),0,MATCH(O225,O226:O$267,0))+IF(OR(TYPE(O225)&gt;1,TYPE(MATCH(O225,U$11:U$267,0))&gt;1),0,MATCH(O225,U$11:U$267,0))+IF(OR(TYPE(O225)&gt;1,TYPE(MATCH(O225,AA$11:AA$267,0))&gt;1),0,MATCH(O225,AA$11:AA$267,0))</f>
        <v>0</v>
      </c>
      <c r="AP225" s="408">
        <f ca="1">IF(OR(TYPE(U225)&gt;1,TYPE(MATCH(U225,I$11:I$267,0))&gt;1),0,MATCH(U225,I$11:I$267,0))+IF(OR(TYPE(U225)&gt;1,TYPE(MATCH(U225,O$11:O$267,0))&gt;1),0,MATCH(U225,O$11:O$267,0))+IF(OR(TYPE(U225)&gt;1,TYPE(MATCH(U225,U226:U$267,0))&gt;1),0,MATCH(U225,U226:U$267,0))+IF(OR(TYPE(U225)&gt;1,TYPE(MATCH(U225,AA$11:AA$267,0))&gt;1),0,MATCH(U225,AA$11:AA$267,0))</f>
        <v>0</v>
      </c>
      <c r="AQ225" s="408">
        <f ca="1">IF(OR(TYPE(AA225)&gt;1,TYPE(MATCH(AA225,I$11:I$267,0))&gt;1),0,MATCH(AA225,I$11:I$267,0))+IF(OR(TYPE(AA225)&gt;1,TYPE(MATCH(AA225,O$11:O$267,0))&gt;1),0,MATCH(AA225,O$11:O$267,0))+IF(OR(TYPE(AA225)&gt;1,TYPE(MATCH(AA225,U$11:U$267,0))&gt;1),0,MATCH(U225,U$11:U$267,0))+IF(OR(TYPE(AA225)&gt;1,TYPE(MATCH(AA225,AA226:AA$267,0))&gt;1),0,MATCH(AA225,AA226:AA$267,0))</f>
        <v>0</v>
      </c>
      <c r="AR225" s="408">
        <f t="shared" ca="1" si="91"/>
        <v>0</v>
      </c>
      <c r="BF225" s="408">
        <f t="shared" si="92"/>
        <v>215</v>
      </c>
    </row>
    <row r="226" spans="1:58" ht="14.25">
      <c r="A226" s="430">
        <f t="shared" ca="1" si="81"/>
        <v>0</v>
      </c>
      <c r="B226" s="430">
        <f t="shared" ca="1" si="82"/>
        <v>0</v>
      </c>
      <c r="C226" s="430">
        <f t="shared" ca="1" si="83"/>
        <v>0</v>
      </c>
      <c r="D226" s="430">
        <f t="shared" ca="1" si="84"/>
        <v>99999</v>
      </c>
      <c r="E226" s="430">
        <f t="shared" ca="1" si="85"/>
        <v>9999</v>
      </c>
      <c r="F226" s="431" t="str">
        <f t="shared" ca="1" si="80"/>
        <v>00000000000000000000948132</v>
      </c>
      <c r="G226" s="467" t="b">
        <f t="shared" ca="1" si="86"/>
        <v>1</v>
      </c>
      <c r="H226" s="468">
        <f t="shared" si="77"/>
        <v>216</v>
      </c>
      <c r="I226" s="469" t="str">
        <f t="shared" ca="1" si="87"/>
        <v/>
      </c>
      <c r="J226" s="470" t="str">
        <f ca="1">IF(N(I226)&gt;0,VLOOKUP(I226,Hraci!$A$1:$I$1500,2,0),IF(TYPE(INDIRECT(ADDRESS(ROW() + $A$9-9 + (ROW()-11)*4,2,1,1,"Internet")))&gt;1,INDIRECT(ADDRESS(ROW() + $A$9-9 + (ROW()-11)*4,2,1,1,"Internet"))," "))</f>
        <v xml:space="preserve"> </v>
      </c>
      <c r="K226" s="471" t="str">
        <f ca="1">IF(N(I226)&gt;0,VLOOKUP(I226,Hraci!$A$1:$I$1500,3,0)," ")</f>
        <v xml:space="preserve"> </v>
      </c>
      <c r="L226" s="471" t="str">
        <f ca="1">IF(N(I226)&gt;0,VLOOKUP(I226,Hraci!$A$1:$I$1500,5,0),IF(TYPE(INDIRECT(ADDRESS(ROW() + $A$9-9 + (ROW()-11)*4,3,1,1,"Internet")))&gt;1,INDIRECT(ADDRESS(ROW() + $A$9-9 + (ROW()-11)*4,3,1,1,"Internet"))," "))</f>
        <v xml:space="preserve"> </v>
      </c>
      <c r="M226" s="472">
        <f ca="1">IF(N(I226)=0,9999,VLOOKUP(I226,Hraci!$A$1:$I$1500,8,0))</f>
        <v>9999</v>
      </c>
      <c r="N226" s="473">
        <f ca="1">IF(N(I226)=0,0,VLOOKUP(I226,Hraci!$A$1:$I$1500,9,0))</f>
        <v>0</v>
      </c>
      <c r="O226" s="469" t="str">
        <f t="shared" ca="1" si="88"/>
        <v/>
      </c>
      <c r="P226" s="470" t="str">
        <f ca="1">IF(N(O226)&gt;0,VLOOKUP(O226,Hraci!$A$1:$I$1500,2,0),IF(TYPE(INDIRECT(ADDRESS(ROW() + $A$9-8 + (ROW()-11)*4,2,1,1,"Internet")))&gt;1,INDIRECT(ADDRESS(ROW() + $A$9-8 + (ROW()-11)*4,2,1,1,"Internet"))," "))</f>
        <v xml:space="preserve"> </v>
      </c>
      <c r="Q226" s="471" t="str">
        <f ca="1">IF(N(O226)&gt;0,VLOOKUP(O226,Hraci!$A$1:$I$1500,3,0)," ")</f>
        <v xml:space="preserve"> </v>
      </c>
      <c r="R226" s="471" t="str">
        <f ca="1">IF(N(O226)&gt;0,VLOOKUP(O226,Hraci!$A$1:$I$1500,5,0),IF(TYPE(INDIRECT(ADDRESS(ROW() + $A$9-8 + (ROW()-11)*4,3,1,1,"Internet")))&gt;1,INDIRECT(ADDRESS(ROW() + $A$9-8 + (ROW()-11)*4,3,1,1,"Internet"))," "))</f>
        <v xml:space="preserve"> </v>
      </c>
      <c r="S226" s="472">
        <f ca="1">IF(N(O226)=0,9999,VLOOKUP(O226,Hraci!$A$1:$I$1500,8,0))</f>
        <v>9999</v>
      </c>
      <c r="T226" s="473">
        <f ca="1">IF(N(O226)=0,0,VLOOKUP(O226,Hraci!$A$1:$I$1500,9,0))</f>
        <v>0</v>
      </c>
      <c r="U226" s="469" t="str">
        <f t="shared" ca="1" si="89"/>
        <v/>
      </c>
      <c r="V226" s="470" t="str">
        <f ca="1">IF(N(U226)&gt;0,VLOOKUP(U226,Hraci!$A$1:$I$1500,2,0),IF(TYPE(INDIRECT(ADDRESS(ROW() + $A$9-7 + (ROW()-11)*4,2,1,1,"Internet")))&gt;1,INDIRECT(ADDRESS(ROW() + $A$9-7 + (ROW()-11)*4,2,1,1,"Internet"))," "))</f>
        <v xml:space="preserve"> </v>
      </c>
      <c r="W226" s="471" t="str">
        <f ca="1">IF(N(U226)&gt;0,VLOOKUP(U226,Hraci!$A$1:$I$1500,3,0)," ")</f>
        <v xml:space="preserve"> </v>
      </c>
      <c r="X226" s="471" t="str">
        <f ca="1">IF(N(U226)&gt;0,VLOOKUP(U226,Hraci!$A$1:$I$1500,5,0),IF(TYPE(INDIRECT(ADDRESS(ROW() + $A$9-7 + (ROW()-11)*4,3,1,1,"Internet")))&gt;1,INDIRECT(ADDRESS(ROW() + $A$9-7 + (ROW()-11)*4,3,1,1,"Internet"))," "))</f>
        <v xml:space="preserve"> </v>
      </c>
      <c r="Y226" s="472">
        <f ca="1">IF(N(U226)=0,9999,VLOOKUP(U226,Hraci!$A$1:$I$1500,8,0))</f>
        <v>9999</v>
      </c>
      <c r="Z226" s="473">
        <f ca="1">IF(N(U226)=0,0,VLOOKUP(U226,Hraci!$A$1:$I$1500,9,0))</f>
        <v>0</v>
      </c>
      <c r="AA226" s="469" t="str">
        <f t="shared" ca="1" si="90"/>
        <v/>
      </c>
      <c r="AB226" s="470" t="str">
        <f ca="1">IF(N(AA226)&gt;0,VLOOKUP(AA226,Hraci!$A$1:$I$1500,2,0)," ")</f>
        <v xml:space="preserve"> </v>
      </c>
      <c r="AC226" s="471" t="str">
        <f ca="1">IF(N(AA226)&gt;0,VLOOKUP(AA226,Hraci!$A$1:$I$1500,3,0)," ")</f>
        <v xml:space="preserve"> </v>
      </c>
      <c r="AD226" s="471" t="str">
        <f ca="1">IF(N(AA226)&gt;0,VLOOKUP(AA226,Hraci!$A$1:$I$1500,5,0)," ")</f>
        <v xml:space="preserve"> </v>
      </c>
      <c r="AE226" s="472">
        <f ca="1">IF(N(AA226)=0,9999,VLOOKUP(AA226,Hraci!$A$1:$I$1500,8,0))</f>
        <v>9999</v>
      </c>
      <c r="AF226" s="473">
        <f ca="1">IF(N(AA226)=0,0,VLOOKUP(AA226,Hraci!$A$1:$I$1500,9,0))</f>
        <v>0</v>
      </c>
      <c r="AG226" s="474"/>
      <c r="AH226" s="480">
        <f ca="1">IF(TYPE(VLOOKUP(H226,Nasazení!$A$3:$E$258,5,0))&lt;4,VLOOKUP(H226,Nasazení!$A$3:$E$258,5,0),0)</f>
        <v>0</v>
      </c>
      <c r="AI226" s="475" t="str">
        <f ca="1">IF(N($AH226)&gt;0,VLOOKUP($AH226,Body!$A$4:$F$259,5,0),"")</f>
        <v/>
      </c>
      <c r="AJ226" s="476" t="str">
        <f ca="1">IF(N($AH226)&gt;0,VLOOKUP($AH226,Body!$A$4:$F$259,6,0),"")</f>
        <v/>
      </c>
      <c r="AK226" s="475" t="str">
        <f ca="1">IF(N($AH226)&gt;0,VLOOKUP($AH226,Body!$A$4:$F$259,2,0),"")</f>
        <v/>
      </c>
      <c r="AL226" s="477" t="str">
        <f t="shared" ca="1" si="78"/>
        <v/>
      </c>
      <c r="AM226" s="478">
        <f t="shared" ca="1" si="79"/>
        <v>0</v>
      </c>
      <c r="AN226" s="408">
        <f ca="1">IF(OR(TYPE(I226)&gt;1,TYPE(MATCH(I226,I227:I$267,0))&gt;1),0,MATCH(I226,I227:I$267,0))+IF(OR(TYPE(I226)&gt;1,TYPE(MATCH(I226,O$11:O$267,0))&gt;1),0,MATCH(I226,O$11:O$267,0))+IF(OR(TYPE(I226)&gt;1,TYPE(MATCH(I226,U$11:U$267,0))&gt;1),0,MATCH(I226,U$11:U$267,0))+IF(OR(TYPE(I226)&gt;1,TYPE(MATCH(I226,AA$11:AA$267,0))&gt;1),0,MATCH(I226,AA$11:AA$267,0))</f>
        <v>0</v>
      </c>
      <c r="AO226" s="408">
        <f ca="1">IF(OR(TYPE(O226)&gt;1,TYPE(MATCH(O226,I$11:I$267,0))&gt;1),0,MATCH(O226,I$11:I$267,0))+IF(OR(TYPE(O226)&gt;1,TYPE(MATCH(O226,O227:O$267,0))&gt;1),0,MATCH(O226,O227:O$267,0))+IF(OR(TYPE(O226)&gt;1,TYPE(MATCH(O226,U$11:U$267,0))&gt;1),0,MATCH(O226,U$11:U$267,0))+IF(OR(TYPE(O226)&gt;1,TYPE(MATCH(O226,AA$11:AA$267,0))&gt;1),0,MATCH(O226,AA$11:AA$267,0))</f>
        <v>0</v>
      </c>
      <c r="AP226" s="408">
        <f ca="1">IF(OR(TYPE(U226)&gt;1,TYPE(MATCH(U226,I$11:I$267,0))&gt;1),0,MATCH(U226,I$11:I$267,0))+IF(OR(TYPE(U226)&gt;1,TYPE(MATCH(U226,O$11:O$267,0))&gt;1),0,MATCH(U226,O$11:O$267,0))+IF(OR(TYPE(U226)&gt;1,TYPE(MATCH(U226,U227:U$267,0))&gt;1),0,MATCH(U226,U227:U$267,0))+IF(OR(TYPE(U226)&gt;1,TYPE(MATCH(U226,AA$11:AA$267,0))&gt;1),0,MATCH(U226,AA$11:AA$267,0))</f>
        <v>0</v>
      </c>
      <c r="AQ226" s="408">
        <f ca="1">IF(OR(TYPE(AA226)&gt;1,TYPE(MATCH(AA226,I$11:I$267,0))&gt;1),0,MATCH(AA226,I$11:I$267,0))+IF(OR(TYPE(AA226)&gt;1,TYPE(MATCH(AA226,O$11:O$267,0))&gt;1),0,MATCH(AA226,O$11:O$267,0))+IF(OR(TYPE(AA226)&gt;1,TYPE(MATCH(AA226,U$11:U$267,0))&gt;1),0,MATCH(U226,U$11:U$267,0))+IF(OR(TYPE(AA226)&gt;1,TYPE(MATCH(AA226,AA227:AA$267,0))&gt;1),0,MATCH(AA226,AA227:AA$267,0))</f>
        <v>0</v>
      </c>
      <c r="AR226" s="408">
        <f t="shared" ca="1" si="91"/>
        <v>0</v>
      </c>
      <c r="BF226" s="408">
        <f t="shared" si="92"/>
        <v>216</v>
      </c>
    </row>
    <row r="227" spans="1:58" ht="14.25">
      <c r="A227" s="430">
        <f t="shared" ca="1" si="81"/>
        <v>0</v>
      </c>
      <c r="B227" s="430">
        <f t="shared" ca="1" si="82"/>
        <v>0</v>
      </c>
      <c r="C227" s="430">
        <f t="shared" ca="1" si="83"/>
        <v>0</v>
      </c>
      <c r="D227" s="430">
        <f t="shared" ca="1" si="84"/>
        <v>99999</v>
      </c>
      <c r="E227" s="430">
        <f t="shared" ca="1" si="85"/>
        <v>9999</v>
      </c>
      <c r="F227" s="431" t="str">
        <f t="shared" ca="1" si="80"/>
        <v>00000000000000000000222590</v>
      </c>
      <c r="G227" s="467" t="b">
        <f t="shared" ca="1" si="86"/>
        <v>1</v>
      </c>
      <c r="H227" s="468">
        <f t="shared" si="77"/>
        <v>217</v>
      </c>
      <c r="I227" s="469" t="str">
        <f t="shared" ca="1" si="87"/>
        <v/>
      </c>
      <c r="J227" s="470" t="str">
        <f ca="1">IF(N(I227)&gt;0,VLOOKUP(I227,Hraci!$A$1:$I$1500,2,0),IF(TYPE(INDIRECT(ADDRESS(ROW() + $A$9-9 + (ROW()-11)*4,2,1,1,"Internet")))&gt;1,INDIRECT(ADDRESS(ROW() + $A$9-9 + (ROW()-11)*4,2,1,1,"Internet"))," "))</f>
        <v xml:space="preserve"> </v>
      </c>
      <c r="K227" s="471" t="str">
        <f ca="1">IF(N(I227)&gt;0,VLOOKUP(I227,Hraci!$A$1:$I$1500,3,0)," ")</f>
        <v xml:space="preserve"> </v>
      </c>
      <c r="L227" s="471" t="str">
        <f ca="1">IF(N(I227)&gt;0,VLOOKUP(I227,Hraci!$A$1:$I$1500,5,0),IF(TYPE(INDIRECT(ADDRESS(ROW() + $A$9-9 + (ROW()-11)*4,3,1,1,"Internet")))&gt;1,INDIRECT(ADDRESS(ROW() + $A$9-9 + (ROW()-11)*4,3,1,1,"Internet"))," "))</f>
        <v xml:space="preserve"> </v>
      </c>
      <c r="M227" s="472">
        <f ca="1">IF(N(I227)=0,9999,VLOOKUP(I227,Hraci!$A$1:$I$1500,8,0))</f>
        <v>9999</v>
      </c>
      <c r="N227" s="473">
        <f ca="1">IF(N(I227)=0,0,VLOOKUP(I227,Hraci!$A$1:$I$1500,9,0))</f>
        <v>0</v>
      </c>
      <c r="O227" s="469" t="str">
        <f t="shared" ca="1" si="88"/>
        <v/>
      </c>
      <c r="P227" s="470" t="str">
        <f ca="1">IF(N(O227)&gt;0,VLOOKUP(O227,Hraci!$A$1:$I$1500,2,0),IF(TYPE(INDIRECT(ADDRESS(ROW() + $A$9-8 + (ROW()-11)*4,2,1,1,"Internet")))&gt;1,INDIRECT(ADDRESS(ROW() + $A$9-8 + (ROW()-11)*4,2,1,1,"Internet"))," "))</f>
        <v xml:space="preserve"> </v>
      </c>
      <c r="Q227" s="471" t="str">
        <f ca="1">IF(N(O227)&gt;0,VLOOKUP(O227,Hraci!$A$1:$I$1500,3,0)," ")</f>
        <v xml:space="preserve"> </v>
      </c>
      <c r="R227" s="471" t="str">
        <f ca="1">IF(N(O227)&gt;0,VLOOKUP(O227,Hraci!$A$1:$I$1500,5,0),IF(TYPE(INDIRECT(ADDRESS(ROW() + $A$9-8 + (ROW()-11)*4,3,1,1,"Internet")))&gt;1,INDIRECT(ADDRESS(ROW() + $A$9-8 + (ROW()-11)*4,3,1,1,"Internet"))," "))</f>
        <v xml:space="preserve"> </v>
      </c>
      <c r="S227" s="472">
        <f ca="1">IF(N(O227)=0,9999,VLOOKUP(O227,Hraci!$A$1:$I$1500,8,0))</f>
        <v>9999</v>
      </c>
      <c r="T227" s="473">
        <f ca="1">IF(N(O227)=0,0,VLOOKUP(O227,Hraci!$A$1:$I$1500,9,0))</f>
        <v>0</v>
      </c>
      <c r="U227" s="469" t="str">
        <f t="shared" ca="1" si="89"/>
        <v/>
      </c>
      <c r="V227" s="470" t="str">
        <f ca="1">IF(N(U227)&gt;0,VLOOKUP(U227,Hraci!$A$1:$I$1500,2,0),IF(TYPE(INDIRECT(ADDRESS(ROW() + $A$9-7 + (ROW()-11)*4,2,1,1,"Internet")))&gt;1,INDIRECT(ADDRESS(ROW() + $A$9-7 + (ROW()-11)*4,2,1,1,"Internet"))," "))</f>
        <v xml:space="preserve"> </v>
      </c>
      <c r="W227" s="471" t="str">
        <f ca="1">IF(N(U227)&gt;0,VLOOKUP(U227,Hraci!$A$1:$I$1500,3,0)," ")</f>
        <v xml:space="preserve"> </v>
      </c>
      <c r="X227" s="471" t="str">
        <f ca="1">IF(N(U227)&gt;0,VLOOKUP(U227,Hraci!$A$1:$I$1500,5,0),IF(TYPE(INDIRECT(ADDRESS(ROW() + $A$9-7 + (ROW()-11)*4,3,1,1,"Internet")))&gt;1,INDIRECT(ADDRESS(ROW() + $A$9-7 + (ROW()-11)*4,3,1,1,"Internet"))," "))</f>
        <v xml:space="preserve"> </v>
      </c>
      <c r="Y227" s="472">
        <f ca="1">IF(N(U227)=0,9999,VLOOKUP(U227,Hraci!$A$1:$I$1500,8,0))</f>
        <v>9999</v>
      </c>
      <c r="Z227" s="473">
        <f ca="1">IF(N(U227)=0,0,VLOOKUP(U227,Hraci!$A$1:$I$1500,9,0))</f>
        <v>0</v>
      </c>
      <c r="AA227" s="469" t="str">
        <f t="shared" ca="1" si="90"/>
        <v/>
      </c>
      <c r="AB227" s="470" t="str">
        <f ca="1">IF(N(AA227)&gt;0,VLOOKUP(AA227,Hraci!$A$1:$I$1500,2,0)," ")</f>
        <v xml:space="preserve"> </v>
      </c>
      <c r="AC227" s="471" t="str">
        <f ca="1">IF(N(AA227)&gt;0,VLOOKUP(AA227,Hraci!$A$1:$I$1500,3,0)," ")</f>
        <v xml:space="preserve"> </v>
      </c>
      <c r="AD227" s="471" t="str">
        <f ca="1">IF(N(AA227)&gt;0,VLOOKUP(AA227,Hraci!$A$1:$I$1500,5,0)," ")</f>
        <v xml:space="preserve"> </v>
      </c>
      <c r="AE227" s="472">
        <f ca="1">IF(N(AA227)=0,9999,VLOOKUP(AA227,Hraci!$A$1:$I$1500,8,0))</f>
        <v>9999</v>
      </c>
      <c r="AF227" s="473">
        <f ca="1">IF(N(AA227)=0,0,VLOOKUP(AA227,Hraci!$A$1:$I$1500,9,0))</f>
        <v>0</v>
      </c>
      <c r="AG227" s="474"/>
      <c r="AH227" s="480">
        <f ca="1">IF(TYPE(VLOOKUP(H227,Nasazení!$A$3:$E$258,5,0))&lt;4,VLOOKUP(H227,Nasazení!$A$3:$E$258,5,0),0)</f>
        <v>0</v>
      </c>
      <c r="AI227" s="475" t="str">
        <f ca="1">IF(N($AH227)&gt;0,VLOOKUP($AH227,Body!$A$4:$F$259,5,0),"")</f>
        <v/>
      </c>
      <c r="AJ227" s="476" t="str">
        <f ca="1">IF(N($AH227)&gt;0,VLOOKUP($AH227,Body!$A$4:$F$259,6,0),"")</f>
        <v/>
      </c>
      <c r="AK227" s="475" t="str">
        <f ca="1">IF(N($AH227)&gt;0,VLOOKUP($AH227,Body!$A$4:$F$259,2,0),"")</f>
        <v/>
      </c>
      <c r="AL227" s="477" t="str">
        <f t="shared" ca="1" si="78"/>
        <v/>
      </c>
      <c r="AM227" s="478">
        <f t="shared" ca="1" si="79"/>
        <v>0</v>
      </c>
      <c r="AN227" s="408">
        <f ca="1">IF(OR(TYPE(I227)&gt;1,TYPE(MATCH(I227,I228:I$267,0))&gt;1),0,MATCH(I227,I228:I$267,0))+IF(OR(TYPE(I227)&gt;1,TYPE(MATCH(I227,O$11:O$267,0))&gt;1),0,MATCH(I227,O$11:O$267,0))+IF(OR(TYPE(I227)&gt;1,TYPE(MATCH(I227,U$11:U$267,0))&gt;1),0,MATCH(I227,U$11:U$267,0))+IF(OR(TYPE(I227)&gt;1,TYPE(MATCH(I227,AA$11:AA$267,0))&gt;1),0,MATCH(I227,AA$11:AA$267,0))</f>
        <v>0</v>
      </c>
      <c r="AO227" s="408">
        <f ca="1">IF(OR(TYPE(O227)&gt;1,TYPE(MATCH(O227,I$11:I$267,0))&gt;1),0,MATCH(O227,I$11:I$267,0))+IF(OR(TYPE(O227)&gt;1,TYPE(MATCH(O227,O228:O$267,0))&gt;1),0,MATCH(O227,O228:O$267,0))+IF(OR(TYPE(O227)&gt;1,TYPE(MATCH(O227,U$11:U$267,0))&gt;1),0,MATCH(O227,U$11:U$267,0))+IF(OR(TYPE(O227)&gt;1,TYPE(MATCH(O227,AA$11:AA$267,0))&gt;1),0,MATCH(O227,AA$11:AA$267,0))</f>
        <v>0</v>
      </c>
      <c r="AP227" s="408">
        <f ca="1">IF(OR(TYPE(U227)&gt;1,TYPE(MATCH(U227,I$11:I$267,0))&gt;1),0,MATCH(U227,I$11:I$267,0))+IF(OR(TYPE(U227)&gt;1,TYPE(MATCH(U227,O$11:O$267,0))&gt;1),0,MATCH(U227,O$11:O$267,0))+IF(OR(TYPE(U227)&gt;1,TYPE(MATCH(U227,U228:U$267,0))&gt;1),0,MATCH(U227,U228:U$267,0))+IF(OR(TYPE(U227)&gt;1,TYPE(MATCH(U227,AA$11:AA$267,0))&gt;1),0,MATCH(U227,AA$11:AA$267,0))</f>
        <v>0</v>
      </c>
      <c r="AQ227" s="408">
        <f ca="1">IF(OR(TYPE(AA227)&gt;1,TYPE(MATCH(AA227,I$11:I$267,0))&gt;1),0,MATCH(AA227,I$11:I$267,0))+IF(OR(TYPE(AA227)&gt;1,TYPE(MATCH(AA227,O$11:O$267,0))&gt;1),0,MATCH(AA227,O$11:O$267,0))+IF(OR(TYPE(AA227)&gt;1,TYPE(MATCH(AA227,U$11:U$267,0))&gt;1),0,MATCH(U227,U$11:U$267,0))+IF(OR(TYPE(AA227)&gt;1,TYPE(MATCH(AA227,AA228:AA$267,0))&gt;1),0,MATCH(AA227,AA228:AA$267,0))</f>
        <v>0</v>
      </c>
      <c r="AR227" s="408">
        <f t="shared" ca="1" si="91"/>
        <v>0</v>
      </c>
      <c r="BF227" s="408">
        <f t="shared" si="92"/>
        <v>217</v>
      </c>
    </row>
    <row r="228" spans="1:58" ht="14.25">
      <c r="A228" s="430">
        <f t="shared" ca="1" si="81"/>
        <v>0</v>
      </c>
      <c r="B228" s="430">
        <f t="shared" ca="1" si="82"/>
        <v>0</v>
      </c>
      <c r="C228" s="430">
        <f t="shared" ca="1" si="83"/>
        <v>0</v>
      </c>
      <c r="D228" s="430">
        <f t="shared" ca="1" si="84"/>
        <v>99999</v>
      </c>
      <c r="E228" s="430">
        <f t="shared" ca="1" si="85"/>
        <v>9999</v>
      </c>
      <c r="F228" s="431" t="str">
        <f t="shared" ca="1" si="80"/>
        <v>00000000000000000000350259</v>
      </c>
      <c r="G228" s="467" t="b">
        <f t="shared" ca="1" si="86"/>
        <v>1</v>
      </c>
      <c r="H228" s="468">
        <f t="shared" si="77"/>
        <v>218</v>
      </c>
      <c r="I228" s="469" t="str">
        <f t="shared" ca="1" si="87"/>
        <v/>
      </c>
      <c r="J228" s="470" t="str">
        <f ca="1">IF(N(I228)&gt;0,VLOOKUP(I228,Hraci!$A$1:$I$1500,2,0),IF(TYPE(INDIRECT(ADDRESS(ROW() + $A$9-9 + (ROW()-11)*4,2,1,1,"Internet")))&gt;1,INDIRECT(ADDRESS(ROW() + $A$9-9 + (ROW()-11)*4,2,1,1,"Internet"))," "))</f>
        <v xml:space="preserve"> </v>
      </c>
      <c r="K228" s="471" t="str">
        <f ca="1">IF(N(I228)&gt;0,VLOOKUP(I228,Hraci!$A$1:$I$1500,3,0)," ")</f>
        <v xml:space="preserve"> </v>
      </c>
      <c r="L228" s="471" t="str">
        <f ca="1">IF(N(I228)&gt;0,VLOOKUP(I228,Hraci!$A$1:$I$1500,5,0),IF(TYPE(INDIRECT(ADDRESS(ROW() + $A$9-9 + (ROW()-11)*4,3,1,1,"Internet")))&gt;1,INDIRECT(ADDRESS(ROW() + $A$9-9 + (ROW()-11)*4,3,1,1,"Internet"))," "))</f>
        <v xml:space="preserve"> </v>
      </c>
      <c r="M228" s="472">
        <f ca="1">IF(N(I228)=0,9999,VLOOKUP(I228,Hraci!$A$1:$I$1500,8,0))</f>
        <v>9999</v>
      </c>
      <c r="N228" s="473">
        <f ca="1">IF(N(I228)=0,0,VLOOKUP(I228,Hraci!$A$1:$I$1500,9,0))</f>
        <v>0</v>
      </c>
      <c r="O228" s="469" t="str">
        <f t="shared" ca="1" si="88"/>
        <v/>
      </c>
      <c r="P228" s="470" t="str">
        <f ca="1">IF(N(O228)&gt;0,VLOOKUP(O228,Hraci!$A$1:$I$1500,2,0),IF(TYPE(INDIRECT(ADDRESS(ROW() + $A$9-8 + (ROW()-11)*4,2,1,1,"Internet")))&gt;1,INDIRECT(ADDRESS(ROW() + $A$9-8 + (ROW()-11)*4,2,1,1,"Internet"))," "))</f>
        <v xml:space="preserve"> </v>
      </c>
      <c r="Q228" s="471" t="str">
        <f ca="1">IF(N(O228)&gt;0,VLOOKUP(O228,Hraci!$A$1:$I$1500,3,0)," ")</f>
        <v xml:space="preserve"> </v>
      </c>
      <c r="R228" s="471" t="str">
        <f ca="1">IF(N(O228)&gt;0,VLOOKUP(O228,Hraci!$A$1:$I$1500,5,0),IF(TYPE(INDIRECT(ADDRESS(ROW() + $A$9-8 + (ROW()-11)*4,3,1,1,"Internet")))&gt;1,INDIRECT(ADDRESS(ROW() + $A$9-8 + (ROW()-11)*4,3,1,1,"Internet"))," "))</f>
        <v xml:space="preserve"> </v>
      </c>
      <c r="S228" s="472">
        <f ca="1">IF(N(O228)=0,9999,VLOOKUP(O228,Hraci!$A$1:$I$1500,8,0))</f>
        <v>9999</v>
      </c>
      <c r="T228" s="473">
        <f ca="1">IF(N(O228)=0,0,VLOOKUP(O228,Hraci!$A$1:$I$1500,9,0))</f>
        <v>0</v>
      </c>
      <c r="U228" s="469" t="str">
        <f t="shared" ca="1" si="89"/>
        <v/>
      </c>
      <c r="V228" s="470" t="str">
        <f ca="1">IF(N(U228)&gt;0,VLOOKUP(U228,Hraci!$A$1:$I$1500,2,0),IF(TYPE(INDIRECT(ADDRESS(ROW() + $A$9-7 + (ROW()-11)*4,2,1,1,"Internet")))&gt;1,INDIRECT(ADDRESS(ROW() + $A$9-7 + (ROW()-11)*4,2,1,1,"Internet"))," "))</f>
        <v xml:space="preserve"> </v>
      </c>
      <c r="W228" s="471" t="str">
        <f ca="1">IF(N(U228)&gt;0,VLOOKUP(U228,Hraci!$A$1:$I$1500,3,0)," ")</f>
        <v xml:space="preserve"> </v>
      </c>
      <c r="X228" s="471" t="str">
        <f ca="1">IF(N(U228)&gt;0,VLOOKUP(U228,Hraci!$A$1:$I$1500,5,0),IF(TYPE(INDIRECT(ADDRESS(ROW() + $A$9-7 + (ROW()-11)*4,3,1,1,"Internet")))&gt;1,INDIRECT(ADDRESS(ROW() + $A$9-7 + (ROW()-11)*4,3,1,1,"Internet"))," "))</f>
        <v xml:space="preserve"> </v>
      </c>
      <c r="Y228" s="472">
        <f ca="1">IF(N(U228)=0,9999,VLOOKUP(U228,Hraci!$A$1:$I$1500,8,0))</f>
        <v>9999</v>
      </c>
      <c r="Z228" s="473">
        <f ca="1">IF(N(U228)=0,0,VLOOKUP(U228,Hraci!$A$1:$I$1500,9,0))</f>
        <v>0</v>
      </c>
      <c r="AA228" s="469" t="str">
        <f t="shared" ca="1" si="90"/>
        <v/>
      </c>
      <c r="AB228" s="470" t="str">
        <f ca="1">IF(N(AA228)&gt;0,VLOOKUP(AA228,Hraci!$A$1:$I$1500,2,0)," ")</f>
        <v xml:space="preserve"> </v>
      </c>
      <c r="AC228" s="471" t="str">
        <f ca="1">IF(N(AA228)&gt;0,VLOOKUP(AA228,Hraci!$A$1:$I$1500,3,0)," ")</f>
        <v xml:space="preserve"> </v>
      </c>
      <c r="AD228" s="471" t="str">
        <f ca="1">IF(N(AA228)&gt;0,VLOOKUP(AA228,Hraci!$A$1:$I$1500,5,0)," ")</f>
        <v xml:space="preserve"> </v>
      </c>
      <c r="AE228" s="472">
        <f ca="1">IF(N(AA228)=0,9999,VLOOKUP(AA228,Hraci!$A$1:$I$1500,8,0))</f>
        <v>9999</v>
      </c>
      <c r="AF228" s="473">
        <f ca="1">IF(N(AA228)=0,0,VLOOKUP(AA228,Hraci!$A$1:$I$1500,9,0))</f>
        <v>0</v>
      </c>
      <c r="AG228" s="474"/>
      <c r="AH228" s="480">
        <f ca="1">IF(TYPE(VLOOKUP(H228,Nasazení!$A$3:$E$258,5,0))&lt;4,VLOOKUP(H228,Nasazení!$A$3:$E$258,5,0),0)</f>
        <v>0</v>
      </c>
      <c r="AI228" s="475" t="str">
        <f ca="1">IF(N($AH228)&gt;0,VLOOKUP($AH228,Body!$A$4:$F$259,5,0),"")</f>
        <v/>
      </c>
      <c r="AJ228" s="476" t="str">
        <f ca="1">IF(N($AH228)&gt;0,VLOOKUP($AH228,Body!$A$4:$F$259,6,0),"")</f>
        <v/>
      </c>
      <c r="AK228" s="475" t="str">
        <f ca="1">IF(N($AH228)&gt;0,VLOOKUP($AH228,Body!$A$4:$F$259,2,0),"")</f>
        <v/>
      </c>
      <c r="AL228" s="477" t="str">
        <f t="shared" ca="1" si="78"/>
        <v/>
      </c>
      <c r="AM228" s="478">
        <f t="shared" ca="1" si="79"/>
        <v>0</v>
      </c>
      <c r="AN228" s="408">
        <f ca="1">IF(OR(TYPE(I228)&gt;1,TYPE(MATCH(I228,I229:I$267,0))&gt;1),0,MATCH(I228,I229:I$267,0))+IF(OR(TYPE(I228)&gt;1,TYPE(MATCH(I228,O$11:O$267,0))&gt;1),0,MATCH(I228,O$11:O$267,0))+IF(OR(TYPE(I228)&gt;1,TYPE(MATCH(I228,U$11:U$267,0))&gt;1),0,MATCH(I228,U$11:U$267,0))+IF(OR(TYPE(I228)&gt;1,TYPE(MATCH(I228,AA$11:AA$267,0))&gt;1),0,MATCH(I228,AA$11:AA$267,0))</f>
        <v>0</v>
      </c>
      <c r="AO228" s="408">
        <f ca="1">IF(OR(TYPE(O228)&gt;1,TYPE(MATCH(O228,I$11:I$267,0))&gt;1),0,MATCH(O228,I$11:I$267,0))+IF(OR(TYPE(O228)&gt;1,TYPE(MATCH(O228,O229:O$267,0))&gt;1),0,MATCH(O228,O229:O$267,0))+IF(OR(TYPE(O228)&gt;1,TYPE(MATCH(O228,U$11:U$267,0))&gt;1),0,MATCH(O228,U$11:U$267,0))+IF(OR(TYPE(O228)&gt;1,TYPE(MATCH(O228,AA$11:AA$267,0))&gt;1),0,MATCH(O228,AA$11:AA$267,0))</f>
        <v>0</v>
      </c>
      <c r="AP228" s="408">
        <f ca="1">IF(OR(TYPE(U228)&gt;1,TYPE(MATCH(U228,I$11:I$267,0))&gt;1),0,MATCH(U228,I$11:I$267,0))+IF(OR(TYPE(U228)&gt;1,TYPE(MATCH(U228,O$11:O$267,0))&gt;1),0,MATCH(U228,O$11:O$267,0))+IF(OR(TYPE(U228)&gt;1,TYPE(MATCH(U228,U229:U$267,0))&gt;1),0,MATCH(U228,U229:U$267,0))+IF(OR(TYPE(U228)&gt;1,TYPE(MATCH(U228,AA$11:AA$267,0))&gt;1),0,MATCH(U228,AA$11:AA$267,0))</f>
        <v>0</v>
      </c>
      <c r="AQ228" s="408">
        <f ca="1">IF(OR(TYPE(AA228)&gt;1,TYPE(MATCH(AA228,I$11:I$267,0))&gt;1),0,MATCH(AA228,I$11:I$267,0))+IF(OR(TYPE(AA228)&gt;1,TYPE(MATCH(AA228,O$11:O$267,0))&gt;1),0,MATCH(AA228,O$11:O$267,0))+IF(OR(TYPE(AA228)&gt;1,TYPE(MATCH(AA228,U$11:U$267,0))&gt;1),0,MATCH(U228,U$11:U$267,0))+IF(OR(TYPE(AA228)&gt;1,TYPE(MATCH(AA228,AA229:AA$267,0))&gt;1),0,MATCH(AA228,AA229:AA$267,0))</f>
        <v>0</v>
      </c>
      <c r="AR228" s="408">
        <f t="shared" ca="1" si="91"/>
        <v>0</v>
      </c>
      <c r="BF228" s="408">
        <f t="shared" si="92"/>
        <v>218</v>
      </c>
    </row>
    <row r="229" spans="1:58" ht="14.25">
      <c r="A229" s="430">
        <f t="shared" ca="1" si="81"/>
        <v>0</v>
      </c>
      <c r="B229" s="430">
        <f t="shared" ca="1" si="82"/>
        <v>0</v>
      </c>
      <c r="C229" s="430">
        <f t="shared" ca="1" si="83"/>
        <v>0</v>
      </c>
      <c r="D229" s="430">
        <f t="shared" ca="1" si="84"/>
        <v>99999</v>
      </c>
      <c r="E229" s="430">
        <f t="shared" ca="1" si="85"/>
        <v>9999</v>
      </c>
      <c r="F229" s="431" t="str">
        <f t="shared" ca="1" si="80"/>
        <v>00000000000000000000539112</v>
      </c>
      <c r="G229" s="467" t="b">
        <f t="shared" ca="1" si="86"/>
        <v>1</v>
      </c>
      <c r="H229" s="468">
        <f t="shared" si="77"/>
        <v>219</v>
      </c>
      <c r="I229" s="469" t="str">
        <f t="shared" ca="1" si="87"/>
        <v/>
      </c>
      <c r="J229" s="470" t="str">
        <f ca="1">IF(N(I229)&gt;0,VLOOKUP(I229,Hraci!$A$1:$I$1500,2,0),IF(TYPE(INDIRECT(ADDRESS(ROW() + $A$9-9 + (ROW()-11)*4,2,1,1,"Internet")))&gt;1,INDIRECT(ADDRESS(ROW() + $A$9-9 + (ROW()-11)*4,2,1,1,"Internet"))," "))</f>
        <v xml:space="preserve"> </v>
      </c>
      <c r="K229" s="471" t="str">
        <f ca="1">IF(N(I229)&gt;0,VLOOKUP(I229,Hraci!$A$1:$I$1500,3,0)," ")</f>
        <v xml:space="preserve"> </v>
      </c>
      <c r="L229" s="471" t="str">
        <f ca="1">IF(N(I229)&gt;0,VLOOKUP(I229,Hraci!$A$1:$I$1500,5,0),IF(TYPE(INDIRECT(ADDRESS(ROW() + $A$9-9 + (ROW()-11)*4,3,1,1,"Internet")))&gt;1,INDIRECT(ADDRESS(ROW() + $A$9-9 + (ROW()-11)*4,3,1,1,"Internet"))," "))</f>
        <v xml:space="preserve"> </v>
      </c>
      <c r="M229" s="472">
        <f ca="1">IF(N(I229)=0,9999,VLOOKUP(I229,Hraci!$A$1:$I$1500,8,0))</f>
        <v>9999</v>
      </c>
      <c r="N229" s="473">
        <f ca="1">IF(N(I229)=0,0,VLOOKUP(I229,Hraci!$A$1:$I$1500,9,0))</f>
        <v>0</v>
      </c>
      <c r="O229" s="469" t="str">
        <f t="shared" ca="1" si="88"/>
        <v/>
      </c>
      <c r="P229" s="470" t="str">
        <f ca="1">IF(N(O229)&gt;0,VLOOKUP(O229,Hraci!$A$1:$I$1500,2,0),IF(TYPE(INDIRECT(ADDRESS(ROW() + $A$9-8 + (ROW()-11)*4,2,1,1,"Internet")))&gt;1,INDIRECT(ADDRESS(ROW() + $A$9-8 + (ROW()-11)*4,2,1,1,"Internet"))," "))</f>
        <v xml:space="preserve"> </v>
      </c>
      <c r="Q229" s="471" t="str">
        <f ca="1">IF(N(O229)&gt;0,VLOOKUP(O229,Hraci!$A$1:$I$1500,3,0)," ")</f>
        <v xml:space="preserve"> </v>
      </c>
      <c r="R229" s="471" t="str">
        <f ca="1">IF(N(O229)&gt;0,VLOOKUP(O229,Hraci!$A$1:$I$1500,5,0),IF(TYPE(INDIRECT(ADDRESS(ROW() + $A$9-8 + (ROW()-11)*4,3,1,1,"Internet")))&gt;1,INDIRECT(ADDRESS(ROW() + $A$9-8 + (ROW()-11)*4,3,1,1,"Internet"))," "))</f>
        <v xml:space="preserve"> </v>
      </c>
      <c r="S229" s="472">
        <f ca="1">IF(N(O229)=0,9999,VLOOKUP(O229,Hraci!$A$1:$I$1500,8,0))</f>
        <v>9999</v>
      </c>
      <c r="T229" s="473">
        <f ca="1">IF(N(O229)=0,0,VLOOKUP(O229,Hraci!$A$1:$I$1500,9,0))</f>
        <v>0</v>
      </c>
      <c r="U229" s="469" t="str">
        <f t="shared" ca="1" si="89"/>
        <v/>
      </c>
      <c r="V229" s="470" t="str">
        <f ca="1">IF(N(U229)&gt;0,VLOOKUP(U229,Hraci!$A$1:$I$1500,2,0),IF(TYPE(INDIRECT(ADDRESS(ROW() + $A$9-7 + (ROW()-11)*4,2,1,1,"Internet")))&gt;1,INDIRECT(ADDRESS(ROW() + $A$9-7 + (ROW()-11)*4,2,1,1,"Internet"))," "))</f>
        <v xml:space="preserve"> </v>
      </c>
      <c r="W229" s="471" t="str">
        <f ca="1">IF(N(U229)&gt;0,VLOOKUP(U229,Hraci!$A$1:$I$1500,3,0)," ")</f>
        <v xml:space="preserve"> </v>
      </c>
      <c r="X229" s="471" t="str">
        <f ca="1">IF(N(U229)&gt;0,VLOOKUP(U229,Hraci!$A$1:$I$1500,5,0),IF(TYPE(INDIRECT(ADDRESS(ROW() + $A$9-7 + (ROW()-11)*4,3,1,1,"Internet")))&gt;1,INDIRECT(ADDRESS(ROW() + $A$9-7 + (ROW()-11)*4,3,1,1,"Internet"))," "))</f>
        <v xml:space="preserve"> </v>
      </c>
      <c r="Y229" s="472">
        <f ca="1">IF(N(U229)=0,9999,VLOOKUP(U229,Hraci!$A$1:$I$1500,8,0))</f>
        <v>9999</v>
      </c>
      <c r="Z229" s="473">
        <f ca="1">IF(N(U229)=0,0,VLOOKUP(U229,Hraci!$A$1:$I$1500,9,0))</f>
        <v>0</v>
      </c>
      <c r="AA229" s="469" t="str">
        <f t="shared" ca="1" si="90"/>
        <v/>
      </c>
      <c r="AB229" s="470" t="str">
        <f ca="1">IF(N(AA229)&gt;0,VLOOKUP(AA229,Hraci!$A$1:$I$1500,2,0)," ")</f>
        <v xml:space="preserve"> </v>
      </c>
      <c r="AC229" s="471" t="str">
        <f ca="1">IF(N(AA229)&gt;0,VLOOKUP(AA229,Hraci!$A$1:$I$1500,3,0)," ")</f>
        <v xml:space="preserve"> </v>
      </c>
      <c r="AD229" s="471" t="str">
        <f ca="1">IF(N(AA229)&gt;0,VLOOKUP(AA229,Hraci!$A$1:$I$1500,5,0)," ")</f>
        <v xml:space="preserve"> </v>
      </c>
      <c r="AE229" s="472">
        <f ca="1">IF(N(AA229)=0,9999,VLOOKUP(AA229,Hraci!$A$1:$I$1500,8,0))</f>
        <v>9999</v>
      </c>
      <c r="AF229" s="473">
        <f ca="1">IF(N(AA229)=0,0,VLOOKUP(AA229,Hraci!$A$1:$I$1500,9,0))</f>
        <v>0</v>
      </c>
      <c r="AG229" s="474"/>
      <c r="AH229" s="480">
        <f ca="1">IF(TYPE(VLOOKUP(H229,Nasazení!$A$3:$E$258,5,0))&lt;4,VLOOKUP(H229,Nasazení!$A$3:$E$258,5,0),0)</f>
        <v>0</v>
      </c>
      <c r="AI229" s="475" t="str">
        <f ca="1">IF(N($AH229)&gt;0,VLOOKUP($AH229,Body!$A$4:$F$259,5,0),"")</f>
        <v/>
      </c>
      <c r="AJ229" s="476" t="str">
        <f ca="1">IF(N($AH229)&gt;0,VLOOKUP($AH229,Body!$A$4:$F$259,6,0),"")</f>
        <v/>
      </c>
      <c r="AK229" s="475" t="str">
        <f ca="1">IF(N($AH229)&gt;0,VLOOKUP($AH229,Body!$A$4:$F$259,2,0),"")</f>
        <v/>
      </c>
      <c r="AL229" s="477" t="str">
        <f t="shared" ca="1" si="78"/>
        <v/>
      </c>
      <c r="AM229" s="478">
        <f t="shared" ca="1" si="79"/>
        <v>0</v>
      </c>
      <c r="AN229" s="408">
        <f ca="1">IF(OR(TYPE(I229)&gt;1,TYPE(MATCH(I229,I230:I$267,0))&gt;1),0,MATCH(I229,I230:I$267,0))+IF(OR(TYPE(I229)&gt;1,TYPE(MATCH(I229,O$11:O$267,0))&gt;1),0,MATCH(I229,O$11:O$267,0))+IF(OR(TYPE(I229)&gt;1,TYPE(MATCH(I229,U$11:U$267,0))&gt;1),0,MATCH(I229,U$11:U$267,0))+IF(OR(TYPE(I229)&gt;1,TYPE(MATCH(I229,AA$11:AA$267,0))&gt;1),0,MATCH(I229,AA$11:AA$267,0))</f>
        <v>0</v>
      </c>
      <c r="AO229" s="408">
        <f ca="1">IF(OR(TYPE(O229)&gt;1,TYPE(MATCH(O229,I$11:I$267,0))&gt;1),0,MATCH(O229,I$11:I$267,0))+IF(OR(TYPE(O229)&gt;1,TYPE(MATCH(O229,O230:O$267,0))&gt;1),0,MATCH(O229,O230:O$267,0))+IF(OR(TYPE(O229)&gt;1,TYPE(MATCH(O229,U$11:U$267,0))&gt;1),0,MATCH(O229,U$11:U$267,0))+IF(OR(TYPE(O229)&gt;1,TYPE(MATCH(O229,AA$11:AA$267,0))&gt;1),0,MATCH(O229,AA$11:AA$267,0))</f>
        <v>0</v>
      </c>
      <c r="AP229" s="408">
        <f ca="1">IF(OR(TYPE(U229)&gt;1,TYPE(MATCH(U229,I$11:I$267,0))&gt;1),0,MATCH(U229,I$11:I$267,0))+IF(OR(TYPE(U229)&gt;1,TYPE(MATCH(U229,O$11:O$267,0))&gt;1),0,MATCH(U229,O$11:O$267,0))+IF(OR(TYPE(U229)&gt;1,TYPE(MATCH(U229,U230:U$267,0))&gt;1),0,MATCH(U229,U230:U$267,0))+IF(OR(TYPE(U229)&gt;1,TYPE(MATCH(U229,AA$11:AA$267,0))&gt;1),0,MATCH(U229,AA$11:AA$267,0))</f>
        <v>0</v>
      </c>
      <c r="AQ229" s="408">
        <f ca="1">IF(OR(TYPE(AA229)&gt;1,TYPE(MATCH(AA229,I$11:I$267,0))&gt;1),0,MATCH(AA229,I$11:I$267,0))+IF(OR(TYPE(AA229)&gt;1,TYPE(MATCH(AA229,O$11:O$267,0))&gt;1),0,MATCH(AA229,O$11:O$267,0))+IF(OR(TYPE(AA229)&gt;1,TYPE(MATCH(AA229,U$11:U$267,0))&gt;1),0,MATCH(U229,U$11:U$267,0))+IF(OR(TYPE(AA229)&gt;1,TYPE(MATCH(AA229,AA230:AA$267,0))&gt;1),0,MATCH(AA229,AA230:AA$267,0))</f>
        <v>0</v>
      </c>
      <c r="AR229" s="408">
        <f t="shared" ca="1" si="91"/>
        <v>0</v>
      </c>
      <c r="BF229" s="408">
        <f t="shared" si="92"/>
        <v>219</v>
      </c>
    </row>
    <row r="230" spans="1:58" ht="14.25">
      <c r="A230" s="430">
        <f t="shared" ca="1" si="81"/>
        <v>0</v>
      </c>
      <c r="B230" s="430">
        <f t="shared" ca="1" si="82"/>
        <v>0</v>
      </c>
      <c r="C230" s="430">
        <f t="shared" ca="1" si="83"/>
        <v>0</v>
      </c>
      <c r="D230" s="430">
        <f t="shared" ca="1" si="84"/>
        <v>99999</v>
      </c>
      <c r="E230" s="430">
        <f t="shared" ca="1" si="85"/>
        <v>9999</v>
      </c>
      <c r="F230" s="431" t="str">
        <f t="shared" ca="1" si="80"/>
        <v>00000000000000000000581448</v>
      </c>
      <c r="G230" s="467" t="b">
        <f t="shared" ca="1" si="86"/>
        <v>1</v>
      </c>
      <c r="H230" s="468">
        <f t="shared" si="77"/>
        <v>220</v>
      </c>
      <c r="I230" s="469" t="str">
        <f t="shared" ca="1" si="87"/>
        <v/>
      </c>
      <c r="J230" s="470" t="str">
        <f ca="1">IF(N(I230)&gt;0,VLOOKUP(I230,Hraci!$A$1:$I$1500,2,0),IF(TYPE(INDIRECT(ADDRESS(ROW() + $A$9-9 + (ROW()-11)*4,2,1,1,"Internet")))&gt;1,INDIRECT(ADDRESS(ROW() + $A$9-9 + (ROW()-11)*4,2,1,1,"Internet"))," "))</f>
        <v xml:space="preserve"> </v>
      </c>
      <c r="K230" s="471" t="str">
        <f ca="1">IF(N(I230)&gt;0,VLOOKUP(I230,Hraci!$A$1:$I$1500,3,0)," ")</f>
        <v xml:space="preserve"> </v>
      </c>
      <c r="L230" s="471" t="str">
        <f ca="1">IF(N(I230)&gt;0,VLOOKUP(I230,Hraci!$A$1:$I$1500,5,0),IF(TYPE(INDIRECT(ADDRESS(ROW() + $A$9-9 + (ROW()-11)*4,3,1,1,"Internet")))&gt;1,INDIRECT(ADDRESS(ROW() + $A$9-9 + (ROW()-11)*4,3,1,1,"Internet"))," "))</f>
        <v xml:space="preserve"> </v>
      </c>
      <c r="M230" s="472">
        <f ca="1">IF(N(I230)=0,9999,VLOOKUP(I230,Hraci!$A$1:$I$1500,8,0))</f>
        <v>9999</v>
      </c>
      <c r="N230" s="473">
        <f ca="1">IF(N(I230)=0,0,VLOOKUP(I230,Hraci!$A$1:$I$1500,9,0))</f>
        <v>0</v>
      </c>
      <c r="O230" s="469" t="str">
        <f t="shared" ca="1" si="88"/>
        <v/>
      </c>
      <c r="P230" s="470" t="str">
        <f ca="1">IF(N(O230)&gt;0,VLOOKUP(O230,Hraci!$A$1:$I$1500,2,0),IF(TYPE(INDIRECT(ADDRESS(ROW() + $A$9-8 + (ROW()-11)*4,2,1,1,"Internet")))&gt;1,INDIRECT(ADDRESS(ROW() + $A$9-8 + (ROW()-11)*4,2,1,1,"Internet"))," "))</f>
        <v xml:space="preserve"> </v>
      </c>
      <c r="Q230" s="471" t="str">
        <f ca="1">IF(N(O230)&gt;0,VLOOKUP(O230,Hraci!$A$1:$I$1500,3,0)," ")</f>
        <v xml:space="preserve"> </v>
      </c>
      <c r="R230" s="471" t="str">
        <f ca="1">IF(N(O230)&gt;0,VLOOKUP(O230,Hraci!$A$1:$I$1500,5,0),IF(TYPE(INDIRECT(ADDRESS(ROW() + $A$9-8 + (ROW()-11)*4,3,1,1,"Internet")))&gt;1,INDIRECT(ADDRESS(ROW() + $A$9-8 + (ROW()-11)*4,3,1,1,"Internet"))," "))</f>
        <v xml:space="preserve"> </v>
      </c>
      <c r="S230" s="472">
        <f ca="1">IF(N(O230)=0,9999,VLOOKUP(O230,Hraci!$A$1:$I$1500,8,0))</f>
        <v>9999</v>
      </c>
      <c r="T230" s="473">
        <f ca="1">IF(N(O230)=0,0,VLOOKUP(O230,Hraci!$A$1:$I$1500,9,0))</f>
        <v>0</v>
      </c>
      <c r="U230" s="469" t="str">
        <f t="shared" ca="1" si="89"/>
        <v/>
      </c>
      <c r="V230" s="470" t="str">
        <f ca="1">IF(N(U230)&gt;0,VLOOKUP(U230,Hraci!$A$1:$I$1500,2,0),IF(TYPE(INDIRECT(ADDRESS(ROW() + $A$9-7 + (ROW()-11)*4,2,1,1,"Internet")))&gt;1,INDIRECT(ADDRESS(ROW() + $A$9-7 + (ROW()-11)*4,2,1,1,"Internet"))," "))</f>
        <v xml:space="preserve"> </v>
      </c>
      <c r="W230" s="471" t="str">
        <f ca="1">IF(N(U230)&gt;0,VLOOKUP(U230,Hraci!$A$1:$I$1500,3,0)," ")</f>
        <v xml:space="preserve"> </v>
      </c>
      <c r="X230" s="471" t="str">
        <f ca="1">IF(N(U230)&gt;0,VLOOKUP(U230,Hraci!$A$1:$I$1500,5,0),IF(TYPE(INDIRECT(ADDRESS(ROW() + $A$9-7 + (ROW()-11)*4,3,1,1,"Internet")))&gt;1,INDIRECT(ADDRESS(ROW() + $A$9-7 + (ROW()-11)*4,3,1,1,"Internet"))," "))</f>
        <v xml:space="preserve"> </v>
      </c>
      <c r="Y230" s="472">
        <f ca="1">IF(N(U230)=0,9999,VLOOKUP(U230,Hraci!$A$1:$I$1500,8,0))</f>
        <v>9999</v>
      </c>
      <c r="Z230" s="473">
        <f ca="1">IF(N(U230)=0,0,VLOOKUP(U230,Hraci!$A$1:$I$1500,9,0))</f>
        <v>0</v>
      </c>
      <c r="AA230" s="469" t="str">
        <f t="shared" ca="1" si="90"/>
        <v/>
      </c>
      <c r="AB230" s="470" t="str">
        <f ca="1">IF(N(AA230)&gt;0,VLOOKUP(AA230,Hraci!$A$1:$I$1500,2,0)," ")</f>
        <v xml:space="preserve"> </v>
      </c>
      <c r="AC230" s="471" t="str">
        <f ca="1">IF(N(AA230)&gt;0,VLOOKUP(AA230,Hraci!$A$1:$I$1500,3,0)," ")</f>
        <v xml:space="preserve"> </v>
      </c>
      <c r="AD230" s="471" t="str">
        <f ca="1">IF(N(AA230)&gt;0,VLOOKUP(AA230,Hraci!$A$1:$I$1500,5,0)," ")</f>
        <v xml:space="preserve"> </v>
      </c>
      <c r="AE230" s="472">
        <f ca="1">IF(N(AA230)=0,9999,VLOOKUP(AA230,Hraci!$A$1:$I$1500,8,0))</f>
        <v>9999</v>
      </c>
      <c r="AF230" s="473">
        <f ca="1">IF(N(AA230)=0,0,VLOOKUP(AA230,Hraci!$A$1:$I$1500,9,0))</f>
        <v>0</v>
      </c>
      <c r="AG230" s="474"/>
      <c r="AH230" s="480">
        <f ca="1">IF(TYPE(VLOOKUP(H230,Nasazení!$A$3:$E$258,5,0))&lt;4,VLOOKUP(H230,Nasazení!$A$3:$E$258,5,0),0)</f>
        <v>0</v>
      </c>
      <c r="AI230" s="475" t="str">
        <f ca="1">IF(N($AH230)&gt;0,VLOOKUP($AH230,Body!$A$4:$F$259,5,0),"")</f>
        <v/>
      </c>
      <c r="AJ230" s="476" t="str">
        <f ca="1">IF(N($AH230)&gt;0,VLOOKUP($AH230,Body!$A$4:$F$259,6,0),"")</f>
        <v/>
      </c>
      <c r="AK230" s="475" t="str">
        <f ca="1">IF(N($AH230)&gt;0,VLOOKUP($AH230,Body!$A$4:$F$259,2,0),"")</f>
        <v/>
      </c>
      <c r="AL230" s="477" t="str">
        <f t="shared" ca="1" si="78"/>
        <v/>
      </c>
      <c r="AM230" s="478">
        <f t="shared" ca="1" si="79"/>
        <v>0</v>
      </c>
      <c r="AN230" s="408">
        <f ca="1">IF(OR(TYPE(I230)&gt;1,TYPE(MATCH(I230,I231:I$267,0))&gt;1),0,MATCH(I230,I231:I$267,0))+IF(OR(TYPE(I230)&gt;1,TYPE(MATCH(I230,O$11:O$267,0))&gt;1),0,MATCH(I230,O$11:O$267,0))+IF(OR(TYPE(I230)&gt;1,TYPE(MATCH(I230,U$11:U$267,0))&gt;1),0,MATCH(I230,U$11:U$267,0))+IF(OR(TYPE(I230)&gt;1,TYPE(MATCH(I230,AA$11:AA$267,0))&gt;1),0,MATCH(I230,AA$11:AA$267,0))</f>
        <v>0</v>
      </c>
      <c r="AO230" s="408">
        <f ca="1">IF(OR(TYPE(O230)&gt;1,TYPE(MATCH(O230,I$11:I$267,0))&gt;1),0,MATCH(O230,I$11:I$267,0))+IF(OR(TYPE(O230)&gt;1,TYPE(MATCH(O230,O231:O$267,0))&gt;1),0,MATCH(O230,O231:O$267,0))+IF(OR(TYPE(O230)&gt;1,TYPE(MATCH(O230,U$11:U$267,0))&gt;1),0,MATCH(O230,U$11:U$267,0))+IF(OR(TYPE(O230)&gt;1,TYPE(MATCH(O230,AA$11:AA$267,0))&gt;1),0,MATCH(O230,AA$11:AA$267,0))</f>
        <v>0</v>
      </c>
      <c r="AP230" s="408">
        <f ca="1">IF(OR(TYPE(U230)&gt;1,TYPE(MATCH(U230,I$11:I$267,0))&gt;1),0,MATCH(U230,I$11:I$267,0))+IF(OR(TYPE(U230)&gt;1,TYPE(MATCH(U230,O$11:O$267,0))&gt;1),0,MATCH(U230,O$11:O$267,0))+IF(OR(TYPE(U230)&gt;1,TYPE(MATCH(U230,U231:U$267,0))&gt;1),0,MATCH(U230,U231:U$267,0))+IF(OR(TYPE(U230)&gt;1,TYPE(MATCH(U230,AA$11:AA$267,0))&gt;1),0,MATCH(U230,AA$11:AA$267,0))</f>
        <v>0</v>
      </c>
      <c r="AQ230" s="408">
        <f ca="1">IF(OR(TYPE(AA230)&gt;1,TYPE(MATCH(AA230,I$11:I$267,0))&gt;1),0,MATCH(AA230,I$11:I$267,0))+IF(OR(TYPE(AA230)&gt;1,TYPE(MATCH(AA230,O$11:O$267,0))&gt;1),0,MATCH(AA230,O$11:O$267,0))+IF(OR(TYPE(AA230)&gt;1,TYPE(MATCH(AA230,U$11:U$267,0))&gt;1),0,MATCH(U230,U$11:U$267,0))+IF(OR(TYPE(AA230)&gt;1,TYPE(MATCH(AA230,AA231:AA$267,0))&gt;1),0,MATCH(AA230,AA231:AA$267,0))</f>
        <v>0</v>
      </c>
      <c r="AR230" s="408">
        <f t="shared" ca="1" si="91"/>
        <v>0</v>
      </c>
      <c r="BF230" s="408">
        <f t="shared" si="92"/>
        <v>220</v>
      </c>
    </row>
    <row r="231" spans="1:58" ht="14.25">
      <c r="A231" s="430">
        <f t="shared" ca="1" si="81"/>
        <v>0</v>
      </c>
      <c r="B231" s="430">
        <f t="shared" ca="1" si="82"/>
        <v>0</v>
      </c>
      <c r="C231" s="430">
        <f t="shared" ca="1" si="83"/>
        <v>0</v>
      </c>
      <c r="D231" s="430">
        <f t="shared" ca="1" si="84"/>
        <v>99999</v>
      </c>
      <c r="E231" s="430">
        <f t="shared" ca="1" si="85"/>
        <v>9999</v>
      </c>
      <c r="F231" s="431" t="str">
        <f t="shared" ca="1" si="80"/>
        <v>00000000000000000000043864</v>
      </c>
      <c r="G231" s="467" t="b">
        <f t="shared" ca="1" si="86"/>
        <v>1</v>
      </c>
      <c r="H231" s="468">
        <f t="shared" si="77"/>
        <v>221</v>
      </c>
      <c r="I231" s="469" t="str">
        <f t="shared" ca="1" si="87"/>
        <v/>
      </c>
      <c r="J231" s="470" t="str">
        <f ca="1">IF(N(I231)&gt;0,VLOOKUP(I231,Hraci!$A$1:$I$1500,2,0),IF(TYPE(INDIRECT(ADDRESS(ROW() + $A$9-9 + (ROW()-11)*4,2,1,1,"Internet")))&gt;1,INDIRECT(ADDRESS(ROW() + $A$9-9 + (ROW()-11)*4,2,1,1,"Internet"))," "))</f>
        <v xml:space="preserve"> </v>
      </c>
      <c r="K231" s="471" t="str">
        <f ca="1">IF(N(I231)&gt;0,VLOOKUP(I231,Hraci!$A$1:$I$1500,3,0)," ")</f>
        <v xml:space="preserve"> </v>
      </c>
      <c r="L231" s="471" t="str">
        <f ca="1">IF(N(I231)&gt;0,VLOOKUP(I231,Hraci!$A$1:$I$1500,5,0),IF(TYPE(INDIRECT(ADDRESS(ROW() + $A$9-9 + (ROW()-11)*4,3,1,1,"Internet")))&gt;1,INDIRECT(ADDRESS(ROW() + $A$9-9 + (ROW()-11)*4,3,1,1,"Internet"))," "))</f>
        <v xml:space="preserve"> </v>
      </c>
      <c r="M231" s="472">
        <f ca="1">IF(N(I231)=0,9999,VLOOKUP(I231,Hraci!$A$1:$I$1500,8,0))</f>
        <v>9999</v>
      </c>
      <c r="N231" s="473">
        <f ca="1">IF(N(I231)=0,0,VLOOKUP(I231,Hraci!$A$1:$I$1500,9,0))</f>
        <v>0</v>
      </c>
      <c r="O231" s="469" t="str">
        <f t="shared" ca="1" si="88"/>
        <v/>
      </c>
      <c r="P231" s="470" t="str">
        <f ca="1">IF(N(O231)&gt;0,VLOOKUP(O231,Hraci!$A$1:$I$1500,2,0),IF(TYPE(INDIRECT(ADDRESS(ROW() + $A$9-8 + (ROW()-11)*4,2,1,1,"Internet")))&gt;1,INDIRECT(ADDRESS(ROW() + $A$9-8 + (ROW()-11)*4,2,1,1,"Internet"))," "))</f>
        <v xml:space="preserve"> </v>
      </c>
      <c r="Q231" s="471" t="str">
        <f ca="1">IF(N(O231)&gt;0,VLOOKUP(O231,Hraci!$A$1:$I$1500,3,0)," ")</f>
        <v xml:space="preserve"> </v>
      </c>
      <c r="R231" s="471" t="str">
        <f ca="1">IF(N(O231)&gt;0,VLOOKUP(O231,Hraci!$A$1:$I$1500,5,0),IF(TYPE(INDIRECT(ADDRESS(ROW() + $A$9-8 + (ROW()-11)*4,3,1,1,"Internet")))&gt;1,INDIRECT(ADDRESS(ROW() + $A$9-8 + (ROW()-11)*4,3,1,1,"Internet"))," "))</f>
        <v xml:space="preserve"> </v>
      </c>
      <c r="S231" s="472">
        <f ca="1">IF(N(O231)=0,9999,VLOOKUP(O231,Hraci!$A$1:$I$1500,8,0))</f>
        <v>9999</v>
      </c>
      <c r="T231" s="473">
        <f ca="1">IF(N(O231)=0,0,VLOOKUP(O231,Hraci!$A$1:$I$1500,9,0))</f>
        <v>0</v>
      </c>
      <c r="U231" s="469" t="str">
        <f t="shared" ca="1" si="89"/>
        <v/>
      </c>
      <c r="V231" s="470" t="str">
        <f ca="1">IF(N(U231)&gt;0,VLOOKUP(U231,Hraci!$A$1:$I$1500,2,0),IF(TYPE(INDIRECT(ADDRESS(ROW() + $A$9-7 + (ROW()-11)*4,2,1,1,"Internet")))&gt;1,INDIRECT(ADDRESS(ROW() + $A$9-7 + (ROW()-11)*4,2,1,1,"Internet"))," "))</f>
        <v xml:space="preserve"> </v>
      </c>
      <c r="W231" s="471" t="str">
        <f ca="1">IF(N(U231)&gt;0,VLOOKUP(U231,Hraci!$A$1:$I$1500,3,0)," ")</f>
        <v xml:space="preserve"> </v>
      </c>
      <c r="X231" s="471" t="str">
        <f ca="1">IF(N(U231)&gt;0,VLOOKUP(U231,Hraci!$A$1:$I$1500,5,0),IF(TYPE(INDIRECT(ADDRESS(ROW() + $A$9-7 + (ROW()-11)*4,3,1,1,"Internet")))&gt;1,INDIRECT(ADDRESS(ROW() + $A$9-7 + (ROW()-11)*4,3,1,1,"Internet"))," "))</f>
        <v xml:space="preserve"> </v>
      </c>
      <c r="Y231" s="472">
        <f ca="1">IF(N(U231)=0,9999,VLOOKUP(U231,Hraci!$A$1:$I$1500,8,0))</f>
        <v>9999</v>
      </c>
      <c r="Z231" s="473">
        <f ca="1">IF(N(U231)=0,0,VLOOKUP(U231,Hraci!$A$1:$I$1500,9,0))</f>
        <v>0</v>
      </c>
      <c r="AA231" s="469" t="str">
        <f t="shared" ca="1" si="90"/>
        <v/>
      </c>
      <c r="AB231" s="470" t="str">
        <f ca="1">IF(N(AA231)&gt;0,VLOOKUP(AA231,Hraci!$A$1:$I$1500,2,0)," ")</f>
        <v xml:space="preserve"> </v>
      </c>
      <c r="AC231" s="471" t="str">
        <f ca="1">IF(N(AA231)&gt;0,VLOOKUP(AA231,Hraci!$A$1:$I$1500,3,0)," ")</f>
        <v xml:space="preserve"> </v>
      </c>
      <c r="AD231" s="471" t="str">
        <f ca="1">IF(N(AA231)&gt;0,VLOOKUP(AA231,Hraci!$A$1:$I$1500,5,0)," ")</f>
        <v xml:space="preserve"> </v>
      </c>
      <c r="AE231" s="472">
        <f ca="1">IF(N(AA231)=0,9999,VLOOKUP(AA231,Hraci!$A$1:$I$1500,8,0))</f>
        <v>9999</v>
      </c>
      <c r="AF231" s="473">
        <f ca="1">IF(N(AA231)=0,0,VLOOKUP(AA231,Hraci!$A$1:$I$1500,9,0))</f>
        <v>0</v>
      </c>
      <c r="AG231" s="474"/>
      <c r="AH231" s="480">
        <f ca="1">IF(TYPE(VLOOKUP(H231,Nasazení!$A$3:$E$258,5,0))&lt;4,VLOOKUP(H231,Nasazení!$A$3:$E$258,5,0),0)</f>
        <v>0</v>
      </c>
      <c r="AI231" s="475" t="str">
        <f ca="1">IF(N($AH231)&gt;0,VLOOKUP($AH231,Body!$A$4:$F$259,5,0),"")</f>
        <v/>
      </c>
      <c r="AJ231" s="476" t="str">
        <f ca="1">IF(N($AH231)&gt;0,VLOOKUP($AH231,Body!$A$4:$F$259,6,0),"")</f>
        <v/>
      </c>
      <c r="AK231" s="475" t="str">
        <f ca="1">IF(N($AH231)&gt;0,VLOOKUP($AH231,Body!$A$4:$F$259,2,0),"")</f>
        <v/>
      </c>
      <c r="AL231" s="477" t="str">
        <f t="shared" ca="1" si="78"/>
        <v/>
      </c>
      <c r="AM231" s="478">
        <f t="shared" ca="1" si="79"/>
        <v>0</v>
      </c>
      <c r="AN231" s="408">
        <f ca="1">IF(OR(TYPE(I231)&gt;1,TYPE(MATCH(I231,I232:I$267,0))&gt;1),0,MATCH(I231,I232:I$267,0))+IF(OR(TYPE(I231)&gt;1,TYPE(MATCH(I231,O$11:O$267,0))&gt;1),0,MATCH(I231,O$11:O$267,0))+IF(OR(TYPE(I231)&gt;1,TYPE(MATCH(I231,U$11:U$267,0))&gt;1),0,MATCH(I231,U$11:U$267,0))+IF(OR(TYPE(I231)&gt;1,TYPE(MATCH(I231,AA$11:AA$267,0))&gt;1),0,MATCH(I231,AA$11:AA$267,0))</f>
        <v>0</v>
      </c>
      <c r="AO231" s="408">
        <f ca="1">IF(OR(TYPE(O231)&gt;1,TYPE(MATCH(O231,I$11:I$267,0))&gt;1),0,MATCH(O231,I$11:I$267,0))+IF(OR(TYPE(O231)&gt;1,TYPE(MATCH(O231,O232:O$267,0))&gt;1),0,MATCH(O231,O232:O$267,0))+IF(OR(TYPE(O231)&gt;1,TYPE(MATCH(O231,U$11:U$267,0))&gt;1),0,MATCH(O231,U$11:U$267,0))+IF(OR(TYPE(O231)&gt;1,TYPE(MATCH(O231,AA$11:AA$267,0))&gt;1),0,MATCH(O231,AA$11:AA$267,0))</f>
        <v>0</v>
      </c>
      <c r="AP231" s="408">
        <f ca="1">IF(OR(TYPE(U231)&gt;1,TYPE(MATCH(U231,I$11:I$267,0))&gt;1),0,MATCH(U231,I$11:I$267,0))+IF(OR(TYPE(U231)&gt;1,TYPE(MATCH(U231,O$11:O$267,0))&gt;1),0,MATCH(U231,O$11:O$267,0))+IF(OR(TYPE(U231)&gt;1,TYPE(MATCH(U231,U232:U$267,0))&gt;1),0,MATCH(U231,U232:U$267,0))+IF(OR(TYPE(U231)&gt;1,TYPE(MATCH(U231,AA$11:AA$267,0))&gt;1),0,MATCH(U231,AA$11:AA$267,0))</f>
        <v>0</v>
      </c>
      <c r="AQ231" s="408">
        <f ca="1">IF(OR(TYPE(AA231)&gt;1,TYPE(MATCH(AA231,I$11:I$267,0))&gt;1),0,MATCH(AA231,I$11:I$267,0))+IF(OR(TYPE(AA231)&gt;1,TYPE(MATCH(AA231,O$11:O$267,0))&gt;1),0,MATCH(AA231,O$11:O$267,0))+IF(OR(TYPE(AA231)&gt;1,TYPE(MATCH(AA231,U$11:U$267,0))&gt;1),0,MATCH(U231,U$11:U$267,0))+IF(OR(TYPE(AA231)&gt;1,TYPE(MATCH(AA231,AA232:AA$267,0))&gt;1),0,MATCH(AA231,AA232:AA$267,0))</f>
        <v>0</v>
      </c>
      <c r="AR231" s="408">
        <f t="shared" ca="1" si="91"/>
        <v>0</v>
      </c>
      <c r="BF231" s="408">
        <f t="shared" si="92"/>
        <v>221</v>
      </c>
    </row>
    <row r="232" spans="1:58" ht="14.25">
      <c r="A232" s="430">
        <f t="shared" ca="1" si="81"/>
        <v>0</v>
      </c>
      <c r="B232" s="430">
        <f t="shared" ca="1" si="82"/>
        <v>0</v>
      </c>
      <c r="C232" s="430">
        <f t="shared" ca="1" si="83"/>
        <v>0</v>
      </c>
      <c r="D232" s="430">
        <f t="shared" ca="1" si="84"/>
        <v>99999</v>
      </c>
      <c r="E232" s="430">
        <f t="shared" ca="1" si="85"/>
        <v>9999</v>
      </c>
      <c r="F232" s="431" t="str">
        <f t="shared" ca="1" si="80"/>
        <v>00000000000000000000001192</v>
      </c>
      <c r="G232" s="467" t="b">
        <f t="shared" ca="1" si="86"/>
        <v>1</v>
      </c>
      <c r="H232" s="468">
        <f t="shared" si="77"/>
        <v>222</v>
      </c>
      <c r="I232" s="469" t="str">
        <f t="shared" ca="1" si="87"/>
        <v/>
      </c>
      <c r="J232" s="470" t="str">
        <f ca="1">IF(N(I232)&gt;0,VLOOKUP(I232,Hraci!$A$1:$I$1500,2,0),IF(TYPE(INDIRECT(ADDRESS(ROW() + $A$9-9 + (ROW()-11)*4,2,1,1,"Internet")))&gt;1,INDIRECT(ADDRESS(ROW() + $A$9-9 + (ROW()-11)*4,2,1,1,"Internet"))," "))</f>
        <v xml:space="preserve"> </v>
      </c>
      <c r="K232" s="471" t="str">
        <f ca="1">IF(N(I232)&gt;0,VLOOKUP(I232,Hraci!$A$1:$I$1500,3,0)," ")</f>
        <v xml:space="preserve"> </v>
      </c>
      <c r="L232" s="471" t="str">
        <f ca="1">IF(N(I232)&gt;0,VLOOKUP(I232,Hraci!$A$1:$I$1500,5,0),IF(TYPE(INDIRECT(ADDRESS(ROW() + $A$9-9 + (ROW()-11)*4,3,1,1,"Internet")))&gt;1,INDIRECT(ADDRESS(ROW() + $A$9-9 + (ROW()-11)*4,3,1,1,"Internet"))," "))</f>
        <v xml:space="preserve"> </v>
      </c>
      <c r="M232" s="472">
        <f ca="1">IF(N(I232)=0,9999,VLOOKUP(I232,Hraci!$A$1:$I$1500,8,0))</f>
        <v>9999</v>
      </c>
      <c r="N232" s="473">
        <f ca="1">IF(N(I232)=0,0,VLOOKUP(I232,Hraci!$A$1:$I$1500,9,0))</f>
        <v>0</v>
      </c>
      <c r="O232" s="469" t="str">
        <f t="shared" ca="1" si="88"/>
        <v/>
      </c>
      <c r="P232" s="470" t="str">
        <f ca="1">IF(N(O232)&gt;0,VLOOKUP(O232,Hraci!$A$1:$I$1500,2,0),IF(TYPE(INDIRECT(ADDRESS(ROW() + $A$9-8 + (ROW()-11)*4,2,1,1,"Internet")))&gt;1,INDIRECT(ADDRESS(ROW() + $A$9-8 + (ROW()-11)*4,2,1,1,"Internet"))," "))</f>
        <v xml:space="preserve"> </v>
      </c>
      <c r="Q232" s="471" t="str">
        <f ca="1">IF(N(O232)&gt;0,VLOOKUP(O232,Hraci!$A$1:$I$1500,3,0)," ")</f>
        <v xml:space="preserve"> </v>
      </c>
      <c r="R232" s="471" t="str">
        <f ca="1">IF(N(O232)&gt;0,VLOOKUP(O232,Hraci!$A$1:$I$1500,5,0),IF(TYPE(INDIRECT(ADDRESS(ROW() + $A$9-8 + (ROW()-11)*4,3,1,1,"Internet")))&gt;1,INDIRECT(ADDRESS(ROW() + $A$9-8 + (ROW()-11)*4,3,1,1,"Internet"))," "))</f>
        <v xml:space="preserve"> </v>
      </c>
      <c r="S232" s="472">
        <f ca="1">IF(N(O232)=0,9999,VLOOKUP(O232,Hraci!$A$1:$I$1500,8,0))</f>
        <v>9999</v>
      </c>
      <c r="T232" s="473">
        <f ca="1">IF(N(O232)=0,0,VLOOKUP(O232,Hraci!$A$1:$I$1500,9,0))</f>
        <v>0</v>
      </c>
      <c r="U232" s="469" t="str">
        <f t="shared" ca="1" si="89"/>
        <v/>
      </c>
      <c r="V232" s="470" t="str">
        <f ca="1">IF(N(U232)&gt;0,VLOOKUP(U232,Hraci!$A$1:$I$1500,2,0),IF(TYPE(INDIRECT(ADDRESS(ROW() + $A$9-7 + (ROW()-11)*4,2,1,1,"Internet")))&gt;1,INDIRECT(ADDRESS(ROW() + $A$9-7 + (ROW()-11)*4,2,1,1,"Internet"))," "))</f>
        <v xml:space="preserve"> </v>
      </c>
      <c r="W232" s="471" t="str">
        <f ca="1">IF(N(U232)&gt;0,VLOOKUP(U232,Hraci!$A$1:$I$1500,3,0)," ")</f>
        <v xml:space="preserve"> </v>
      </c>
      <c r="X232" s="471" t="str">
        <f ca="1">IF(N(U232)&gt;0,VLOOKUP(U232,Hraci!$A$1:$I$1500,5,0),IF(TYPE(INDIRECT(ADDRESS(ROW() + $A$9-7 + (ROW()-11)*4,3,1,1,"Internet")))&gt;1,INDIRECT(ADDRESS(ROW() + $A$9-7 + (ROW()-11)*4,3,1,1,"Internet"))," "))</f>
        <v xml:space="preserve"> </v>
      </c>
      <c r="Y232" s="472">
        <f ca="1">IF(N(U232)=0,9999,VLOOKUP(U232,Hraci!$A$1:$I$1500,8,0))</f>
        <v>9999</v>
      </c>
      <c r="Z232" s="473">
        <f ca="1">IF(N(U232)=0,0,VLOOKUP(U232,Hraci!$A$1:$I$1500,9,0))</f>
        <v>0</v>
      </c>
      <c r="AA232" s="469" t="str">
        <f t="shared" ca="1" si="90"/>
        <v/>
      </c>
      <c r="AB232" s="470" t="str">
        <f ca="1">IF(N(AA232)&gt;0,VLOOKUP(AA232,Hraci!$A$1:$I$1500,2,0)," ")</f>
        <v xml:space="preserve"> </v>
      </c>
      <c r="AC232" s="471" t="str">
        <f ca="1">IF(N(AA232)&gt;0,VLOOKUP(AA232,Hraci!$A$1:$I$1500,3,0)," ")</f>
        <v xml:space="preserve"> </v>
      </c>
      <c r="AD232" s="471" t="str">
        <f ca="1">IF(N(AA232)&gt;0,VLOOKUP(AA232,Hraci!$A$1:$I$1500,5,0)," ")</f>
        <v xml:space="preserve"> </v>
      </c>
      <c r="AE232" s="472">
        <f ca="1">IF(N(AA232)=0,9999,VLOOKUP(AA232,Hraci!$A$1:$I$1500,8,0))</f>
        <v>9999</v>
      </c>
      <c r="AF232" s="473">
        <f ca="1">IF(N(AA232)=0,0,VLOOKUP(AA232,Hraci!$A$1:$I$1500,9,0))</f>
        <v>0</v>
      </c>
      <c r="AG232" s="474"/>
      <c r="AH232" s="480">
        <f ca="1">IF(TYPE(VLOOKUP(H232,Nasazení!$A$3:$E$258,5,0))&lt;4,VLOOKUP(H232,Nasazení!$A$3:$E$258,5,0),0)</f>
        <v>0</v>
      </c>
      <c r="AI232" s="475" t="str">
        <f ca="1">IF(N($AH232)&gt;0,VLOOKUP($AH232,Body!$A$4:$F$259,5,0),"")</f>
        <v/>
      </c>
      <c r="AJ232" s="476" t="str">
        <f ca="1">IF(N($AH232)&gt;0,VLOOKUP($AH232,Body!$A$4:$F$259,6,0),"")</f>
        <v/>
      </c>
      <c r="AK232" s="475" t="str">
        <f ca="1">IF(N($AH232)&gt;0,VLOOKUP($AH232,Body!$A$4:$F$259,2,0),"")</f>
        <v/>
      </c>
      <c r="AL232" s="477" t="str">
        <f t="shared" ca="1" si="78"/>
        <v/>
      </c>
      <c r="AM232" s="478">
        <f t="shared" ca="1" si="79"/>
        <v>0</v>
      </c>
      <c r="AN232" s="408">
        <f ca="1">IF(OR(TYPE(I232)&gt;1,TYPE(MATCH(I232,I233:I$267,0))&gt;1),0,MATCH(I232,I233:I$267,0))+IF(OR(TYPE(I232)&gt;1,TYPE(MATCH(I232,O$11:O$267,0))&gt;1),0,MATCH(I232,O$11:O$267,0))+IF(OR(TYPE(I232)&gt;1,TYPE(MATCH(I232,U$11:U$267,0))&gt;1),0,MATCH(I232,U$11:U$267,0))+IF(OR(TYPE(I232)&gt;1,TYPE(MATCH(I232,AA$11:AA$267,0))&gt;1),0,MATCH(I232,AA$11:AA$267,0))</f>
        <v>0</v>
      </c>
      <c r="AO232" s="408">
        <f ca="1">IF(OR(TYPE(O232)&gt;1,TYPE(MATCH(O232,I$11:I$267,0))&gt;1),0,MATCH(O232,I$11:I$267,0))+IF(OR(TYPE(O232)&gt;1,TYPE(MATCH(O232,O233:O$267,0))&gt;1),0,MATCH(O232,O233:O$267,0))+IF(OR(TYPE(O232)&gt;1,TYPE(MATCH(O232,U$11:U$267,0))&gt;1),0,MATCH(O232,U$11:U$267,0))+IF(OR(TYPE(O232)&gt;1,TYPE(MATCH(O232,AA$11:AA$267,0))&gt;1),0,MATCH(O232,AA$11:AA$267,0))</f>
        <v>0</v>
      </c>
      <c r="AP232" s="408">
        <f ca="1">IF(OR(TYPE(U232)&gt;1,TYPE(MATCH(U232,I$11:I$267,0))&gt;1),0,MATCH(U232,I$11:I$267,0))+IF(OR(TYPE(U232)&gt;1,TYPE(MATCH(U232,O$11:O$267,0))&gt;1),0,MATCH(U232,O$11:O$267,0))+IF(OR(TYPE(U232)&gt;1,TYPE(MATCH(U232,U233:U$267,0))&gt;1),0,MATCH(U232,U233:U$267,0))+IF(OR(TYPE(U232)&gt;1,TYPE(MATCH(U232,AA$11:AA$267,0))&gt;1),0,MATCH(U232,AA$11:AA$267,0))</f>
        <v>0</v>
      </c>
      <c r="AQ232" s="408">
        <f ca="1">IF(OR(TYPE(AA232)&gt;1,TYPE(MATCH(AA232,I$11:I$267,0))&gt;1),0,MATCH(AA232,I$11:I$267,0))+IF(OR(TYPE(AA232)&gt;1,TYPE(MATCH(AA232,O$11:O$267,0))&gt;1),0,MATCH(AA232,O$11:O$267,0))+IF(OR(TYPE(AA232)&gt;1,TYPE(MATCH(AA232,U$11:U$267,0))&gt;1),0,MATCH(U232,U$11:U$267,0))+IF(OR(TYPE(AA232)&gt;1,TYPE(MATCH(AA232,AA233:AA$267,0))&gt;1),0,MATCH(AA232,AA233:AA$267,0))</f>
        <v>0</v>
      </c>
      <c r="AR232" s="408">
        <f t="shared" ca="1" si="91"/>
        <v>0</v>
      </c>
      <c r="BF232" s="408">
        <f t="shared" si="92"/>
        <v>222</v>
      </c>
    </row>
    <row r="233" spans="1:58" ht="14.25">
      <c r="A233" s="430">
        <f t="shared" ca="1" si="81"/>
        <v>0</v>
      </c>
      <c r="B233" s="430">
        <f t="shared" ca="1" si="82"/>
        <v>0</v>
      </c>
      <c r="C233" s="430">
        <f t="shared" ca="1" si="83"/>
        <v>0</v>
      </c>
      <c r="D233" s="430">
        <f t="shared" ca="1" si="84"/>
        <v>99999</v>
      </c>
      <c r="E233" s="430">
        <f t="shared" ca="1" si="85"/>
        <v>9999</v>
      </c>
      <c r="F233" s="431" t="str">
        <f t="shared" ca="1" si="80"/>
        <v>00000000000000000000560870</v>
      </c>
      <c r="G233" s="467" t="b">
        <f t="shared" ca="1" si="86"/>
        <v>1</v>
      </c>
      <c r="H233" s="468">
        <f t="shared" si="77"/>
        <v>223</v>
      </c>
      <c r="I233" s="469" t="str">
        <f t="shared" ca="1" si="87"/>
        <v/>
      </c>
      <c r="J233" s="470" t="str">
        <f ca="1">IF(N(I233)&gt;0,VLOOKUP(I233,Hraci!$A$1:$I$1500,2,0),IF(TYPE(INDIRECT(ADDRESS(ROW() + $A$9-9 + (ROW()-11)*4,2,1,1,"Internet")))&gt;1,INDIRECT(ADDRESS(ROW() + $A$9-9 + (ROW()-11)*4,2,1,1,"Internet"))," "))</f>
        <v xml:space="preserve"> </v>
      </c>
      <c r="K233" s="471" t="str">
        <f ca="1">IF(N(I233)&gt;0,VLOOKUP(I233,Hraci!$A$1:$I$1500,3,0)," ")</f>
        <v xml:space="preserve"> </v>
      </c>
      <c r="L233" s="471" t="str">
        <f ca="1">IF(N(I233)&gt;0,VLOOKUP(I233,Hraci!$A$1:$I$1500,5,0),IF(TYPE(INDIRECT(ADDRESS(ROW() + $A$9-9 + (ROW()-11)*4,3,1,1,"Internet")))&gt;1,INDIRECT(ADDRESS(ROW() + $A$9-9 + (ROW()-11)*4,3,1,1,"Internet"))," "))</f>
        <v xml:space="preserve"> </v>
      </c>
      <c r="M233" s="472">
        <f ca="1">IF(N(I233)=0,9999,VLOOKUP(I233,Hraci!$A$1:$I$1500,8,0))</f>
        <v>9999</v>
      </c>
      <c r="N233" s="473">
        <f ca="1">IF(N(I233)=0,0,VLOOKUP(I233,Hraci!$A$1:$I$1500,9,0))</f>
        <v>0</v>
      </c>
      <c r="O233" s="469" t="str">
        <f t="shared" ca="1" si="88"/>
        <v/>
      </c>
      <c r="P233" s="470" t="str">
        <f ca="1">IF(N(O233)&gt;0,VLOOKUP(O233,Hraci!$A$1:$I$1500,2,0),IF(TYPE(INDIRECT(ADDRESS(ROW() + $A$9-8 + (ROW()-11)*4,2,1,1,"Internet")))&gt;1,INDIRECT(ADDRESS(ROW() + $A$9-8 + (ROW()-11)*4,2,1,1,"Internet"))," "))</f>
        <v xml:space="preserve"> </v>
      </c>
      <c r="Q233" s="471" t="str">
        <f ca="1">IF(N(O233)&gt;0,VLOOKUP(O233,Hraci!$A$1:$I$1500,3,0)," ")</f>
        <v xml:space="preserve"> </v>
      </c>
      <c r="R233" s="471" t="str">
        <f ca="1">IF(N(O233)&gt;0,VLOOKUP(O233,Hraci!$A$1:$I$1500,5,0),IF(TYPE(INDIRECT(ADDRESS(ROW() + $A$9-8 + (ROW()-11)*4,3,1,1,"Internet")))&gt;1,INDIRECT(ADDRESS(ROW() + $A$9-8 + (ROW()-11)*4,3,1,1,"Internet"))," "))</f>
        <v xml:space="preserve"> </v>
      </c>
      <c r="S233" s="472">
        <f ca="1">IF(N(O233)=0,9999,VLOOKUP(O233,Hraci!$A$1:$I$1500,8,0))</f>
        <v>9999</v>
      </c>
      <c r="T233" s="473">
        <f ca="1">IF(N(O233)=0,0,VLOOKUP(O233,Hraci!$A$1:$I$1500,9,0))</f>
        <v>0</v>
      </c>
      <c r="U233" s="469" t="str">
        <f t="shared" ca="1" si="89"/>
        <v/>
      </c>
      <c r="V233" s="470" t="str">
        <f ca="1">IF(N(U233)&gt;0,VLOOKUP(U233,Hraci!$A$1:$I$1500,2,0),IF(TYPE(INDIRECT(ADDRESS(ROW() + $A$9-7 + (ROW()-11)*4,2,1,1,"Internet")))&gt;1,INDIRECT(ADDRESS(ROW() + $A$9-7 + (ROW()-11)*4,2,1,1,"Internet"))," "))</f>
        <v xml:space="preserve"> </v>
      </c>
      <c r="W233" s="471" t="str">
        <f ca="1">IF(N(U233)&gt;0,VLOOKUP(U233,Hraci!$A$1:$I$1500,3,0)," ")</f>
        <v xml:space="preserve"> </v>
      </c>
      <c r="X233" s="471" t="str">
        <f ca="1">IF(N(U233)&gt;0,VLOOKUP(U233,Hraci!$A$1:$I$1500,5,0),IF(TYPE(INDIRECT(ADDRESS(ROW() + $A$9-7 + (ROW()-11)*4,3,1,1,"Internet")))&gt;1,INDIRECT(ADDRESS(ROW() + $A$9-7 + (ROW()-11)*4,3,1,1,"Internet"))," "))</f>
        <v xml:space="preserve"> </v>
      </c>
      <c r="Y233" s="472">
        <f ca="1">IF(N(U233)=0,9999,VLOOKUP(U233,Hraci!$A$1:$I$1500,8,0))</f>
        <v>9999</v>
      </c>
      <c r="Z233" s="473">
        <f ca="1">IF(N(U233)=0,0,VLOOKUP(U233,Hraci!$A$1:$I$1500,9,0))</f>
        <v>0</v>
      </c>
      <c r="AA233" s="469" t="str">
        <f t="shared" ca="1" si="90"/>
        <v/>
      </c>
      <c r="AB233" s="470" t="str">
        <f ca="1">IF(N(AA233)&gt;0,VLOOKUP(AA233,Hraci!$A$1:$I$1500,2,0)," ")</f>
        <v xml:space="preserve"> </v>
      </c>
      <c r="AC233" s="471" t="str">
        <f ca="1">IF(N(AA233)&gt;0,VLOOKUP(AA233,Hraci!$A$1:$I$1500,3,0)," ")</f>
        <v xml:space="preserve"> </v>
      </c>
      <c r="AD233" s="471" t="str">
        <f ca="1">IF(N(AA233)&gt;0,VLOOKUP(AA233,Hraci!$A$1:$I$1500,5,0)," ")</f>
        <v xml:space="preserve"> </v>
      </c>
      <c r="AE233" s="472">
        <f ca="1">IF(N(AA233)=0,9999,VLOOKUP(AA233,Hraci!$A$1:$I$1500,8,0))</f>
        <v>9999</v>
      </c>
      <c r="AF233" s="473">
        <f ca="1">IF(N(AA233)=0,0,VLOOKUP(AA233,Hraci!$A$1:$I$1500,9,0))</f>
        <v>0</v>
      </c>
      <c r="AG233" s="474"/>
      <c r="AH233" s="480">
        <f ca="1">IF(TYPE(VLOOKUP(H233,Nasazení!$A$3:$E$258,5,0))&lt;4,VLOOKUP(H233,Nasazení!$A$3:$E$258,5,0),0)</f>
        <v>0</v>
      </c>
      <c r="AI233" s="475" t="str">
        <f ca="1">IF(N($AH233)&gt;0,VLOOKUP($AH233,Body!$A$4:$F$259,5,0),"")</f>
        <v/>
      </c>
      <c r="AJ233" s="476" t="str">
        <f ca="1">IF(N($AH233)&gt;0,VLOOKUP($AH233,Body!$A$4:$F$259,6,0),"")</f>
        <v/>
      </c>
      <c r="AK233" s="475" t="str">
        <f ca="1">IF(N($AH233)&gt;0,VLOOKUP($AH233,Body!$A$4:$F$259,2,0),"")</f>
        <v/>
      </c>
      <c r="AL233" s="477" t="str">
        <f t="shared" ca="1" si="78"/>
        <v/>
      </c>
      <c r="AM233" s="478">
        <f t="shared" ca="1" si="79"/>
        <v>0</v>
      </c>
      <c r="AN233" s="408">
        <f ca="1">IF(OR(TYPE(I233)&gt;1,TYPE(MATCH(I233,I234:I$267,0))&gt;1),0,MATCH(I233,I234:I$267,0))+IF(OR(TYPE(I233)&gt;1,TYPE(MATCH(I233,O$11:O$267,0))&gt;1),0,MATCH(I233,O$11:O$267,0))+IF(OR(TYPE(I233)&gt;1,TYPE(MATCH(I233,U$11:U$267,0))&gt;1),0,MATCH(I233,U$11:U$267,0))+IF(OR(TYPE(I233)&gt;1,TYPE(MATCH(I233,AA$11:AA$267,0))&gt;1),0,MATCH(I233,AA$11:AA$267,0))</f>
        <v>0</v>
      </c>
      <c r="AO233" s="408">
        <f ca="1">IF(OR(TYPE(O233)&gt;1,TYPE(MATCH(O233,I$11:I$267,0))&gt;1),0,MATCH(O233,I$11:I$267,0))+IF(OR(TYPE(O233)&gt;1,TYPE(MATCH(O233,O234:O$267,0))&gt;1),0,MATCH(O233,O234:O$267,0))+IF(OR(TYPE(O233)&gt;1,TYPE(MATCH(O233,U$11:U$267,0))&gt;1),0,MATCH(O233,U$11:U$267,0))+IF(OR(TYPE(O233)&gt;1,TYPE(MATCH(O233,AA$11:AA$267,0))&gt;1),0,MATCH(O233,AA$11:AA$267,0))</f>
        <v>0</v>
      </c>
      <c r="AP233" s="408">
        <f ca="1">IF(OR(TYPE(U233)&gt;1,TYPE(MATCH(U233,I$11:I$267,0))&gt;1),0,MATCH(U233,I$11:I$267,0))+IF(OR(TYPE(U233)&gt;1,TYPE(MATCH(U233,O$11:O$267,0))&gt;1),0,MATCH(U233,O$11:O$267,0))+IF(OR(TYPE(U233)&gt;1,TYPE(MATCH(U233,U234:U$267,0))&gt;1),0,MATCH(U233,U234:U$267,0))+IF(OR(TYPE(U233)&gt;1,TYPE(MATCH(U233,AA$11:AA$267,0))&gt;1),0,MATCH(U233,AA$11:AA$267,0))</f>
        <v>0</v>
      </c>
      <c r="AQ233" s="408">
        <f ca="1">IF(OR(TYPE(AA233)&gt;1,TYPE(MATCH(AA233,I$11:I$267,0))&gt;1),0,MATCH(AA233,I$11:I$267,0))+IF(OR(TYPE(AA233)&gt;1,TYPE(MATCH(AA233,O$11:O$267,0))&gt;1),0,MATCH(AA233,O$11:O$267,0))+IF(OR(TYPE(AA233)&gt;1,TYPE(MATCH(AA233,U$11:U$267,0))&gt;1),0,MATCH(U233,U$11:U$267,0))+IF(OR(TYPE(AA233)&gt;1,TYPE(MATCH(AA233,AA234:AA$267,0))&gt;1),0,MATCH(AA233,AA234:AA$267,0))</f>
        <v>0</v>
      </c>
      <c r="AR233" s="408">
        <f t="shared" ca="1" si="91"/>
        <v>0</v>
      </c>
      <c r="BF233" s="408">
        <f t="shared" si="92"/>
        <v>223</v>
      </c>
    </row>
    <row r="234" spans="1:58" ht="14.25">
      <c r="A234" s="430">
        <f t="shared" ca="1" si="81"/>
        <v>0</v>
      </c>
      <c r="B234" s="430">
        <f t="shared" ca="1" si="82"/>
        <v>0</v>
      </c>
      <c r="C234" s="430">
        <f t="shared" ca="1" si="83"/>
        <v>0</v>
      </c>
      <c r="D234" s="430">
        <f t="shared" ca="1" si="84"/>
        <v>99999</v>
      </c>
      <c r="E234" s="430">
        <f t="shared" ca="1" si="85"/>
        <v>9999</v>
      </c>
      <c r="F234" s="431" t="str">
        <f t="shared" ca="1" si="80"/>
        <v>00000000000000000000912269</v>
      </c>
      <c r="G234" s="467" t="b">
        <f t="shared" ca="1" si="86"/>
        <v>1</v>
      </c>
      <c r="H234" s="468">
        <f t="shared" si="77"/>
        <v>224</v>
      </c>
      <c r="I234" s="469" t="str">
        <f t="shared" ca="1" si="87"/>
        <v/>
      </c>
      <c r="J234" s="470" t="str">
        <f ca="1">IF(N(I234)&gt;0,VLOOKUP(I234,Hraci!$A$1:$I$1500,2,0),IF(TYPE(INDIRECT(ADDRESS(ROW() + $A$9-9 + (ROW()-11)*4,2,1,1,"Internet")))&gt;1,INDIRECT(ADDRESS(ROW() + $A$9-9 + (ROW()-11)*4,2,1,1,"Internet"))," "))</f>
        <v xml:space="preserve"> </v>
      </c>
      <c r="K234" s="471" t="str">
        <f ca="1">IF(N(I234)&gt;0,VLOOKUP(I234,Hraci!$A$1:$I$1500,3,0)," ")</f>
        <v xml:space="preserve"> </v>
      </c>
      <c r="L234" s="471" t="str">
        <f ca="1">IF(N(I234)&gt;0,VLOOKUP(I234,Hraci!$A$1:$I$1500,5,0),IF(TYPE(INDIRECT(ADDRESS(ROW() + $A$9-9 + (ROW()-11)*4,3,1,1,"Internet")))&gt;1,INDIRECT(ADDRESS(ROW() + $A$9-9 + (ROW()-11)*4,3,1,1,"Internet"))," "))</f>
        <v xml:space="preserve"> </v>
      </c>
      <c r="M234" s="472">
        <f ca="1">IF(N(I234)=0,9999,VLOOKUP(I234,Hraci!$A$1:$I$1500,8,0))</f>
        <v>9999</v>
      </c>
      <c r="N234" s="473">
        <f ca="1">IF(N(I234)=0,0,VLOOKUP(I234,Hraci!$A$1:$I$1500,9,0))</f>
        <v>0</v>
      </c>
      <c r="O234" s="469" t="str">
        <f t="shared" ca="1" si="88"/>
        <v/>
      </c>
      <c r="P234" s="470" t="str">
        <f ca="1">IF(N(O234)&gt;0,VLOOKUP(O234,Hraci!$A$1:$I$1500,2,0),IF(TYPE(INDIRECT(ADDRESS(ROW() + $A$9-8 + (ROW()-11)*4,2,1,1,"Internet")))&gt;1,INDIRECT(ADDRESS(ROW() + $A$9-8 + (ROW()-11)*4,2,1,1,"Internet"))," "))</f>
        <v xml:space="preserve"> </v>
      </c>
      <c r="Q234" s="471" t="str">
        <f ca="1">IF(N(O234)&gt;0,VLOOKUP(O234,Hraci!$A$1:$I$1500,3,0)," ")</f>
        <v xml:space="preserve"> </v>
      </c>
      <c r="R234" s="471" t="str">
        <f ca="1">IF(N(O234)&gt;0,VLOOKUP(O234,Hraci!$A$1:$I$1500,5,0),IF(TYPE(INDIRECT(ADDRESS(ROW() + $A$9-8 + (ROW()-11)*4,3,1,1,"Internet")))&gt;1,INDIRECT(ADDRESS(ROW() + $A$9-8 + (ROW()-11)*4,3,1,1,"Internet"))," "))</f>
        <v xml:space="preserve"> </v>
      </c>
      <c r="S234" s="472">
        <f ca="1">IF(N(O234)=0,9999,VLOOKUP(O234,Hraci!$A$1:$I$1500,8,0))</f>
        <v>9999</v>
      </c>
      <c r="T234" s="473">
        <f ca="1">IF(N(O234)=0,0,VLOOKUP(O234,Hraci!$A$1:$I$1500,9,0))</f>
        <v>0</v>
      </c>
      <c r="U234" s="469" t="str">
        <f t="shared" ca="1" si="89"/>
        <v/>
      </c>
      <c r="V234" s="470" t="str">
        <f ca="1">IF(N(U234)&gt;0,VLOOKUP(U234,Hraci!$A$1:$I$1500,2,0),IF(TYPE(INDIRECT(ADDRESS(ROW() + $A$9-7 + (ROW()-11)*4,2,1,1,"Internet")))&gt;1,INDIRECT(ADDRESS(ROW() + $A$9-7 + (ROW()-11)*4,2,1,1,"Internet"))," "))</f>
        <v xml:space="preserve"> </v>
      </c>
      <c r="W234" s="471" t="str">
        <f ca="1">IF(N(U234)&gt;0,VLOOKUP(U234,Hraci!$A$1:$I$1500,3,0)," ")</f>
        <v xml:space="preserve"> </v>
      </c>
      <c r="X234" s="471" t="str">
        <f ca="1">IF(N(U234)&gt;0,VLOOKUP(U234,Hraci!$A$1:$I$1500,5,0),IF(TYPE(INDIRECT(ADDRESS(ROW() + $A$9-7 + (ROW()-11)*4,3,1,1,"Internet")))&gt;1,INDIRECT(ADDRESS(ROW() + $A$9-7 + (ROW()-11)*4,3,1,1,"Internet"))," "))</f>
        <v xml:space="preserve"> </v>
      </c>
      <c r="Y234" s="472">
        <f ca="1">IF(N(U234)=0,9999,VLOOKUP(U234,Hraci!$A$1:$I$1500,8,0))</f>
        <v>9999</v>
      </c>
      <c r="Z234" s="473">
        <f ca="1">IF(N(U234)=0,0,VLOOKUP(U234,Hraci!$A$1:$I$1500,9,0))</f>
        <v>0</v>
      </c>
      <c r="AA234" s="469" t="str">
        <f t="shared" ca="1" si="90"/>
        <v/>
      </c>
      <c r="AB234" s="470" t="str">
        <f ca="1">IF(N(AA234)&gt;0,VLOOKUP(AA234,Hraci!$A$1:$I$1500,2,0)," ")</f>
        <v xml:space="preserve"> </v>
      </c>
      <c r="AC234" s="471" t="str">
        <f ca="1">IF(N(AA234)&gt;0,VLOOKUP(AA234,Hraci!$A$1:$I$1500,3,0)," ")</f>
        <v xml:space="preserve"> </v>
      </c>
      <c r="AD234" s="471" t="str">
        <f ca="1">IF(N(AA234)&gt;0,VLOOKUP(AA234,Hraci!$A$1:$I$1500,5,0)," ")</f>
        <v xml:space="preserve"> </v>
      </c>
      <c r="AE234" s="472">
        <f ca="1">IF(N(AA234)=0,9999,VLOOKUP(AA234,Hraci!$A$1:$I$1500,8,0))</f>
        <v>9999</v>
      </c>
      <c r="AF234" s="473">
        <f ca="1">IF(N(AA234)=0,0,VLOOKUP(AA234,Hraci!$A$1:$I$1500,9,0))</f>
        <v>0</v>
      </c>
      <c r="AG234" s="474"/>
      <c r="AH234" s="480">
        <f ca="1">IF(TYPE(VLOOKUP(H234,Nasazení!$A$3:$E$258,5,0))&lt;4,VLOOKUP(H234,Nasazení!$A$3:$E$258,5,0),0)</f>
        <v>0</v>
      </c>
      <c r="AI234" s="475" t="str">
        <f ca="1">IF(N($AH234)&gt;0,VLOOKUP($AH234,Body!$A$4:$F$259,5,0),"")</f>
        <v/>
      </c>
      <c r="AJ234" s="476" t="str">
        <f ca="1">IF(N($AH234)&gt;0,VLOOKUP($AH234,Body!$A$4:$F$259,6,0),"")</f>
        <v/>
      </c>
      <c r="AK234" s="475" t="str">
        <f ca="1">IF(N($AH234)&gt;0,VLOOKUP($AH234,Body!$A$4:$F$259,2,0),"")</f>
        <v/>
      </c>
      <c r="AL234" s="477" t="str">
        <f t="shared" ca="1" si="78"/>
        <v/>
      </c>
      <c r="AM234" s="478">
        <f t="shared" ca="1" si="79"/>
        <v>0</v>
      </c>
      <c r="AN234" s="408">
        <f ca="1">IF(OR(TYPE(I234)&gt;1,TYPE(MATCH(I234,I235:I$267,0))&gt;1),0,MATCH(I234,I235:I$267,0))+IF(OR(TYPE(I234)&gt;1,TYPE(MATCH(I234,O$11:O$267,0))&gt;1),0,MATCH(I234,O$11:O$267,0))+IF(OR(TYPE(I234)&gt;1,TYPE(MATCH(I234,U$11:U$267,0))&gt;1),0,MATCH(I234,U$11:U$267,0))+IF(OR(TYPE(I234)&gt;1,TYPE(MATCH(I234,AA$11:AA$267,0))&gt;1),0,MATCH(I234,AA$11:AA$267,0))</f>
        <v>0</v>
      </c>
      <c r="AO234" s="408">
        <f ca="1">IF(OR(TYPE(O234)&gt;1,TYPE(MATCH(O234,I$11:I$267,0))&gt;1),0,MATCH(O234,I$11:I$267,0))+IF(OR(TYPE(O234)&gt;1,TYPE(MATCH(O234,O235:O$267,0))&gt;1),0,MATCH(O234,O235:O$267,0))+IF(OR(TYPE(O234)&gt;1,TYPE(MATCH(O234,U$11:U$267,0))&gt;1),0,MATCH(O234,U$11:U$267,0))+IF(OR(TYPE(O234)&gt;1,TYPE(MATCH(O234,AA$11:AA$267,0))&gt;1),0,MATCH(O234,AA$11:AA$267,0))</f>
        <v>0</v>
      </c>
      <c r="AP234" s="408">
        <f ca="1">IF(OR(TYPE(U234)&gt;1,TYPE(MATCH(U234,I$11:I$267,0))&gt;1),0,MATCH(U234,I$11:I$267,0))+IF(OR(TYPE(U234)&gt;1,TYPE(MATCH(U234,O$11:O$267,0))&gt;1),0,MATCH(U234,O$11:O$267,0))+IF(OR(TYPE(U234)&gt;1,TYPE(MATCH(U234,U235:U$267,0))&gt;1),0,MATCH(U234,U235:U$267,0))+IF(OR(TYPE(U234)&gt;1,TYPE(MATCH(U234,AA$11:AA$267,0))&gt;1),0,MATCH(U234,AA$11:AA$267,0))</f>
        <v>0</v>
      </c>
      <c r="AQ234" s="408">
        <f ca="1">IF(OR(TYPE(AA234)&gt;1,TYPE(MATCH(AA234,I$11:I$267,0))&gt;1),0,MATCH(AA234,I$11:I$267,0))+IF(OR(TYPE(AA234)&gt;1,TYPE(MATCH(AA234,O$11:O$267,0))&gt;1),0,MATCH(AA234,O$11:O$267,0))+IF(OR(TYPE(AA234)&gt;1,TYPE(MATCH(AA234,U$11:U$267,0))&gt;1),0,MATCH(U234,U$11:U$267,0))+IF(OR(TYPE(AA234)&gt;1,TYPE(MATCH(AA234,AA235:AA$267,0))&gt;1),0,MATCH(AA234,AA235:AA$267,0))</f>
        <v>0</v>
      </c>
      <c r="AR234" s="408">
        <f t="shared" ca="1" si="91"/>
        <v>0</v>
      </c>
      <c r="BF234" s="408">
        <f t="shared" si="92"/>
        <v>224</v>
      </c>
    </row>
    <row r="235" spans="1:58" ht="14.25">
      <c r="A235" s="430">
        <f t="shared" ca="1" si="81"/>
        <v>0</v>
      </c>
      <c r="B235" s="430">
        <f t="shared" ca="1" si="82"/>
        <v>0</v>
      </c>
      <c r="C235" s="430">
        <f t="shared" ca="1" si="83"/>
        <v>0</v>
      </c>
      <c r="D235" s="430">
        <f t="shared" ca="1" si="84"/>
        <v>99999</v>
      </c>
      <c r="E235" s="430">
        <f t="shared" ca="1" si="85"/>
        <v>9999</v>
      </c>
      <c r="F235" s="431" t="str">
        <f t="shared" ca="1" si="80"/>
        <v>00000000000000000000534392</v>
      </c>
      <c r="G235" s="467" t="b">
        <f t="shared" ca="1" si="86"/>
        <v>1</v>
      </c>
      <c r="H235" s="468">
        <f t="shared" si="77"/>
        <v>225</v>
      </c>
      <c r="I235" s="469" t="str">
        <f t="shared" ca="1" si="87"/>
        <v/>
      </c>
      <c r="J235" s="470" t="str">
        <f ca="1">IF(N(I235)&gt;0,VLOOKUP(I235,Hraci!$A$1:$I$1500,2,0),IF(TYPE(INDIRECT(ADDRESS(ROW() + $A$9-9 + (ROW()-11)*4,2,1,1,"Internet")))&gt;1,INDIRECT(ADDRESS(ROW() + $A$9-9 + (ROW()-11)*4,2,1,1,"Internet"))," "))</f>
        <v xml:space="preserve"> </v>
      </c>
      <c r="K235" s="471" t="str">
        <f ca="1">IF(N(I235)&gt;0,VLOOKUP(I235,Hraci!$A$1:$I$1500,3,0)," ")</f>
        <v xml:space="preserve"> </v>
      </c>
      <c r="L235" s="471" t="str">
        <f ca="1">IF(N(I235)&gt;0,VLOOKUP(I235,Hraci!$A$1:$I$1500,5,0),IF(TYPE(INDIRECT(ADDRESS(ROW() + $A$9-9 + (ROW()-11)*4,3,1,1,"Internet")))&gt;1,INDIRECT(ADDRESS(ROW() + $A$9-9 + (ROW()-11)*4,3,1,1,"Internet"))," "))</f>
        <v xml:space="preserve"> </v>
      </c>
      <c r="M235" s="472">
        <f ca="1">IF(N(I235)=0,9999,VLOOKUP(I235,Hraci!$A$1:$I$1500,8,0))</f>
        <v>9999</v>
      </c>
      <c r="N235" s="473">
        <f ca="1">IF(N(I235)=0,0,VLOOKUP(I235,Hraci!$A$1:$I$1500,9,0))</f>
        <v>0</v>
      </c>
      <c r="O235" s="469" t="str">
        <f t="shared" ca="1" si="88"/>
        <v/>
      </c>
      <c r="P235" s="470" t="str">
        <f ca="1">IF(N(O235)&gt;0,VLOOKUP(O235,Hraci!$A$1:$I$1500,2,0),IF(TYPE(INDIRECT(ADDRESS(ROW() + $A$9-8 + (ROW()-11)*4,2,1,1,"Internet")))&gt;1,INDIRECT(ADDRESS(ROW() + $A$9-8 + (ROW()-11)*4,2,1,1,"Internet"))," "))</f>
        <v xml:space="preserve"> </v>
      </c>
      <c r="Q235" s="471" t="str">
        <f ca="1">IF(N(O235)&gt;0,VLOOKUP(O235,Hraci!$A$1:$I$1500,3,0)," ")</f>
        <v xml:space="preserve"> </v>
      </c>
      <c r="R235" s="471" t="str">
        <f ca="1">IF(N(O235)&gt;0,VLOOKUP(O235,Hraci!$A$1:$I$1500,5,0),IF(TYPE(INDIRECT(ADDRESS(ROW() + $A$9-8 + (ROW()-11)*4,3,1,1,"Internet")))&gt;1,INDIRECT(ADDRESS(ROW() + $A$9-8 + (ROW()-11)*4,3,1,1,"Internet"))," "))</f>
        <v xml:space="preserve"> </v>
      </c>
      <c r="S235" s="472">
        <f ca="1">IF(N(O235)=0,9999,VLOOKUP(O235,Hraci!$A$1:$I$1500,8,0))</f>
        <v>9999</v>
      </c>
      <c r="T235" s="473">
        <f ca="1">IF(N(O235)=0,0,VLOOKUP(O235,Hraci!$A$1:$I$1500,9,0))</f>
        <v>0</v>
      </c>
      <c r="U235" s="469" t="str">
        <f t="shared" ca="1" si="89"/>
        <v/>
      </c>
      <c r="V235" s="470" t="str">
        <f ca="1">IF(N(U235)&gt;0,VLOOKUP(U235,Hraci!$A$1:$I$1500,2,0),IF(TYPE(INDIRECT(ADDRESS(ROW() + $A$9-7 + (ROW()-11)*4,2,1,1,"Internet")))&gt;1,INDIRECT(ADDRESS(ROW() + $A$9-7 + (ROW()-11)*4,2,1,1,"Internet"))," "))</f>
        <v xml:space="preserve"> </v>
      </c>
      <c r="W235" s="471" t="str">
        <f ca="1">IF(N(U235)&gt;0,VLOOKUP(U235,Hraci!$A$1:$I$1500,3,0)," ")</f>
        <v xml:space="preserve"> </v>
      </c>
      <c r="X235" s="471" t="str">
        <f ca="1">IF(N(U235)&gt;0,VLOOKUP(U235,Hraci!$A$1:$I$1500,5,0),IF(TYPE(INDIRECT(ADDRESS(ROW() + $A$9-7 + (ROW()-11)*4,3,1,1,"Internet")))&gt;1,INDIRECT(ADDRESS(ROW() + $A$9-7 + (ROW()-11)*4,3,1,1,"Internet"))," "))</f>
        <v xml:space="preserve"> </v>
      </c>
      <c r="Y235" s="472">
        <f ca="1">IF(N(U235)=0,9999,VLOOKUP(U235,Hraci!$A$1:$I$1500,8,0))</f>
        <v>9999</v>
      </c>
      <c r="Z235" s="473">
        <f ca="1">IF(N(U235)=0,0,VLOOKUP(U235,Hraci!$A$1:$I$1500,9,0))</f>
        <v>0</v>
      </c>
      <c r="AA235" s="469" t="str">
        <f t="shared" ca="1" si="90"/>
        <v/>
      </c>
      <c r="AB235" s="470" t="str">
        <f ca="1">IF(N(AA235)&gt;0,VLOOKUP(AA235,Hraci!$A$1:$I$1500,2,0)," ")</f>
        <v xml:space="preserve"> </v>
      </c>
      <c r="AC235" s="471" t="str">
        <f ca="1">IF(N(AA235)&gt;0,VLOOKUP(AA235,Hraci!$A$1:$I$1500,3,0)," ")</f>
        <v xml:space="preserve"> </v>
      </c>
      <c r="AD235" s="471" t="str">
        <f ca="1">IF(N(AA235)&gt;0,VLOOKUP(AA235,Hraci!$A$1:$I$1500,5,0)," ")</f>
        <v xml:space="preserve"> </v>
      </c>
      <c r="AE235" s="472">
        <f ca="1">IF(N(AA235)=0,9999,VLOOKUP(AA235,Hraci!$A$1:$I$1500,8,0))</f>
        <v>9999</v>
      </c>
      <c r="AF235" s="473">
        <f ca="1">IF(N(AA235)=0,0,VLOOKUP(AA235,Hraci!$A$1:$I$1500,9,0))</f>
        <v>0</v>
      </c>
      <c r="AG235" s="474"/>
      <c r="AH235" s="480">
        <f ca="1">IF(TYPE(VLOOKUP(H235,Nasazení!$A$3:$E$258,5,0))&lt;4,VLOOKUP(H235,Nasazení!$A$3:$E$258,5,0),0)</f>
        <v>0</v>
      </c>
      <c r="AI235" s="475" t="str">
        <f ca="1">IF(N($AH235)&gt;0,VLOOKUP($AH235,Body!$A$4:$F$259,5,0),"")</f>
        <v/>
      </c>
      <c r="AJ235" s="476" t="str">
        <f ca="1">IF(N($AH235)&gt;0,VLOOKUP($AH235,Body!$A$4:$F$259,6,0),"")</f>
        <v/>
      </c>
      <c r="AK235" s="475" t="str">
        <f ca="1">IF(N($AH235)&gt;0,VLOOKUP($AH235,Body!$A$4:$F$259,2,0),"")</f>
        <v/>
      </c>
      <c r="AL235" s="477" t="str">
        <f t="shared" ca="1" si="78"/>
        <v/>
      </c>
      <c r="AM235" s="478">
        <f t="shared" ca="1" si="79"/>
        <v>0</v>
      </c>
      <c r="AN235" s="408">
        <f ca="1">IF(OR(TYPE(I235)&gt;1,TYPE(MATCH(I235,I236:I$267,0))&gt;1),0,MATCH(I235,I236:I$267,0))+IF(OR(TYPE(I235)&gt;1,TYPE(MATCH(I235,O$11:O$267,0))&gt;1),0,MATCH(I235,O$11:O$267,0))+IF(OR(TYPE(I235)&gt;1,TYPE(MATCH(I235,U$11:U$267,0))&gt;1),0,MATCH(I235,U$11:U$267,0))+IF(OR(TYPE(I235)&gt;1,TYPE(MATCH(I235,AA$11:AA$267,0))&gt;1),0,MATCH(I235,AA$11:AA$267,0))</f>
        <v>0</v>
      </c>
      <c r="AO235" s="408">
        <f ca="1">IF(OR(TYPE(O235)&gt;1,TYPE(MATCH(O235,I$11:I$267,0))&gt;1),0,MATCH(O235,I$11:I$267,0))+IF(OR(TYPE(O235)&gt;1,TYPE(MATCH(O235,O236:O$267,0))&gt;1),0,MATCH(O235,O236:O$267,0))+IF(OR(TYPE(O235)&gt;1,TYPE(MATCH(O235,U$11:U$267,0))&gt;1),0,MATCH(O235,U$11:U$267,0))+IF(OR(TYPE(O235)&gt;1,TYPE(MATCH(O235,AA$11:AA$267,0))&gt;1),0,MATCH(O235,AA$11:AA$267,0))</f>
        <v>0</v>
      </c>
      <c r="AP235" s="408">
        <f ca="1">IF(OR(TYPE(U235)&gt;1,TYPE(MATCH(U235,I$11:I$267,0))&gt;1),0,MATCH(U235,I$11:I$267,0))+IF(OR(TYPE(U235)&gt;1,TYPE(MATCH(U235,O$11:O$267,0))&gt;1),0,MATCH(U235,O$11:O$267,0))+IF(OR(TYPE(U235)&gt;1,TYPE(MATCH(U235,U236:U$267,0))&gt;1),0,MATCH(U235,U236:U$267,0))+IF(OR(TYPE(U235)&gt;1,TYPE(MATCH(U235,AA$11:AA$267,0))&gt;1),0,MATCH(U235,AA$11:AA$267,0))</f>
        <v>0</v>
      </c>
      <c r="AQ235" s="408">
        <f ca="1">IF(OR(TYPE(AA235)&gt;1,TYPE(MATCH(AA235,I$11:I$267,0))&gt;1),0,MATCH(AA235,I$11:I$267,0))+IF(OR(TYPE(AA235)&gt;1,TYPE(MATCH(AA235,O$11:O$267,0))&gt;1),0,MATCH(AA235,O$11:O$267,0))+IF(OR(TYPE(AA235)&gt;1,TYPE(MATCH(AA235,U$11:U$267,0))&gt;1),0,MATCH(U235,U$11:U$267,0))+IF(OR(TYPE(AA235)&gt;1,TYPE(MATCH(AA235,AA236:AA$267,0))&gt;1),0,MATCH(AA235,AA236:AA$267,0))</f>
        <v>0</v>
      </c>
      <c r="AR235" s="408">
        <f t="shared" ca="1" si="91"/>
        <v>0</v>
      </c>
      <c r="BF235" s="408">
        <f t="shared" si="92"/>
        <v>225</v>
      </c>
    </row>
    <row r="236" spans="1:58" ht="14.25">
      <c r="A236" s="430">
        <f t="shared" ca="1" si="81"/>
        <v>0</v>
      </c>
      <c r="B236" s="430">
        <f t="shared" ca="1" si="82"/>
        <v>0</v>
      </c>
      <c r="C236" s="430">
        <f t="shared" ca="1" si="83"/>
        <v>0</v>
      </c>
      <c r="D236" s="430">
        <f t="shared" ca="1" si="84"/>
        <v>99999</v>
      </c>
      <c r="E236" s="430">
        <f t="shared" ca="1" si="85"/>
        <v>9999</v>
      </c>
      <c r="F236" s="431" t="str">
        <f t="shared" ca="1" si="80"/>
        <v>00000000000000000000229209</v>
      </c>
      <c r="G236" s="467" t="b">
        <f t="shared" ca="1" si="86"/>
        <v>1</v>
      </c>
      <c r="H236" s="468">
        <f t="shared" si="77"/>
        <v>226</v>
      </c>
      <c r="I236" s="469" t="str">
        <f t="shared" ca="1" si="87"/>
        <v/>
      </c>
      <c r="J236" s="470" t="str">
        <f ca="1">IF(N(I236)&gt;0,VLOOKUP(I236,Hraci!$A$1:$I$1500,2,0),IF(TYPE(INDIRECT(ADDRESS(ROW() + $A$9-9 + (ROW()-11)*4,2,1,1,"Internet")))&gt;1,INDIRECT(ADDRESS(ROW() + $A$9-9 + (ROW()-11)*4,2,1,1,"Internet"))," "))</f>
        <v xml:space="preserve"> </v>
      </c>
      <c r="K236" s="471" t="str">
        <f ca="1">IF(N(I236)&gt;0,VLOOKUP(I236,Hraci!$A$1:$I$1500,3,0)," ")</f>
        <v xml:space="preserve"> </v>
      </c>
      <c r="L236" s="471" t="str">
        <f ca="1">IF(N(I236)&gt;0,VLOOKUP(I236,Hraci!$A$1:$I$1500,5,0),IF(TYPE(INDIRECT(ADDRESS(ROW() + $A$9-9 + (ROW()-11)*4,3,1,1,"Internet")))&gt;1,INDIRECT(ADDRESS(ROW() + $A$9-9 + (ROW()-11)*4,3,1,1,"Internet"))," "))</f>
        <v xml:space="preserve"> </v>
      </c>
      <c r="M236" s="472">
        <f ca="1">IF(N(I236)=0,9999,VLOOKUP(I236,Hraci!$A$1:$I$1500,8,0))</f>
        <v>9999</v>
      </c>
      <c r="N236" s="473">
        <f ca="1">IF(N(I236)=0,0,VLOOKUP(I236,Hraci!$A$1:$I$1500,9,0))</f>
        <v>0</v>
      </c>
      <c r="O236" s="469" t="str">
        <f t="shared" ca="1" si="88"/>
        <v/>
      </c>
      <c r="P236" s="470" t="str">
        <f ca="1">IF(N(O236)&gt;0,VLOOKUP(O236,Hraci!$A$1:$I$1500,2,0),IF(TYPE(INDIRECT(ADDRESS(ROW() + $A$9-8 + (ROW()-11)*4,2,1,1,"Internet")))&gt;1,INDIRECT(ADDRESS(ROW() + $A$9-8 + (ROW()-11)*4,2,1,1,"Internet"))," "))</f>
        <v xml:space="preserve"> </v>
      </c>
      <c r="Q236" s="471" t="str">
        <f ca="1">IF(N(O236)&gt;0,VLOOKUP(O236,Hraci!$A$1:$I$1500,3,0)," ")</f>
        <v xml:space="preserve"> </v>
      </c>
      <c r="R236" s="471" t="str">
        <f ca="1">IF(N(O236)&gt;0,VLOOKUP(O236,Hraci!$A$1:$I$1500,5,0),IF(TYPE(INDIRECT(ADDRESS(ROW() + $A$9-8 + (ROW()-11)*4,3,1,1,"Internet")))&gt;1,INDIRECT(ADDRESS(ROW() + $A$9-8 + (ROW()-11)*4,3,1,1,"Internet"))," "))</f>
        <v xml:space="preserve"> </v>
      </c>
      <c r="S236" s="472">
        <f ca="1">IF(N(O236)=0,9999,VLOOKUP(O236,Hraci!$A$1:$I$1500,8,0))</f>
        <v>9999</v>
      </c>
      <c r="T236" s="473">
        <f ca="1">IF(N(O236)=0,0,VLOOKUP(O236,Hraci!$A$1:$I$1500,9,0))</f>
        <v>0</v>
      </c>
      <c r="U236" s="469" t="str">
        <f t="shared" ca="1" si="89"/>
        <v/>
      </c>
      <c r="V236" s="470" t="str">
        <f ca="1">IF(N(U236)&gt;0,VLOOKUP(U236,Hraci!$A$1:$I$1500,2,0),IF(TYPE(INDIRECT(ADDRESS(ROW() + $A$9-7 + (ROW()-11)*4,2,1,1,"Internet")))&gt;1,INDIRECT(ADDRESS(ROW() + $A$9-7 + (ROW()-11)*4,2,1,1,"Internet"))," "))</f>
        <v xml:space="preserve"> </v>
      </c>
      <c r="W236" s="471" t="str">
        <f ca="1">IF(N(U236)&gt;0,VLOOKUP(U236,Hraci!$A$1:$I$1500,3,0)," ")</f>
        <v xml:space="preserve"> </v>
      </c>
      <c r="X236" s="471" t="str">
        <f ca="1">IF(N(U236)&gt;0,VLOOKUP(U236,Hraci!$A$1:$I$1500,5,0),IF(TYPE(INDIRECT(ADDRESS(ROW() + $A$9-7 + (ROW()-11)*4,3,1,1,"Internet")))&gt;1,INDIRECT(ADDRESS(ROW() + $A$9-7 + (ROW()-11)*4,3,1,1,"Internet"))," "))</f>
        <v xml:space="preserve"> </v>
      </c>
      <c r="Y236" s="472">
        <f ca="1">IF(N(U236)=0,9999,VLOOKUP(U236,Hraci!$A$1:$I$1500,8,0))</f>
        <v>9999</v>
      </c>
      <c r="Z236" s="473">
        <f ca="1">IF(N(U236)=0,0,VLOOKUP(U236,Hraci!$A$1:$I$1500,9,0))</f>
        <v>0</v>
      </c>
      <c r="AA236" s="469" t="str">
        <f t="shared" ca="1" si="90"/>
        <v/>
      </c>
      <c r="AB236" s="470" t="str">
        <f ca="1">IF(N(AA236)&gt;0,VLOOKUP(AA236,Hraci!$A$1:$I$1500,2,0)," ")</f>
        <v xml:space="preserve"> </v>
      </c>
      <c r="AC236" s="471" t="str">
        <f ca="1">IF(N(AA236)&gt;0,VLOOKUP(AA236,Hraci!$A$1:$I$1500,3,0)," ")</f>
        <v xml:space="preserve"> </v>
      </c>
      <c r="AD236" s="471" t="str">
        <f ca="1">IF(N(AA236)&gt;0,VLOOKUP(AA236,Hraci!$A$1:$I$1500,5,0)," ")</f>
        <v xml:space="preserve"> </v>
      </c>
      <c r="AE236" s="472">
        <f ca="1">IF(N(AA236)=0,9999,VLOOKUP(AA236,Hraci!$A$1:$I$1500,8,0))</f>
        <v>9999</v>
      </c>
      <c r="AF236" s="473">
        <f ca="1">IF(N(AA236)=0,0,VLOOKUP(AA236,Hraci!$A$1:$I$1500,9,0))</f>
        <v>0</v>
      </c>
      <c r="AG236" s="474"/>
      <c r="AH236" s="480">
        <f ca="1">IF(TYPE(VLOOKUP(H236,Nasazení!$A$3:$E$258,5,0))&lt;4,VLOOKUP(H236,Nasazení!$A$3:$E$258,5,0),0)</f>
        <v>0</v>
      </c>
      <c r="AI236" s="475" t="str">
        <f ca="1">IF(N($AH236)&gt;0,VLOOKUP($AH236,Body!$A$4:$F$259,5,0),"")</f>
        <v/>
      </c>
      <c r="AJ236" s="476" t="str">
        <f ca="1">IF(N($AH236)&gt;0,VLOOKUP($AH236,Body!$A$4:$F$259,6,0),"")</f>
        <v/>
      </c>
      <c r="AK236" s="475" t="str">
        <f ca="1">IF(N($AH236)&gt;0,VLOOKUP($AH236,Body!$A$4:$F$259,2,0),"")</f>
        <v/>
      </c>
      <c r="AL236" s="477" t="str">
        <f t="shared" ca="1" si="78"/>
        <v/>
      </c>
      <c r="AM236" s="478">
        <f t="shared" ca="1" si="79"/>
        <v>0</v>
      </c>
      <c r="AN236" s="408">
        <f ca="1">IF(OR(TYPE(I236)&gt;1,TYPE(MATCH(I236,I237:I$267,0))&gt;1),0,MATCH(I236,I237:I$267,0))+IF(OR(TYPE(I236)&gt;1,TYPE(MATCH(I236,O$11:O$267,0))&gt;1),0,MATCH(I236,O$11:O$267,0))+IF(OR(TYPE(I236)&gt;1,TYPE(MATCH(I236,U$11:U$267,0))&gt;1),0,MATCH(I236,U$11:U$267,0))+IF(OR(TYPE(I236)&gt;1,TYPE(MATCH(I236,AA$11:AA$267,0))&gt;1),0,MATCH(I236,AA$11:AA$267,0))</f>
        <v>0</v>
      </c>
      <c r="AO236" s="408">
        <f ca="1">IF(OR(TYPE(O236)&gt;1,TYPE(MATCH(O236,I$11:I$267,0))&gt;1),0,MATCH(O236,I$11:I$267,0))+IF(OR(TYPE(O236)&gt;1,TYPE(MATCH(O236,O237:O$267,0))&gt;1),0,MATCH(O236,O237:O$267,0))+IF(OR(TYPE(O236)&gt;1,TYPE(MATCH(O236,U$11:U$267,0))&gt;1),0,MATCH(O236,U$11:U$267,0))+IF(OR(TYPE(O236)&gt;1,TYPE(MATCH(O236,AA$11:AA$267,0))&gt;1),0,MATCH(O236,AA$11:AA$267,0))</f>
        <v>0</v>
      </c>
      <c r="AP236" s="408">
        <f ca="1">IF(OR(TYPE(U236)&gt;1,TYPE(MATCH(U236,I$11:I$267,0))&gt;1),0,MATCH(U236,I$11:I$267,0))+IF(OR(TYPE(U236)&gt;1,TYPE(MATCH(U236,O$11:O$267,0))&gt;1),0,MATCH(U236,O$11:O$267,0))+IF(OR(TYPE(U236)&gt;1,TYPE(MATCH(U236,U237:U$267,0))&gt;1),0,MATCH(U236,U237:U$267,0))+IF(OR(TYPE(U236)&gt;1,TYPE(MATCH(U236,AA$11:AA$267,0))&gt;1),0,MATCH(U236,AA$11:AA$267,0))</f>
        <v>0</v>
      </c>
      <c r="AQ236" s="408">
        <f ca="1">IF(OR(TYPE(AA236)&gt;1,TYPE(MATCH(AA236,I$11:I$267,0))&gt;1),0,MATCH(AA236,I$11:I$267,0))+IF(OR(TYPE(AA236)&gt;1,TYPE(MATCH(AA236,O$11:O$267,0))&gt;1),0,MATCH(AA236,O$11:O$267,0))+IF(OR(TYPE(AA236)&gt;1,TYPE(MATCH(AA236,U$11:U$267,0))&gt;1),0,MATCH(U236,U$11:U$267,0))+IF(OR(TYPE(AA236)&gt;1,TYPE(MATCH(AA236,AA237:AA$267,0))&gt;1),0,MATCH(AA236,AA237:AA$267,0))</f>
        <v>0</v>
      </c>
      <c r="AR236" s="408">
        <f t="shared" ca="1" si="91"/>
        <v>0</v>
      </c>
      <c r="BF236" s="408">
        <f t="shared" si="92"/>
        <v>226</v>
      </c>
    </row>
    <row r="237" spans="1:58" ht="14.25">
      <c r="A237" s="430">
        <f t="shared" ca="1" si="81"/>
        <v>0</v>
      </c>
      <c r="B237" s="430">
        <f t="shared" ca="1" si="82"/>
        <v>0</v>
      </c>
      <c r="C237" s="430">
        <f t="shared" ca="1" si="83"/>
        <v>0</v>
      </c>
      <c r="D237" s="430">
        <f t="shared" ca="1" si="84"/>
        <v>99999</v>
      </c>
      <c r="E237" s="430">
        <f t="shared" ca="1" si="85"/>
        <v>9999</v>
      </c>
      <c r="F237" s="431" t="str">
        <f t="shared" ca="1" si="80"/>
        <v>00000000000000000000163968</v>
      </c>
      <c r="G237" s="467" t="b">
        <f t="shared" ca="1" si="86"/>
        <v>1</v>
      </c>
      <c r="H237" s="468">
        <f t="shared" si="77"/>
        <v>227</v>
      </c>
      <c r="I237" s="469" t="str">
        <f t="shared" ca="1" si="87"/>
        <v/>
      </c>
      <c r="J237" s="470" t="str">
        <f ca="1">IF(N(I237)&gt;0,VLOOKUP(I237,Hraci!$A$1:$I$1500,2,0),IF(TYPE(INDIRECT(ADDRESS(ROW() + $A$9-9 + (ROW()-11)*4,2,1,1,"Internet")))&gt;1,INDIRECT(ADDRESS(ROW() + $A$9-9 + (ROW()-11)*4,2,1,1,"Internet"))," "))</f>
        <v xml:space="preserve"> </v>
      </c>
      <c r="K237" s="471" t="str">
        <f ca="1">IF(N(I237)&gt;0,VLOOKUP(I237,Hraci!$A$1:$I$1500,3,0)," ")</f>
        <v xml:space="preserve"> </v>
      </c>
      <c r="L237" s="471" t="str">
        <f ca="1">IF(N(I237)&gt;0,VLOOKUP(I237,Hraci!$A$1:$I$1500,5,0),IF(TYPE(INDIRECT(ADDRESS(ROW() + $A$9-9 + (ROW()-11)*4,3,1,1,"Internet")))&gt;1,INDIRECT(ADDRESS(ROW() + $A$9-9 + (ROW()-11)*4,3,1,1,"Internet"))," "))</f>
        <v xml:space="preserve"> </v>
      </c>
      <c r="M237" s="472">
        <f ca="1">IF(N(I237)=0,9999,VLOOKUP(I237,Hraci!$A$1:$I$1500,8,0))</f>
        <v>9999</v>
      </c>
      <c r="N237" s="473">
        <f ca="1">IF(N(I237)=0,0,VLOOKUP(I237,Hraci!$A$1:$I$1500,9,0))</f>
        <v>0</v>
      </c>
      <c r="O237" s="469" t="str">
        <f t="shared" ca="1" si="88"/>
        <v/>
      </c>
      <c r="P237" s="470" t="str">
        <f ca="1">IF(N(O237)&gt;0,VLOOKUP(O237,Hraci!$A$1:$I$1500,2,0),IF(TYPE(INDIRECT(ADDRESS(ROW() + $A$9-8 + (ROW()-11)*4,2,1,1,"Internet")))&gt;1,INDIRECT(ADDRESS(ROW() + $A$9-8 + (ROW()-11)*4,2,1,1,"Internet"))," "))</f>
        <v xml:space="preserve"> </v>
      </c>
      <c r="Q237" s="471" t="str">
        <f ca="1">IF(N(O237)&gt;0,VLOOKUP(O237,Hraci!$A$1:$I$1500,3,0)," ")</f>
        <v xml:space="preserve"> </v>
      </c>
      <c r="R237" s="471" t="str">
        <f ca="1">IF(N(O237)&gt;0,VLOOKUP(O237,Hraci!$A$1:$I$1500,5,0),IF(TYPE(INDIRECT(ADDRESS(ROW() + $A$9-8 + (ROW()-11)*4,3,1,1,"Internet")))&gt;1,INDIRECT(ADDRESS(ROW() + $A$9-8 + (ROW()-11)*4,3,1,1,"Internet"))," "))</f>
        <v xml:space="preserve"> </v>
      </c>
      <c r="S237" s="472">
        <f ca="1">IF(N(O237)=0,9999,VLOOKUP(O237,Hraci!$A$1:$I$1500,8,0))</f>
        <v>9999</v>
      </c>
      <c r="T237" s="473">
        <f ca="1">IF(N(O237)=0,0,VLOOKUP(O237,Hraci!$A$1:$I$1500,9,0))</f>
        <v>0</v>
      </c>
      <c r="U237" s="469" t="str">
        <f t="shared" ca="1" si="89"/>
        <v/>
      </c>
      <c r="V237" s="470" t="str">
        <f ca="1">IF(N(U237)&gt;0,VLOOKUP(U237,Hraci!$A$1:$I$1500,2,0),IF(TYPE(INDIRECT(ADDRESS(ROW() + $A$9-7 + (ROW()-11)*4,2,1,1,"Internet")))&gt;1,INDIRECT(ADDRESS(ROW() + $A$9-7 + (ROW()-11)*4,2,1,1,"Internet"))," "))</f>
        <v xml:space="preserve"> </v>
      </c>
      <c r="W237" s="471" t="str">
        <f ca="1">IF(N(U237)&gt;0,VLOOKUP(U237,Hraci!$A$1:$I$1500,3,0)," ")</f>
        <v xml:space="preserve"> </v>
      </c>
      <c r="X237" s="471" t="str">
        <f ca="1">IF(N(U237)&gt;0,VLOOKUP(U237,Hraci!$A$1:$I$1500,5,0),IF(TYPE(INDIRECT(ADDRESS(ROW() + $A$9-7 + (ROW()-11)*4,3,1,1,"Internet")))&gt;1,INDIRECT(ADDRESS(ROW() + $A$9-7 + (ROW()-11)*4,3,1,1,"Internet"))," "))</f>
        <v xml:space="preserve"> </v>
      </c>
      <c r="Y237" s="472">
        <f ca="1">IF(N(U237)=0,9999,VLOOKUP(U237,Hraci!$A$1:$I$1500,8,0))</f>
        <v>9999</v>
      </c>
      <c r="Z237" s="473">
        <f ca="1">IF(N(U237)=0,0,VLOOKUP(U237,Hraci!$A$1:$I$1500,9,0))</f>
        <v>0</v>
      </c>
      <c r="AA237" s="469" t="str">
        <f t="shared" ca="1" si="90"/>
        <v/>
      </c>
      <c r="AB237" s="470" t="str">
        <f ca="1">IF(N(AA237)&gt;0,VLOOKUP(AA237,Hraci!$A$1:$I$1500,2,0)," ")</f>
        <v xml:space="preserve"> </v>
      </c>
      <c r="AC237" s="471" t="str">
        <f ca="1">IF(N(AA237)&gt;0,VLOOKUP(AA237,Hraci!$A$1:$I$1500,3,0)," ")</f>
        <v xml:space="preserve"> </v>
      </c>
      <c r="AD237" s="471" t="str">
        <f ca="1">IF(N(AA237)&gt;0,VLOOKUP(AA237,Hraci!$A$1:$I$1500,5,0)," ")</f>
        <v xml:space="preserve"> </v>
      </c>
      <c r="AE237" s="472">
        <f ca="1">IF(N(AA237)=0,9999,VLOOKUP(AA237,Hraci!$A$1:$I$1500,8,0))</f>
        <v>9999</v>
      </c>
      <c r="AF237" s="473">
        <f ca="1">IF(N(AA237)=0,0,VLOOKUP(AA237,Hraci!$A$1:$I$1500,9,0))</f>
        <v>0</v>
      </c>
      <c r="AG237" s="474"/>
      <c r="AH237" s="480">
        <f ca="1">IF(TYPE(VLOOKUP(H237,Nasazení!$A$3:$E$258,5,0))&lt;4,VLOOKUP(H237,Nasazení!$A$3:$E$258,5,0),0)</f>
        <v>0</v>
      </c>
      <c r="AI237" s="475" t="str">
        <f ca="1">IF(N($AH237)&gt;0,VLOOKUP($AH237,Body!$A$4:$F$259,5,0),"")</f>
        <v/>
      </c>
      <c r="AJ237" s="476" t="str">
        <f ca="1">IF(N($AH237)&gt;0,VLOOKUP($AH237,Body!$A$4:$F$259,6,0),"")</f>
        <v/>
      </c>
      <c r="AK237" s="475" t="str">
        <f ca="1">IF(N($AH237)&gt;0,VLOOKUP($AH237,Body!$A$4:$F$259,2,0),"")</f>
        <v/>
      </c>
      <c r="AL237" s="477" t="str">
        <f t="shared" ca="1" si="78"/>
        <v/>
      </c>
      <c r="AM237" s="478">
        <f t="shared" ca="1" si="79"/>
        <v>0</v>
      </c>
      <c r="AN237" s="408">
        <f ca="1">IF(OR(TYPE(I237)&gt;1,TYPE(MATCH(I237,I238:I$267,0))&gt;1),0,MATCH(I237,I238:I$267,0))+IF(OR(TYPE(I237)&gt;1,TYPE(MATCH(I237,O$11:O$267,0))&gt;1),0,MATCH(I237,O$11:O$267,0))+IF(OR(TYPE(I237)&gt;1,TYPE(MATCH(I237,U$11:U$267,0))&gt;1),0,MATCH(I237,U$11:U$267,0))+IF(OR(TYPE(I237)&gt;1,TYPE(MATCH(I237,AA$11:AA$267,0))&gt;1),0,MATCH(I237,AA$11:AA$267,0))</f>
        <v>0</v>
      </c>
      <c r="AO237" s="408">
        <f ca="1">IF(OR(TYPE(O237)&gt;1,TYPE(MATCH(O237,I$11:I$267,0))&gt;1),0,MATCH(O237,I$11:I$267,0))+IF(OR(TYPE(O237)&gt;1,TYPE(MATCH(O237,O238:O$267,0))&gt;1),0,MATCH(O237,O238:O$267,0))+IF(OR(TYPE(O237)&gt;1,TYPE(MATCH(O237,U$11:U$267,0))&gt;1),0,MATCH(O237,U$11:U$267,0))+IF(OR(TYPE(O237)&gt;1,TYPE(MATCH(O237,AA$11:AA$267,0))&gt;1),0,MATCH(O237,AA$11:AA$267,0))</f>
        <v>0</v>
      </c>
      <c r="AP237" s="408">
        <f ca="1">IF(OR(TYPE(U237)&gt;1,TYPE(MATCH(U237,I$11:I$267,0))&gt;1),0,MATCH(U237,I$11:I$267,0))+IF(OR(TYPE(U237)&gt;1,TYPE(MATCH(U237,O$11:O$267,0))&gt;1),0,MATCH(U237,O$11:O$267,0))+IF(OR(TYPE(U237)&gt;1,TYPE(MATCH(U237,U238:U$267,0))&gt;1),0,MATCH(U237,U238:U$267,0))+IF(OR(TYPE(U237)&gt;1,TYPE(MATCH(U237,AA$11:AA$267,0))&gt;1),0,MATCH(U237,AA$11:AA$267,0))</f>
        <v>0</v>
      </c>
      <c r="AQ237" s="408">
        <f ca="1">IF(OR(TYPE(AA237)&gt;1,TYPE(MATCH(AA237,I$11:I$267,0))&gt;1),0,MATCH(AA237,I$11:I$267,0))+IF(OR(TYPE(AA237)&gt;1,TYPE(MATCH(AA237,O$11:O$267,0))&gt;1),0,MATCH(AA237,O$11:O$267,0))+IF(OR(TYPE(AA237)&gt;1,TYPE(MATCH(AA237,U$11:U$267,0))&gt;1),0,MATCH(U237,U$11:U$267,0))+IF(OR(TYPE(AA237)&gt;1,TYPE(MATCH(AA237,AA238:AA$267,0))&gt;1),0,MATCH(AA237,AA238:AA$267,0))</f>
        <v>0</v>
      </c>
      <c r="AR237" s="408">
        <f t="shared" ca="1" si="91"/>
        <v>0</v>
      </c>
      <c r="BF237" s="408">
        <f t="shared" si="92"/>
        <v>227</v>
      </c>
    </row>
    <row r="238" spans="1:58" ht="14.25">
      <c r="A238" s="430">
        <f t="shared" ca="1" si="81"/>
        <v>0</v>
      </c>
      <c r="B238" s="430">
        <f t="shared" ca="1" si="82"/>
        <v>0</v>
      </c>
      <c r="C238" s="430">
        <f t="shared" ca="1" si="83"/>
        <v>0</v>
      </c>
      <c r="D238" s="430">
        <f t="shared" ca="1" si="84"/>
        <v>99999</v>
      </c>
      <c r="E238" s="430">
        <f t="shared" ca="1" si="85"/>
        <v>9999</v>
      </c>
      <c r="F238" s="431" t="str">
        <f t="shared" ca="1" si="80"/>
        <v>00000000000000000000739316</v>
      </c>
      <c r="G238" s="467" t="b">
        <f t="shared" ca="1" si="86"/>
        <v>1</v>
      </c>
      <c r="H238" s="468">
        <f t="shared" si="77"/>
        <v>228</v>
      </c>
      <c r="I238" s="469" t="str">
        <f t="shared" ca="1" si="87"/>
        <v/>
      </c>
      <c r="J238" s="470" t="str">
        <f ca="1">IF(N(I238)&gt;0,VLOOKUP(I238,Hraci!$A$1:$I$1500,2,0),IF(TYPE(INDIRECT(ADDRESS(ROW() + $A$9-9 + (ROW()-11)*4,2,1,1,"Internet")))&gt;1,INDIRECT(ADDRESS(ROW() + $A$9-9 + (ROW()-11)*4,2,1,1,"Internet"))," "))</f>
        <v xml:space="preserve"> </v>
      </c>
      <c r="K238" s="471" t="str">
        <f ca="1">IF(N(I238)&gt;0,VLOOKUP(I238,Hraci!$A$1:$I$1500,3,0)," ")</f>
        <v xml:space="preserve"> </v>
      </c>
      <c r="L238" s="471" t="str">
        <f ca="1">IF(N(I238)&gt;0,VLOOKUP(I238,Hraci!$A$1:$I$1500,5,0),IF(TYPE(INDIRECT(ADDRESS(ROW() + $A$9-9 + (ROW()-11)*4,3,1,1,"Internet")))&gt;1,INDIRECT(ADDRESS(ROW() + $A$9-9 + (ROW()-11)*4,3,1,1,"Internet"))," "))</f>
        <v xml:space="preserve"> </v>
      </c>
      <c r="M238" s="472">
        <f ca="1">IF(N(I238)=0,9999,VLOOKUP(I238,Hraci!$A$1:$I$1500,8,0))</f>
        <v>9999</v>
      </c>
      <c r="N238" s="473">
        <f ca="1">IF(N(I238)=0,0,VLOOKUP(I238,Hraci!$A$1:$I$1500,9,0))</f>
        <v>0</v>
      </c>
      <c r="O238" s="469" t="str">
        <f t="shared" ca="1" si="88"/>
        <v/>
      </c>
      <c r="P238" s="470" t="str">
        <f ca="1">IF(N(O238)&gt;0,VLOOKUP(O238,Hraci!$A$1:$I$1500,2,0),IF(TYPE(INDIRECT(ADDRESS(ROW() + $A$9-8 + (ROW()-11)*4,2,1,1,"Internet")))&gt;1,INDIRECT(ADDRESS(ROW() + $A$9-8 + (ROW()-11)*4,2,1,1,"Internet"))," "))</f>
        <v xml:space="preserve"> </v>
      </c>
      <c r="Q238" s="471" t="str">
        <f ca="1">IF(N(O238)&gt;0,VLOOKUP(O238,Hraci!$A$1:$I$1500,3,0)," ")</f>
        <v xml:space="preserve"> </v>
      </c>
      <c r="R238" s="471" t="str">
        <f ca="1">IF(N(O238)&gt;0,VLOOKUP(O238,Hraci!$A$1:$I$1500,5,0),IF(TYPE(INDIRECT(ADDRESS(ROW() + $A$9-8 + (ROW()-11)*4,3,1,1,"Internet")))&gt;1,INDIRECT(ADDRESS(ROW() + $A$9-8 + (ROW()-11)*4,3,1,1,"Internet"))," "))</f>
        <v xml:space="preserve"> </v>
      </c>
      <c r="S238" s="472">
        <f ca="1">IF(N(O238)=0,9999,VLOOKUP(O238,Hraci!$A$1:$I$1500,8,0))</f>
        <v>9999</v>
      </c>
      <c r="T238" s="473">
        <f ca="1">IF(N(O238)=0,0,VLOOKUP(O238,Hraci!$A$1:$I$1500,9,0))</f>
        <v>0</v>
      </c>
      <c r="U238" s="469" t="str">
        <f t="shared" ca="1" si="89"/>
        <v/>
      </c>
      <c r="V238" s="470" t="str">
        <f ca="1">IF(N(U238)&gt;0,VLOOKUP(U238,Hraci!$A$1:$I$1500,2,0),IF(TYPE(INDIRECT(ADDRESS(ROW() + $A$9-7 + (ROW()-11)*4,2,1,1,"Internet")))&gt;1,INDIRECT(ADDRESS(ROW() + $A$9-7 + (ROW()-11)*4,2,1,1,"Internet"))," "))</f>
        <v xml:space="preserve"> </v>
      </c>
      <c r="W238" s="471" t="str">
        <f ca="1">IF(N(U238)&gt;0,VLOOKUP(U238,Hraci!$A$1:$I$1500,3,0)," ")</f>
        <v xml:space="preserve"> </v>
      </c>
      <c r="X238" s="471" t="str">
        <f ca="1">IF(N(U238)&gt;0,VLOOKUP(U238,Hraci!$A$1:$I$1500,5,0),IF(TYPE(INDIRECT(ADDRESS(ROW() + $A$9-7 + (ROW()-11)*4,3,1,1,"Internet")))&gt;1,INDIRECT(ADDRESS(ROW() + $A$9-7 + (ROW()-11)*4,3,1,1,"Internet"))," "))</f>
        <v xml:space="preserve"> </v>
      </c>
      <c r="Y238" s="472">
        <f ca="1">IF(N(U238)=0,9999,VLOOKUP(U238,Hraci!$A$1:$I$1500,8,0))</f>
        <v>9999</v>
      </c>
      <c r="Z238" s="473">
        <f ca="1">IF(N(U238)=0,0,VLOOKUP(U238,Hraci!$A$1:$I$1500,9,0))</f>
        <v>0</v>
      </c>
      <c r="AA238" s="469" t="str">
        <f t="shared" ca="1" si="90"/>
        <v/>
      </c>
      <c r="AB238" s="470" t="str">
        <f ca="1">IF(N(AA238)&gt;0,VLOOKUP(AA238,Hraci!$A$1:$I$1500,2,0)," ")</f>
        <v xml:space="preserve"> </v>
      </c>
      <c r="AC238" s="471" t="str">
        <f ca="1">IF(N(AA238)&gt;0,VLOOKUP(AA238,Hraci!$A$1:$I$1500,3,0)," ")</f>
        <v xml:space="preserve"> </v>
      </c>
      <c r="AD238" s="471" t="str">
        <f ca="1">IF(N(AA238)&gt;0,VLOOKUP(AA238,Hraci!$A$1:$I$1500,5,0)," ")</f>
        <v xml:space="preserve"> </v>
      </c>
      <c r="AE238" s="472">
        <f ca="1">IF(N(AA238)=0,9999,VLOOKUP(AA238,Hraci!$A$1:$I$1500,8,0))</f>
        <v>9999</v>
      </c>
      <c r="AF238" s="473">
        <f ca="1">IF(N(AA238)=0,0,VLOOKUP(AA238,Hraci!$A$1:$I$1500,9,0))</f>
        <v>0</v>
      </c>
      <c r="AG238" s="474"/>
      <c r="AH238" s="480">
        <f ca="1">IF(TYPE(VLOOKUP(H238,Nasazení!$A$3:$E$258,5,0))&lt;4,VLOOKUP(H238,Nasazení!$A$3:$E$258,5,0),0)</f>
        <v>0</v>
      </c>
      <c r="AI238" s="475" t="str">
        <f ca="1">IF(N($AH238)&gt;0,VLOOKUP($AH238,Body!$A$4:$F$259,5,0),"")</f>
        <v/>
      </c>
      <c r="AJ238" s="476" t="str">
        <f ca="1">IF(N($AH238)&gt;0,VLOOKUP($AH238,Body!$A$4:$F$259,6,0),"")</f>
        <v/>
      </c>
      <c r="AK238" s="475" t="str">
        <f ca="1">IF(N($AH238)&gt;0,VLOOKUP($AH238,Body!$A$4:$F$259,2,0),"")</f>
        <v/>
      </c>
      <c r="AL238" s="477" t="str">
        <f t="shared" ca="1" si="78"/>
        <v/>
      </c>
      <c r="AM238" s="478">
        <f t="shared" ca="1" si="79"/>
        <v>0</v>
      </c>
      <c r="AN238" s="408">
        <f ca="1">IF(OR(TYPE(I238)&gt;1,TYPE(MATCH(I238,I239:I$267,0))&gt;1),0,MATCH(I238,I239:I$267,0))+IF(OR(TYPE(I238)&gt;1,TYPE(MATCH(I238,O$11:O$267,0))&gt;1),0,MATCH(I238,O$11:O$267,0))+IF(OR(TYPE(I238)&gt;1,TYPE(MATCH(I238,U$11:U$267,0))&gt;1),0,MATCH(I238,U$11:U$267,0))+IF(OR(TYPE(I238)&gt;1,TYPE(MATCH(I238,AA$11:AA$267,0))&gt;1),0,MATCH(I238,AA$11:AA$267,0))</f>
        <v>0</v>
      </c>
      <c r="AO238" s="408">
        <f ca="1">IF(OR(TYPE(O238)&gt;1,TYPE(MATCH(O238,I$11:I$267,0))&gt;1),0,MATCH(O238,I$11:I$267,0))+IF(OR(TYPE(O238)&gt;1,TYPE(MATCH(O238,O239:O$267,0))&gt;1),0,MATCH(O238,O239:O$267,0))+IF(OR(TYPE(O238)&gt;1,TYPE(MATCH(O238,U$11:U$267,0))&gt;1),0,MATCH(O238,U$11:U$267,0))+IF(OR(TYPE(O238)&gt;1,TYPE(MATCH(O238,AA$11:AA$267,0))&gt;1),0,MATCH(O238,AA$11:AA$267,0))</f>
        <v>0</v>
      </c>
      <c r="AP238" s="408">
        <f ca="1">IF(OR(TYPE(U238)&gt;1,TYPE(MATCH(U238,I$11:I$267,0))&gt;1),0,MATCH(U238,I$11:I$267,0))+IF(OR(TYPE(U238)&gt;1,TYPE(MATCH(U238,O$11:O$267,0))&gt;1),0,MATCH(U238,O$11:O$267,0))+IF(OR(TYPE(U238)&gt;1,TYPE(MATCH(U238,U239:U$267,0))&gt;1),0,MATCH(U238,U239:U$267,0))+IF(OR(TYPE(U238)&gt;1,TYPE(MATCH(U238,AA$11:AA$267,0))&gt;1),0,MATCH(U238,AA$11:AA$267,0))</f>
        <v>0</v>
      </c>
      <c r="AQ238" s="408">
        <f ca="1">IF(OR(TYPE(AA238)&gt;1,TYPE(MATCH(AA238,I$11:I$267,0))&gt;1),0,MATCH(AA238,I$11:I$267,0))+IF(OR(TYPE(AA238)&gt;1,TYPE(MATCH(AA238,O$11:O$267,0))&gt;1),0,MATCH(AA238,O$11:O$267,0))+IF(OR(TYPE(AA238)&gt;1,TYPE(MATCH(AA238,U$11:U$267,0))&gt;1),0,MATCH(U238,U$11:U$267,0))+IF(OR(TYPE(AA238)&gt;1,TYPE(MATCH(AA238,AA239:AA$267,0))&gt;1),0,MATCH(AA238,AA239:AA$267,0))</f>
        <v>0</v>
      </c>
      <c r="AR238" s="408">
        <f t="shared" ca="1" si="91"/>
        <v>0</v>
      </c>
      <c r="BF238" s="408">
        <f t="shared" si="92"/>
        <v>228</v>
      </c>
    </row>
    <row r="239" spans="1:58" ht="14.25">
      <c r="A239" s="430">
        <f t="shared" ca="1" si="81"/>
        <v>0</v>
      </c>
      <c r="B239" s="430">
        <f t="shared" ca="1" si="82"/>
        <v>0</v>
      </c>
      <c r="C239" s="430">
        <f t="shared" ca="1" si="83"/>
        <v>0</v>
      </c>
      <c r="D239" s="430">
        <f t="shared" ca="1" si="84"/>
        <v>99999</v>
      </c>
      <c r="E239" s="400">
        <f t="shared" ca="1" si="85"/>
        <v>9999</v>
      </c>
      <c r="F239" s="431" t="str">
        <f t="shared" ca="1" si="80"/>
        <v>00000000000000000000673291</v>
      </c>
      <c r="G239" s="467" t="b">
        <f t="shared" ca="1" si="86"/>
        <v>1</v>
      </c>
      <c r="H239" s="468">
        <f t="shared" si="77"/>
        <v>229</v>
      </c>
      <c r="I239" s="469" t="str">
        <f t="shared" ca="1" si="87"/>
        <v/>
      </c>
      <c r="J239" s="470" t="str">
        <f ca="1">IF(N(I239)&gt;0,VLOOKUP(I239,Hraci!$A$1:$I$1500,2,0),IF(TYPE(INDIRECT(ADDRESS(ROW() + $A$9-9 + (ROW()-11)*4,2,1,1,"Internet")))&gt;1,INDIRECT(ADDRESS(ROW() + $A$9-9 + (ROW()-11)*4,2,1,1,"Internet"))," "))</f>
        <v xml:space="preserve"> </v>
      </c>
      <c r="K239" s="471" t="str">
        <f ca="1">IF(N(I239)&gt;0,VLOOKUP(I239,Hraci!$A$1:$I$1500,3,0)," ")</f>
        <v xml:space="preserve"> </v>
      </c>
      <c r="L239" s="471" t="str">
        <f ca="1">IF(N(I239)&gt;0,VLOOKUP(I239,Hraci!$A$1:$I$1500,5,0),IF(TYPE(INDIRECT(ADDRESS(ROW() + $A$9-9 + (ROW()-11)*4,3,1,1,"Internet")))&gt;1,INDIRECT(ADDRESS(ROW() + $A$9-9 + (ROW()-11)*4,3,1,1,"Internet"))," "))</f>
        <v xml:space="preserve"> </v>
      </c>
      <c r="M239" s="472">
        <f ca="1">IF(N(I239)=0,9999,VLOOKUP(I239,Hraci!$A$1:$I$1500,8,0))</f>
        <v>9999</v>
      </c>
      <c r="N239" s="473">
        <f ca="1">IF(N(I239)=0,0,VLOOKUP(I239,Hraci!$A$1:$I$1500,9,0))</f>
        <v>0</v>
      </c>
      <c r="O239" s="469" t="str">
        <f t="shared" ca="1" si="88"/>
        <v/>
      </c>
      <c r="P239" s="470" t="str">
        <f ca="1">IF(N(O239)&gt;0,VLOOKUP(O239,Hraci!$A$1:$I$1500,2,0),IF(TYPE(INDIRECT(ADDRESS(ROW() + $A$9-8 + (ROW()-11)*4,2,1,1,"Internet")))&gt;1,INDIRECT(ADDRESS(ROW() + $A$9-8 + (ROW()-11)*4,2,1,1,"Internet"))," "))</f>
        <v xml:space="preserve"> </v>
      </c>
      <c r="Q239" s="471" t="str">
        <f ca="1">IF(N(O239)&gt;0,VLOOKUP(O239,Hraci!$A$1:$I$1500,3,0)," ")</f>
        <v xml:space="preserve"> </v>
      </c>
      <c r="R239" s="471" t="str">
        <f ca="1">IF(N(O239)&gt;0,VLOOKUP(O239,Hraci!$A$1:$I$1500,5,0),IF(TYPE(INDIRECT(ADDRESS(ROW() + $A$9-8 + (ROW()-11)*4,3,1,1,"Internet")))&gt;1,INDIRECT(ADDRESS(ROW() + $A$9-8 + (ROW()-11)*4,3,1,1,"Internet"))," "))</f>
        <v xml:space="preserve"> </v>
      </c>
      <c r="S239" s="472">
        <f ca="1">IF(N(O239)=0,9999,VLOOKUP(O239,Hraci!$A$1:$I$1500,8,0))</f>
        <v>9999</v>
      </c>
      <c r="T239" s="473">
        <f ca="1">IF(N(O239)=0,0,VLOOKUP(O239,Hraci!$A$1:$I$1500,9,0))</f>
        <v>0</v>
      </c>
      <c r="U239" s="469" t="str">
        <f t="shared" ca="1" si="89"/>
        <v/>
      </c>
      <c r="V239" s="470" t="str">
        <f ca="1">IF(N(U239)&gt;0,VLOOKUP(U239,Hraci!$A$1:$I$1500,2,0),IF(TYPE(INDIRECT(ADDRESS(ROW() + $A$9-7 + (ROW()-11)*4,2,1,1,"Internet")))&gt;1,INDIRECT(ADDRESS(ROW() + $A$9-7 + (ROW()-11)*4,2,1,1,"Internet"))," "))</f>
        <v xml:space="preserve"> </v>
      </c>
      <c r="W239" s="471" t="str">
        <f ca="1">IF(N(U239)&gt;0,VLOOKUP(U239,Hraci!$A$1:$I$1500,3,0)," ")</f>
        <v xml:space="preserve"> </v>
      </c>
      <c r="X239" s="471" t="str">
        <f ca="1">IF(N(U239)&gt;0,VLOOKUP(U239,Hraci!$A$1:$I$1500,5,0),IF(TYPE(INDIRECT(ADDRESS(ROW() + $A$9-7 + (ROW()-11)*4,3,1,1,"Internet")))&gt;1,INDIRECT(ADDRESS(ROW() + $A$9-7 + (ROW()-11)*4,3,1,1,"Internet"))," "))</f>
        <v xml:space="preserve"> </v>
      </c>
      <c r="Y239" s="472">
        <f ca="1">IF(N(U239)=0,9999,VLOOKUP(U239,Hraci!$A$1:$I$1500,8,0))</f>
        <v>9999</v>
      </c>
      <c r="Z239" s="473">
        <f ca="1">IF(N(U239)=0,0,VLOOKUP(U239,Hraci!$A$1:$I$1500,9,0))</f>
        <v>0</v>
      </c>
      <c r="AA239" s="469" t="str">
        <f t="shared" ca="1" si="90"/>
        <v/>
      </c>
      <c r="AB239" s="470" t="str">
        <f ca="1">IF(N(AA239)&gt;0,VLOOKUP(AA239,Hraci!$A$1:$I$1500,2,0)," ")</f>
        <v xml:space="preserve"> </v>
      </c>
      <c r="AC239" s="471" t="str">
        <f ca="1">IF(N(AA239)&gt;0,VLOOKUP(AA239,Hraci!$A$1:$I$1500,3,0)," ")</f>
        <v xml:space="preserve"> </v>
      </c>
      <c r="AD239" s="471" t="str">
        <f ca="1">IF(N(AA239)&gt;0,VLOOKUP(AA239,Hraci!$A$1:$I$1500,5,0)," ")</f>
        <v xml:space="preserve"> </v>
      </c>
      <c r="AE239" s="472">
        <f ca="1">IF(N(AA239)=0,9999,VLOOKUP(AA239,Hraci!$A$1:$I$1500,8,0))</f>
        <v>9999</v>
      </c>
      <c r="AF239" s="473">
        <f ca="1">IF(N(AA239)=0,0,VLOOKUP(AA239,Hraci!$A$1:$I$1500,9,0))</f>
        <v>0</v>
      </c>
      <c r="AG239" s="474"/>
      <c r="AH239" s="480">
        <f ca="1">IF(TYPE(VLOOKUP(H239,Nasazení!$A$3:$E$258,5,0))&lt;4,VLOOKUP(H239,Nasazení!$A$3:$E$258,5,0),0)</f>
        <v>0</v>
      </c>
      <c r="AI239" s="475" t="str">
        <f ca="1">IF(N($AH239)&gt;0,VLOOKUP($AH239,Body!$A$4:$F$259,5,0),"")</f>
        <v/>
      </c>
      <c r="AJ239" s="476" t="str">
        <f ca="1">IF(N($AH239)&gt;0,VLOOKUP($AH239,Body!$A$4:$F$259,6,0),"")</f>
        <v/>
      </c>
      <c r="AK239" s="475" t="str">
        <f ca="1">IF(N($AH239)&gt;0,VLOOKUP($AH239,Body!$A$4:$F$259,2,0),"")</f>
        <v/>
      </c>
      <c r="AL239" s="477" t="str">
        <f t="shared" ca="1" si="78"/>
        <v/>
      </c>
      <c r="AM239" s="478">
        <f t="shared" ca="1" si="79"/>
        <v>0</v>
      </c>
      <c r="AN239" s="408">
        <f ca="1">IF(OR(TYPE(I239)&gt;1,TYPE(MATCH(I239,I240:I$267,0))&gt;1),0,MATCH(I239,I240:I$267,0))+IF(OR(TYPE(I239)&gt;1,TYPE(MATCH(I239,O$11:O$267,0))&gt;1),0,MATCH(I239,O$11:O$267,0))+IF(OR(TYPE(I239)&gt;1,TYPE(MATCH(I239,U$11:U$267,0))&gt;1),0,MATCH(I239,U$11:U$267,0))+IF(OR(TYPE(I239)&gt;1,TYPE(MATCH(I239,AA$11:AA$267,0))&gt;1),0,MATCH(I239,AA$11:AA$267,0))</f>
        <v>0</v>
      </c>
      <c r="AO239" s="408">
        <f ca="1">IF(OR(TYPE(O239)&gt;1,TYPE(MATCH(O239,I$11:I$267,0))&gt;1),0,MATCH(O239,I$11:I$267,0))+IF(OR(TYPE(O239)&gt;1,TYPE(MATCH(O239,O240:O$267,0))&gt;1),0,MATCH(O239,O240:O$267,0))+IF(OR(TYPE(O239)&gt;1,TYPE(MATCH(O239,U$11:U$267,0))&gt;1),0,MATCH(O239,U$11:U$267,0))+IF(OR(TYPE(O239)&gt;1,TYPE(MATCH(O239,AA$11:AA$267,0))&gt;1),0,MATCH(O239,AA$11:AA$267,0))</f>
        <v>0</v>
      </c>
      <c r="AP239" s="408">
        <f ca="1">IF(OR(TYPE(U239)&gt;1,TYPE(MATCH(U239,I$11:I$267,0))&gt;1),0,MATCH(U239,I$11:I$267,0))+IF(OR(TYPE(U239)&gt;1,TYPE(MATCH(U239,O$11:O$267,0))&gt;1),0,MATCH(U239,O$11:O$267,0))+IF(OR(TYPE(U239)&gt;1,TYPE(MATCH(U239,U240:U$267,0))&gt;1),0,MATCH(U239,U240:U$267,0))+IF(OR(TYPE(U239)&gt;1,TYPE(MATCH(U239,AA$11:AA$267,0))&gt;1),0,MATCH(U239,AA$11:AA$267,0))</f>
        <v>0</v>
      </c>
      <c r="AQ239" s="408">
        <f ca="1">IF(OR(TYPE(AA239)&gt;1,TYPE(MATCH(AA239,I$11:I$267,0))&gt;1),0,MATCH(AA239,I$11:I$267,0))+IF(OR(TYPE(AA239)&gt;1,TYPE(MATCH(AA239,O$11:O$267,0))&gt;1),0,MATCH(AA239,O$11:O$267,0))+IF(OR(TYPE(AA239)&gt;1,TYPE(MATCH(AA239,U$11:U$267,0))&gt;1),0,MATCH(U239,U$11:U$267,0))+IF(OR(TYPE(AA239)&gt;1,TYPE(MATCH(AA239,AA240:AA$267,0))&gt;1),0,MATCH(AA239,AA240:AA$267,0))</f>
        <v>0</v>
      </c>
      <c r="AR239" s="408">
        <f t="shared" ca="1" si="91"/>
        <v>0</v>
      </c>
      <c r="BF239" s="408">
        <f t="shared" si="92"/>
        <v>229</v>
      </c>
    </row>
    <row r="240" spans="1:58" ht="14.25">
      <c r="A240" s="430">
        <f t="shared" ca="1" si="81"/>
        <v>0</v>
      </c>
      <c r="B240" s="430">
        <f t="shared" ca="1" si="82"/>
        <v>0</v>
      </c>
      <c r="C240" s="430">
        <f t="shared" ca="1" si="83"/>
        <v>0</v>
      </c>
      <c r="D240" s="430">
        <f t="shared" ca="1" si="84"/>
        <v>99999</v>
      </c>
      <c r="E240" s="430">
        <f t="shared" ca="1" si="85"/>
        <v>9999</v>
      </c>
      <c r="F240" s="431" t="str">
        <f t="shared" ca="1" si="80"/>
        <v>00000000000000000000188864</v>
      </c>
      <c r="G240" s="467" t="b">
        <f t="shared" ca="1" si="86"/>
        <v>1</v>
      </c>
      <c r="H240" s="468">
        <f t="shared" si="77"/>
        <v>230</v>
      </c>
      <c r="I240" s="469" t="str">
        <f t="shared" ca="1" si="87"/>
        <v/>
      </c>
      <c r="J240" s="470" t="str">
        <f ca="1">IF(N(I240)&gt;0,VLOOKUP(I240,Hraci!$A$1:$I$1500,2,0),IF(TYPE(INDIRECT(ADDRESS(ROW() + $A$9-9 + (ROW()-11)*4,2,1,1,"Internet")))&gt;1,INDIRECT(ADDRESS(ROW() + $A$9-9 + (ROW()-11)*4,2,1,1,"Internet"))," "))</f>
        <v xml:space="preserve"> </v>
      </c>
      <c r="K240" s="471" t="str">
        <f ca="1">IF(N(I240)&gt;0,VLOOKUP(I240,Hraci!$A$1:$I$1500,3,0)," ")</f>
        <v xml:space="preserve"> </v>
      </c>
      <c r="L240" s="471" t="str">
        <f ca="1">IF(N(I240)&gt;0,VLOOKUP(I240,Hraci!$A$1:$I$1500,5,0),IF(TYPE(INDIRECT(ADDRESS(ROW() + $A$9-9 + (ROW()-11)*4,3,1,1,"Internet")))&gt;1,INDIRECT(ADDRESS(ROW() + $A$9-9 + (ROW()-11)*4,3,1,1,"Internet"))," "))</f>
        <v xml:space="preserve"> </v>
      </c>
      <c r="M240" s="472">
        <f ca="1">IF(N(I240)=0,9999,VLOOKUP(I240,Hraci!$A$1:$I$1500,8,0))</f>
        <v>9999</v>
      </c>
      <c r="N240" s="473">
        <f ca="1">IF(N(I240)=0,0,VLOOKUP(I240,Hraci!$A$1:$I$1500,9,0))</f>
        <v>0</v>
      </c>
      <c r="O240" s="469" t="str">
        <f t="shared" ca="1" si="88"/>
        <v/>
      </c>
      <c r="P240" s="470" t="str">
        <f ca="1">IF(N(O240)&gt;0,VLOOKUP(O240,Hraci!$A$1:$I$1500,2,0),IF(TYPE(INDIRECT(ADDRESS(ROW() + $A$9-8 + (ROW()-11)*4,2,1,1,"Internet")))&gt;1,INDIRECT(ADDRESS(ROW() + $A$9-8 + (ROW()-11)*4,2,1,1,"Internet"))," "))</f>
        <v xml:space="preserve"> </v>
      </c>
      <c r="Q240" s="471" t="str">
        <f ca="1">IF(N(O240)&gt;0,VLOOKUP(O240,Hraci!$A$1:$I$1500,3,0)," ")</f>
        <v xml:space="preserve"> </v>
      </c>
      <c r="R240" s="471" t="str">
        <f ca="1">IF(N(O240)&gt;0,VLOOKUP(O240,Hraci!$A$1:$I$1500,5,0),IF(TYPE(INDIRECT(ADDRESS(ROW() + $A$9-8 + (ROW()-11)*4,3,1,1,"Internet")))&gt;1,INDIRECT(ADDRESS(ROW() + $A$9-8 + (ROW()-11)*4,3,1,1,"Internet"))," "))</f>
        <v xml:space="preserve"> </v>
      </c>
      <c r="S240" s="472">
        <f ca="1">IF(N(O240)=0,9999,VLOOKUP(O240,Hraci!$A$1:$I$1500,8,0))</f>
        <v>9999</v>
      </c>
      <c r="T240" s="473">
        <f ca="1">IF(N(O240)=0,0,VLOOKUP(O240,Hraci!$A$1:$I$1500,9,0))</f>
        <v>0</v>
      </c>
      <c r="U240" s="469" t="str">
        <f t="shared" ca="1" si="89"/>
        <v/>
      </c>
      <c r="V240" s="470" t="str">
        <f ca="1">IF(N(U240)&gt;0,VLOOKUP(U240,Hraci!$A$1:$I$1500,2,0),IF(TYPE(INDIRECT(ADDRESS(ROW() + $A$9-7 + (ROW()-11)*4,2,1,1,"Internet")))&gt;1,INDIRECT(ADDRESS(ROW() + $A$9-7 + (ROW()-11)*4,2,1,1,"Internet"))," "))</f>
        <v xml:space="preserve"> </v>
      </c>
      <c r="W240" s="471" t="str">
        <f ca="1">IF(N(U240)&gt;0,VLOOKUP(U240,Hraci!$A$1:$I$1500,3,0)," ")</f>
        <v xml:space="preserve"> </v>
      </c>
      <c r="X240" s="471" t="str">
        <f ca="1">IF(N(U240)&gt;0,VLOOKUP(U240,Hraci!$A$1:$I$1500,5,0),IF(TYPE(INDIRECT(ADDRESS(ROW() + $A$9-7 + (ROW()-11)*4,3,1,1,"Internet")))&gt;1,INDIRECT(ADDRESS(ROW() + $A$9-7 + (ROW()-11)*4,3,1,1,"Internet"))," "))</f>
        <v xml:space="preserve"> </v>
      </c>
      <c r="Y240" s="472">
        <f ca="1">IF(N(U240)=0,9999,VLOOKUP(U240,Hraci!$A$1:$I$1500,8,0))</f>
        <v>9999</v>
      </c>
      <c r="Z240" s="473">
        <f ca="1">IF(N(U240)=0,0,VLOOKUP(U240,Hraci!$A$1:$I$1500,9,0))</f>
        <v>0</v>
      </c>
      <c r="AA240" s="469" t="str">
        <f t="shared" ca="1" si="90"/>
        <v/>
      </c>
      <c r="AB240" s="470" t="str">
        <f ca="1">IF(N(AA240)&gt;0,VLOOKUP(AA240,Hraci!$A$1:$I$1500,2,0)," ")</f>
        <v xml:space="preserve"> </v>
      </c>
      <c r="AC240" s="471" t="str">
        <f ca="1">IF(N(AA240)&gt;0,VLOOKUP(AA240,Hraci!$A$1:$I$1500,3,0)," ")</f>
        <v xml:space="preserve"> </v>
      </c>
      <c r="AD240" s="471" t="str">
        <f ca="1">IF(N(AA240)&gt;0,VLOOKUP(AA240,Hraci!$A$1:$I$1500,5,0)," ")</f>
        <v xml:space="preserve"> </v>
      </c>
      <c r="AE240" s="472">
        <f ca="1">IF(N(AA240)=0,9999,VLOOKUP(AA240,Hraci!$A$1:$I$1500,8,0))</f>
        <v>9999</v>
      </c>
      <c r="AF240" s="473">
        <f ca="1">IF(N(AA240)=0,0,VLOOKUP(AA240,Hraci!$A$1:$I$1500,9,0))</f>
        <v>0</v>
      </c>
      <c r="AG240" s="474"/>
      <c r="AH240" s="480">
        <f ca="1">IF(TYPE(VLOOKUP(H240,Nasazení!$A$3:$E$258,5,0))&lt;4,VLOOKUP(H240,Nasazení!$A$3:$E$258,5,0),0)</f>
        <v>0</v>
      </c>
      <c r="AI240" s="475" t="str">
        <f ca="1">IF(N($AH240)&gt;0,VLOOKUP($AH240,Body!$A$4:$F$259,5,0),"")</f>
        <v/>
      </c>
      <c r="AJ240" s="476" t="str">
        <f ca="1">IF(N($AH240)&gt;0,VLOOKUP($AH240,Body!$A$4:$F$259,6,0),"")</f>
        <v/>
      </c>
      <c r="AK240" s="475" t="str">
        <f ca="1">IF(N($AH240)&gt;0,VLOOKUP($AH240,Body!$A$4:$F$259,2,0),"")</f>
        <v/>
      </c>
      <c r="AL240" s="477" t="str">
        <f t="shared" ca="1" si="78"/>
        <v/>
      </c>
      <c r="AM240" s="478">
        <f t="shared" ca="1" si="79"/>
        <v>0</v>
      </c>
      <c r="AN240" s="408">
        <f ca="1">IF(OR(TYPE(I240)&gt;1,TYPE(MATCH(I240,I241:I$267,0))&gt;1),0,MATCH(I240,I241:I$267,0))+IF(OR(TYPE(I240)&gt;1,TYPE(MATCH(I240,O$11:O$267,0))&gt;1),0,MATCH(I240,O$11:O$267,0))+IF(OR(TYPE(I240)&gt;1,TYPE(MATCH(I240,U$11:U$267,0))&gt;1),0,MATCH(I240,U$11:U$267,0))+IF(OR(TYPE(I240)&gt;1,TYPE(MATCH(I240,AA$11:AA$267,0))&gt;1),0,MATCH(I240,AA$11:AA$267,0))</f>
        <v>0</v>
      </c>
      <c r="AO240" s="408">
        <f ca="1">IF(OR(TYPE(O240)&gt;1,TYPE(MATCH(O240,I$11:I$267,0))&gt;1),0,MATCH(O240,I$11:I$267,0))+IF(OR(TYPE(O240)&gt;1,TYPE(MATCH(O240,O241:O$267,0))&gt;1),0,MATCH(O240,O241:O$267,0))+IF(OR(TYPE(O240)&gt;1,TYPE(MATCH(O240,U$11:U$267,0))&gt;1),0,MATCH(O240,U$11:U$267,0))+IF(OR(TYPE(O240)&gt;1,TYPE(MATCH(O240,AA$11:AA$267,0))&gt;1),0,MATCH(O240,AA$11:AA$267,0))</f>
        <v>0</v>
      </c>
      <c r="AP240" s="408">
        <f ca="1">IF(OR(TYPE(U240)&gt;1,TYPE(MATCH(U240,I$11:I$267,0))&gt;1),0,MATCH(U240,I$11:I$267,0))+IF(OR(TYPE(U240)&gt;1,TYPE(MATCH(U240,O$11:O$267,0))&gt;1),0,MATCH(U240,O$11:O$267,0))+IF(OR(TYPE(U240)&gt;1,TYPE(MATCH(U240,U241:U$267,0))&gt;1),0,MATCH(U240,U241:U$267,0))+IF(OR(TYPE(U240)&gt;1,TYPE(MATCH(U240,AA$11:AA$267,0))&gt;1),0,MATCH(U240,AA$11:AA$267,0))</f>
        <v>0</v>
      </c>
      <c r="AQ240" s="408">
        <f ca="1">IF(OR(TYPE(AA240)&gt;1,TYPE(MATCH(AA240,I$11:I$267,0))&gt;1),0,MATCH(AA240,I$11:I$267,0))+IF(OR(TYPE(AA240)&gt;1,TYPE(MATCH(AA240,O$11:O$267,0))&gt;1),0,MATCH(AA240,O$11:O$267,0))+IF(OR(TYPE(AA240)&gt;1,TYPE(MATCH(AA240,U$11:U$267,0))&gt;1),0,MATCH(U240,U$11:U$267,0))+IF(OR(TYPE(AA240)&gt;1,TYPE(MATCH(AA240,AA241:AA$267,0))&gt;1),0,MATCH(AA240,AA241:AA$267,0))</f>
        <v>0</v>
      </c>
      <c r="AR240" s="408">
        <f t="shared" ca="1" si="91"/>
        <v>0</v>
      </c>
      <c r="BF240" s="408">
        <f t="shared" si="92"/>
        <v>230</v>
      </c>
    </row>
    <row r="241" spans="1:58" ht="14.25">
      <c r="A241" s="430">
        <f t="shared" ca="1" si="81"/>
        <v>0</v>
      </c>
      <c r="B241" s="430">
        <f t="shared" ca="1" si="82"/>
        <v>0</v>
      </c>
      <c r="C241" s="430">
        <f t="shared" ca="1" si="83"/>
        <v>0</v>
      </c>
      <c r="D241" s="430">
        <f t="shared" ca="1" si="84"/>
        <v>99999</v>
      </c>
      <c r="E241" s="430">
        <f t="shared" ca="1" si="85"/>
        <v>9999</v>
      </c>
      <c r="F241" s="431" t="str">
        <f t="shared" ca="1" si="80"/>
        <v>00000000000000000000318213</v>
      </c>
      <c r="G241" s="467" t="b">
        <f t="shared" ca="1" si="86"/>
        <v>1</v>
      </c>
      <c r="H241" s="468">
        <f t="shared" si="77"/>
        <v>231</v>
      </c>
      <c r="I241" s="469" t="str">
        <f t="shared" ca="1" si="87"/>
        <v/>
      </c>
      <c r="J241" s="470" t="str">
        <f ca="1">IF(N(I241)&gt;0,VLOOKUP(I241,Hraci!$A$1:$I$1500,2,0),IF(TYPE(INDIRECT(ADDRESS(ROW() + $A$9-9 + (ROW()-11)*4,2,1,1,"Internet")))&gt;1,INDIRECT(ADDRESS(ROW() + $A$9-9 + (ROW()-11)*4,2,1,1,"Internet"))," "))</f>
        <v xml:space="preserve"> </v>
      </c>
      <c r="K241" s="471" t="str">
        <f ca="1">IF(N(I241)&gt;0,VLOOKUP(I241,Hraci!$A$1:$I$1500,3,0)," ")</f>
        <v xml:space="preserve"> </v>
      </c>
      <c r="L241" s="471" t="str">
        <f ca="1">IF(N(I241)&gt;0,VLOOKUP(I241,Hraci!$A$1:$I$1500,5,0),IF(TYPE(INDIRECT(ADDRESS(ROW() + $A$9-9 + (ROW()-11)*4,3,1,1,"Internet")))&gt;1,INDIRECT(ADDRESS(ROW() + $A$9-9 + (ROW()-11)*4,3,1,1,"Internet"))," "))</f>
        <v xml:space="preserve"> </v>
      </c>
      <c r="M241" s="472">
        <f ca="1">IF(N(I241)=0,9999,VLOOKUP(I241,Hraci!$A$1:$I$1500,8,0))</f>
        <v>9999</v>
      </c>
      <c r="N241" s="473">
        <f ca="1">IF(N(I241)=0,0,VLOOKUP(I241,Hraci!$A$1:$I$1500,9,0))</f>
        <v>0</v>
      </c>
      <c r="O241" s="469" t="str">
        <f t="shared" ca="1" si="88"/>
        <v/>
      </c>
      <c r="P241" s="470" t="str">
        <f ca="1">IF(N(O241)&gt;0,VLOOKUP(O241,Hraci!$A$1:$I$1500,2,0),IF(TYPE(INDIRECT(ADDRESS(ROW() + $A$9-8 + (ROW()-11)*4,2,1,1,"Internet")))&gt;1,INDIRECT(ADDRESS(ROW() + $A$9-8 + (ROW()-11)*4,2,1,1,"Internet"))," "))</f>
        <v xml:space="preserve"> </v>
      </c>
      <c r="Q241" s="471" t="str">
        <f ca="1">IF(N(O241)&gt;0,VLOOKUP(O241,Hraci!$A$1:$I$1500,3,0)," ")</f>
        <v xml:space="preserve"> </v>
      </c>
      <c r="R241" s="471" t="str">
        <f ca="1">IF(N(O241)&gt;0,VLOOKUP(O241,Hraci!$A$1:$I$1500,5,0),IF(TYPE(INDIRECT(ADDRESS(ROW() + $A$9-8 + (ROW()-11)*4,3,1,1,"Internet")))&gt;1,INDIRECT(ADDRESS(ROW() + $A$9-8 + (ROW()-11)*4,3,1,1,"Internet"))," "))</f>
        <v xml:space="preserve"> </v>
      </c>
      <c r="S241" s="472">
        <f ca="1">IF(N(O241)=0,9999,VLOOKUP(O241,Hraci!$A$1:$I$1500,8,0))</f>
        <v>9999</v>
      </c>
      <c r="T241" s="473">
        <f ca="1">IF(N(O241)=0,0,VLOOKUP(O241,Hraci!$A$1:$I$1500,9,0))</f>
        <v>0</v>
      </c>
      <c r="U241" s="469" t="str">
        <f t="shared" ca="1" si="89"/>
        <v/>
      </c>
      <c r="V241" s="470" t="str">
        <f ca="1">IF(N(U241)&gt;0,VLOOKUP(U241,Hraci!$A$1:$I$1500,2,0),IF(TYPE(INDIRECT(ADDRESS(ROW() + $A$9-7 + (ROW()-11)*4,2,1,1,"Internet")))&gt;1,INDIRECT(ADDRESS(ROW() + $A$9-7 + (ROW()-11)*4,2,1,1,"Internet"))," "))</f>
        <v xml:space="preserve"> </v>
      </c>
      <c r="W241" s="471" t="str">
        <f ca="1">IF(N(U241)&gt;0,VLOOKUP(U241,Hraci!$A$1:$I$1500,3,0)," ")</f>
        <v xml:space="preserve"> </v>
      </c>
      <c r="X241" s="471" t="str">
        <f ca="1">IF(N(U241)&gt;0,VLOOKUP(U241,Hraci!$A$1:$I$1500,5,0),IF(TYPE(INDIRECT(ADDRESS(ROW() + $A$9-7 + (ROW()-11)*4,3,1,1,"Internet")))&gt;1,INDIRECT(ADDRESS(ROW() + $A$9-7 + (ROW()-11)*4,3,1,1,"Internet"))," "))</f>
        <v xml:space="preserve"> </v>
      </c>
      <c r="Y241" s="472">
        <f ca="1">IF(N(U241)=0,9999,VLOOKUP(U241,Hraci!$A$1:$I$1500,8,0))</f>
        <v>9999</v>
      </c>
      <c r="Z241" s="473">
        <f ca="1">IF(N(U241)=0,0,VLOOKUP(U241,Hraci!$A$1:$I$1500,9,0))</f>
        <v>0</v>
      </c>
      <c r="AA241" s="469" t="str">
        <f t="shared" ca="1" si="90"/>
        <v/>
      </c>
      <c r="AB241" s="470" t="str">
        <f ca="1">IF(N(AA241)&gt;0,VLOOKUP(AA241,Hraci!$A$1:$I$1500,2,0)," ")</f>
        <v xml:space="preserve"> </v>
      </c>
      <c r="AC241" s="471" t="str">
        <f ca="1">IF(N(AA241)&gt;0,VLOOKUP(AA241,Hraci!$A$1:$I$1500,3,0)," ")</f>
        <v xml:space="preserve"> </v>
      </c>
      <c r="AD241" s="471" t="str">
        <f ca="1">IF(N(AA241)&gt;0,VLOOKUP(AA241,Hraci!$A$1:$I$1500,5,0)," ")</f>
        <v xml:space="preserve"> </v>
      </c>
      <c r="AE241" s="472">
        <f ca="1">IF(N(AA241)=0,9999,VLOOKUP(AA241,Hraci!$A$1:$I$1500,8,0))</f>
        <v>9999</v>
      </c>
      <c r="AF241" s="473">
        <f ca="1">IF(N(AA241)=0,0,VLOOKUP(AA241,Hraci!$A$1:$I$1500,9,0))</f>
        <v>0</v>
      </c>
      <c r="AG241" s="474"/>
      <c r="AH241" s="480">
        <f ca="1">IF(TYPE(VLOOKUP(H241,Nasazení!$A$3:$E$258,5,0))&lt;4,VLOOKUP(H241,Nasazení!$A$3:$E$258,5,0),0)</f>
        <v>0</v>
      </c>
      <c r="AI241" s="475" t="str">
        <f ca="1">IF(N($AH241)&gt;0,VLOOKUP($AH241,Body!$A$4:$F$259,5,0),"")</f>
        <v/>
      </c>
      <c r="AJ241" s="476" t="str">
        <f ca="1">IF(N($AH241)&gt;0,VLOOKUP($AH241,Body!$A$4:$F$259,6,0),"")</f>
        <v/>
      </c>
      <c r="AK241" s="475" t="str">
        <f ca="1">IF(N($AH241)&gt;0,VLOOKUP($AH241,Body!$A$4:$F$259,2,0),"")</f>
        <v/>
      </c>
      <c r="AL241" s="477" t="str">
        <f t="shared" ca="1" si="78"/>
        <v/>
      </c>
      <c r="AM241" s="478">
        <f t="shared" ca="1" si="79"/>
        <v>0</v>
      </c>
      <c r="AN241" s="408">
        <f ca="1">IF(OR(TYPE(I241)&gt;1,TYPE(MATCH(I241,I242:I$267,0))&gt;1),0,MATCH(I241,I242:I$267,0))+IF(OR(TYPE(I241)&gt;1,TYPE(MATCH(I241,O$11:O$267,0))&gt;1),0,MATCH(I241,O$11:O$267,0))+IF(OR(TYPE(I241)&gt;1,TYPE(MATCH(I241,U$11:U$267,0))&gt;1),0,MATCH(I241,U$11:U$267,0))+IF(OR(TYPE(I241)&gt;1,TYPE(MATCH(I241,AA$11:AA$267,0))&gt;1),0,MATCH(I241,AA$11:AA$267,0))</f>
        <v>0</v>
      </c>
      <c r="AO241" s="408">
        <f ca="1">IF(OR(TYPE(O241)&gt;1,TYPE(MATCH(O241,I$11:I$267,0))&gt;1),0,MATCH(O241,I$11:I$267,0))+IF(OR(TYPE(O241)&gt;1,TYPE(MATCH(O241,O242:O$267,0))&gt;1),0,MATCH(O241,O242:O$267,0))+IF(OR(TYPE(O241)&gt;1,TYPE(MATCH(O241,U$11:U$267,0))&gt;1),0,MATCH(O241,U$11:U$267,0))+IF(OR(TYPE(O241)&gt;1,TYPE(MATCH(O241,AA$11:AA$267,0))&gt;1),0,MATCH(O241,AA$11:AA$267,0))</f>
        <v>0</v>
      </c>
      <c r="AP241" s="408">
        <f ca="1">IF(OR(TYPE(U241)&gt;1,TYPE(MATCH(U241,I$11:I$267,0))&gt;1),0,MATCH(U241,I$11:I$267,0))+IF(OR(TYPE(U241)&gt;1,TYPE(MATCH(U241,O$11:O$267,0))&gt;1),0,MATCH(U241,O$11:O$267,0))+IF(OR(TYPE(U241)&gt;1,TYPE(MATCH(U241,U242:U$267,0))&gt;1),0,MATCH(U241,U242:U$267,0))+IF(OR(TYPE(U241)&gt;1,TYPE(MATCH(U241,AA$11:AA$267,0))&gt;1),0,MATCH(U241,AA$11:AA$267,0))</f>
        <v>0</v>
      </c>
      <c r="AQ241" s="408">
        <f ca="1">IF(OR(TYPE(AA241)&gt;1,TYPE(MATCH(AA241,I$11:I$267,0))&gt;1),0,MATCH(AA241,I$11:I$267,0))+IF(OR(TYPE(AA241)&gt;1,TYPE(MATCH(AA241,O$11:O$267,0))&gt;1),0,MATCH(AA241,O$11:O$267,0))+IF(OR(TYPE(AA241)&gt;1,TYPE(MATCH(AA241,U$11:U$267,0))&gt;1),0,MATCH(U241,U$11:U$267,0))+IF(OR(TYPE(AA241)&gt;1,TYPE(MATCH(AA241,AA242:AA$267,0))&gt;1),0,MATCH(AA241,AA242:AA$267,0))</f>
        <v>0</v>
      </c>
      <c r="AR241" s="408">
        <f t="shared" ca="1" si="91"/>
        <v>0</v>
      </c>
      <c r="BF241" s="408">
        <f t="shared" si="92"/>
        <v>231</v>
      </c>
    </row>
    <row r="242" spans="1:58" ht="14.25">
      <c r="A242" s="430">
        <f t="shared" ca="1" si="81"/>
        <v>0</v>
      </c>
      <c r="B242" s="430">
        <f t="shared" ca="1" si="82"/>
        <v>0</v>
      </c>
      <c r="C242" s="430">
        <f t="shared" ca="1" si="83"/>
        <v>0</v>
      </c>
      <c r="D242" s="430">
        <f t="shared" ca="1" si="84"/>
        <v>99999</v>
      </c>
      <c r="E242" s="400">
        <f t="shared" ca="1" si="85"/>
        <v>9999</v>
      </c>
      <c r="F242" s="431" t="str">
        <f t="shared" ca="1" si="80"/>
        <v>00000000000000000000725389</v>
      </c>
      <c r="G242" s="467" t="b">
        <f t="shared" ca="1" si="86"/>
        <v>1</v>
      </c>
      <c r="H242" s="468">
        <f t="shared" si="77"/>
        <v>232</v>
      </c>
      <c r="I242" s="469" t="str">
        <f t="shared" ca="1" si="87"/>
        <v/>
      </c>
      <c r="J242" s="470" t="str">
        <f ca="1">IF(N(I242)&gt;0,VLOOKUP(I242,Hraci!$A$1:$I$1500,2,0),IF(TYPE(INDIRECT(ADDRESS(ROW() + $A$9-9 + (ROW()-11)*4,2,1,1,"Internet")))&gt;1,INDIRECT(ADDRESS(ROW() + $A$9-9 + (ROW()-11)*4,2,1,1,"Internet"))," "))</f>
        <v xml:space="preserve"> </v>
      </c>
      <c r="K242" s="471" t="str">
        <f ca="1">IF(N(I242)&gt;0,VLOOKUP(I242,Hraci!$A$1:$I$1500,3,0)," ")</f>
        <v xml:space="preserve"> </v>
      </c>
      <c r="L242" s="471" t="str">
        <f ca="1">IF(N(I242)&gt;0,VLOOKUP(I242,Hraci!$A$1:$I$1500,5,0),IF(TYPE(INDIRECT(ADDRESS(ROW() + $A$9-9 + (ROW()-11)*4,3,1,1,"Internet")))&gt;1,INDIRECT(ADDRESS(ROW() + $A$9-9 + (ROW()-11)*4,3,1,1,"Internet"))," "))</f>
        <v xml:space="preserve"> </v>
      </c>
      <c r="M242" s="472">
        <f ca="1">IF(N(I242)=0,9999,VLOOKUP(I242,Hraci!$A$1:$I$1500,8,0))</f>
        <v>9999</v>
      </c>
      <c r="N242" s="473">
        <f ca="1">IF(N(I242)=0,0,VLOOKUP(I242,Hraci!$A$1:$I$1500,9,0))</f>
        <v>0</v>
      </c>
      <c r="O242" s="469" t="str">
        <f t="shared" ca="1" si="88"/>
        <v/>
      </c>
      <c r="P242" s="470" t="str">
        <f ca="1">IF(N(O242)&gt;0,VLOOKUP(O242,Hraci!$A$1:$I$1500,2,0),IF(TYPE(INDIRECT(ADDRESS(ROW() + $A$9-8 + (ROW()-11)*4,2,1,1,"Internet")))&gt;1,INDIRECT(ADDRESS(ROW() + $A$9-8 + (ROW()-11)*4,2,1,1,"Internet"))," "))</f>
        <v xml:space="preserve"> </v>
      </c>
      <c r="Q242" s="471" t="str">
        <f ca="1">IF(N(O242)&gt;0,VLOOKUP(O242,Hraci!$A$1:$I$1500,3,0)," ")</f>
        <v xml:space="preserve"> </v>
      </c>
      <c r="R242" s="471" t="str">
        <f ca="1">IF(N(O242)&gt;0,VLOOKUP(O242,Hraci!$A$1:$I$1500,5,0),IF(TYPE(INDIRECT(ADDRESS(ROW() + $A$9-8 + (ROW()-11)*4,3,1,1,"Internet")))&gt;1,INDIRECT(ADDRESS(ROW() + $A$9-8 + (ROW()-11)*4,3,1,1,"Internet"))," "))</f>
        <v xml:space="preserve"> </v>
      </c>
      <c r="S242" s="472">
        <f ca="1">IF(N(O242)=0,9999,VLOOKUP(O242,Hraci!$A$1:$I$1500,8,0))</f>
        <v>9999</v>
      </c>
      <c r="T242" s="473">
        <f ca="1">IF(N(O242)=0,0,VLOOKUP(O242,Hraci!$A$1:$I$1500,9,0))</f>
        <v>0</v>
      </c>
      <c r="U242" s="469" t="str">
        <f t="shared" ca="1" si="89"/>
        <v/>
      </c>
      <c r="V242" s="470" t="str">
        <f ca="1">IF(N(U242)&gt;0,VLOOKUP(U242,Hraci!$A$1:$I$1500,2,0),IF(TYPE(INDIRECT(ADDRESS(ROW() + $A$9-7 + (ROW()-11)*4,2,1,1,"Internet")))&gt;1,INDIRECT(ADDRESS(ROW() + $A$9-7 + (ROW()-11)*4,2,1,1,"Internet"))," "))</f>
        <v xml:space="preserve"> </v>
      </c>
      <c r="W242" s="471" t="str">
        <f ca="1">IF(N(U242)&gt;0,VLOOKUP(U242,Hraci!$A$1:$I$1500,3,0)," ")</f>
        <v xml:space="preserve"> </v>
      </c>
      <c r="X242" s="471" t="str">
        <f ca="1">IF(N(U242)&gt;0,VLOOKUP(U242,Hraci!$A$1:$I$1500,5,0),IF(TYPE(INDIRECT(ADDRESS(ROW() + $A$9-7 + (ROW()-11)*4,3,1,1,"Internet")))&gt;1,INDIRECT(ADDRESS(ROW() + $A$9-7 + (ROW()-11)*4,3,1,1,"Internet"))," "))</f>
        <v xml:space="preserve"> </v>
      </c>
      <c r="Y242" s="472">
        <f ca="1">IF(N(U242)=0,9999,VLOOKUP(U242,Hraci!$A$1:$I$1500,8,0))</f>
        <v>9999</v>
      </c>
      <c r="Z242" s="473">
        <f ca="1">IF(N(U242)=0,0,VLOOKUP(U242,Hraci!$A$1:$I$1500,9,0))</f>
        <v>0</v>
      </c>
      <c r="AA242" s="469" t="str">
        <f t="shared" ca="1" si="90"/>
        <v/>
      </c>
      <c r="AB242" s="470" t="str">
        <f ca="1">IF(N(AA242)&gt;0,VLOOKUP(AA242,Hraci!$A$1:$I$1500,2,0)," ")</f>
        <v xml:space="preserve"> </v>
      </c>
      <c r="AC242" s="471" t="str">
        <f ca="1">IF(N(AA242)&gt;0,VLOOKUP(AA242,Hraci!$A$1:$I$1500,3,0)," ")</f>
        <v xml:space="preserve"> </v>
      </c>
      <c r="AD242" s="471" t="str">
        <f ca="1">IF(N(AA242)&gt;0,VLOOKUP(AA242,Hraci!$A$1:$I$1500,5,0)," ")</f>
        <v xml:space="preserve"> </v>
      </c>
      <c r="AE242" s="472">
        <f ca="1">IF(N(AA242)=0,9999,VLOOKUP(AA242,Hraci!$A$1:$I$1500,8,0))</f>
        <v>9999</v>
      </c>
      <c r="AF242" s="473">
        <f ca="1">IF(N(AA242)=0,0,VLOOKUP(AA242,Hraci!$A$1:$I$1500,9,0))</f>
        <v>0</v>
      </c>
      <c r="AG242" s="474"/>
      <c r="AH242" s="480">
        <f ca="1">IF(TYPE(VLOOKUP(H242,Nasazení!$A$3:$E$258,5,0))&lt;4,VLOOKUP(H242,Nasazení!$A$3:$E$258,5,0),0)</f>
        <v>0</v>
      </c>
      <c r="AI242" s="475" t="str">
        <f ca="1">IF(N($AH242)&gt;0,VLOOKUP($AH242,Body!$A$4:$F$259,5,0),"")</f>
        <v/>
      </c>
      <c r="AJ242" s="476" t="str">
        <f ca="1">IF(N($AH242)&gt;0,VLOOKUP($AH242,Body!$A$4:$F$259,6,0),"")</f>
        <v/>
      </c>
      <c r="AK242" s="475" t="str">
        <f ca="1">IF(N($AH242)&gt;0,VLOOKUP($AH242,Body!$A$4:$F$259,2,0),"")</f>
        <v/>
      </c>
      <c r="AL242" s="477" t="str">
        <f t="shared" ca="1" si="78"/>
        <v/>
      </c>
      <c r="AM242" s="478">
        <f t="shared" ca="1" si="79"/>
        <v>0</v>
      </c>
      <c r="AN242" s="408">
        <f ca="1">IF(OR(TYPE(I242)&gt;1,TYPE(MATCH(I242,I243:I$267,0))&gt;1),0,MATCH(I242,I243:I$267,0))+IF(OR(TYPE(I242)&gt;1,TYPE(MATCH(I242,O$11:O$267,0))&gt;1),0,MATCH(I242,O$11:O$267,0))+IF(OR(TYPE(I242)&gt;1,TYPE(MATCH(I242,U$11:U$267,0))&gt;1),0,MATCH(I242,U$11:U$267,0))+IF(OR(TYPE(I242)&gt;1,TYPE(MATCH(I242,AA$11:AA$267,0))&gt;1),0,MATCH(I242,AA$11:AA$267,0))</f>
        <v>0</v>
      </c>
      <c r="AO242" s="408">
        <f ca="1">IF(OR(TYPE(O242)&gt;1,TYPE(MATCH(O242,I$11:I$267,0))&gt;1),0,MATCH(O242,I$11:I$267,0))+IF(OR(TYPE(O242)&gt;1,TYPE(MATCH(O242,O243:O$267,0))&gt;1),0,MATCH(O242,O243:O$267,0))+IF(OR(TYPE(O242)&gt;1,TYPE(MATCH(O242,U$11:U$267,0))&gt;1),0,MATCH(O242,U$11:U$267,0))+IF(OR(TYPE(O242)&gt;1,TYPE(MATCH(O242,AA$11:AA$267,0))&gt;1),0,MATCH(O242,AA$11:AA$267,0))</f>
        <v>0</v>
      </c>
      <c r="AP242" s="408">
        <f ca="1">IF(OR(TYPE(U242)&gt;1,TYPE(MATCH(U242,I$11:I$267,0))&gt;1),0,MATCH(U242,I$11:I$267,0))+IF(OR(TYPE(U242)&gt;1,TYPE(MATCH(U242,O$11:O$267,0))&gt;1),0,MATCH(U242,O$11:O$267,0))+IF(OR(TYPE(U242)&gt;1,TYPE(MATCH(U242,U243:U$267,0))&gt;1),0,MATCH(U242,U243:U$267,0))+IF(OR(TYPE(U242)&gt;1,TYPE(MATCH(U242,AA$11:AA$267,0))&gt;1),0,MATCH(U242,AA$11:AA$267,0))</f>
        <v>0</v>
      </c>
      <c r="AQ242" s="408">
        <f ca="1">IF(OR(TYPE(AA242)&gt;1,TYPE(MATCH(AA242,I$11:I$267,0))&gt;1),0,MATCH(AA242,I$11:I$267,0))+IF(OR(TYPE(AA242)&gt;1,TYPE(MATCH(AA242,O$11:O$267,0))&gt;1),0,MATCH(AA242,O$11:O$267,0))+IF(OR(TYPE(AA242)&gt;1,TYPE(MATCH(AA242,U$11:U$267,0))&gt;1),0,MATCH(U242,U$11:U$267,0))+IF(OR(TYPE(AA242)&gt;1,TYPE(MATCH(AA242,AA243:AA$267,0))&gt;1),0,MATCH(AA242,AA243:AA$267,0))</f>
        <v>0</v>
      </c>
      <c r="AR242" s="408">
        <f t="shared" ca="1" si="91"/>
        <v>0</v>
      </c>
      <c r="BF242" s="408">
        <f t="shared" si="92"/>
        <v>232</v>
      </c>
    </row>
    <row r="243" spans="1:58" ht="14.25">
      <c r="A243" s="430">
        <f t="shared" ca="1" si="81"/>
        <v>0</v>
      </c>
      <c r="B243" s="430">
        <f t="shared" ca="1" si="82"/>
        <v>0</v>
      </c>
      <c r="C243" s="430">
        <f t="shared" ca="1" si="83"/>
        <v>0</v>
      </c>
      <c r="D243" s="430">
        <f t="shared" ca="1" si="84"/>
        <v>99999</v>
      </c>
      <c r="E243" s="430">
        <f t="shared" ca="1" si="85"/>
        <v>9999</v>
      </c>
      <c r="F243" s="431" t="str">
        <f t="shared" ca="1" si="80"/>
        <v>00000000000000000000644480</v>
      </c>
      <c r="G243" s="467" t="b">
        <f t="shared" ca="1" si="86"/>
        <v>1</v>
      </c>
      <c r="H243" s="468">
        <f t="shared" si="77"/>
        <v>233</v>
      </c>
      <c r="I243" s="469" t="str">
        <f t="shared" ca="1" si="87"/>
        <v/>
      </c>
      <c r="J243" s="470" t="str">
        <f ca="1">IF(N(I243)&gt;0,VLOOKUP(I243,Hraci!$A$1:$I$1500,2,0),IF(TYPE(INDIRECT(ADDRESS(ROW() + $A$9-9 + (ROW()-11)*4,2,1,1,"Internet")))&gt;1,INDIRECT(ADDRESS(ROW() + $A$9-9 + (ROW()-11)*4,2,1,1,"Internet"))," "))</f>
        <v xml:space="preserve"> </v>
      </c>
      <c r="K243" s="471" t="str">
        <f ca="1">IF(N(I243)&gt;0,VLOOKUP(I243,Hraci!$A$1:$I$1500,3,0)," ")</f>
        <v xml:space="preserve"> </v>
      </c>
      <c r="L243" s="471" t="str">
        <f ca="1">IF(N(I243)&gt;0,VLOOKUP(I243,Hraci!$A$1:$I$1500,5,0),IF(TYPE(INDIRECT(ADDRESS(ROW() + $A$9-9 + (ROW()-11)*4,3,1,1,"Internet")))&gt;1,INDIRECT(ADDRESS(ROW() + $A$9-9 + (ROW()-11)*4,3,1,1,"Internet"))," "))</f>
        <v xml:space="preserve"> </v>
      </c>
      <c r="M243" s="472">
        <f ca="1">IF(N(I243)=0,9999,VLOOKUP(I243,Hraci!$A$1:$I$1500,8,0))</f>
        <v>9999</v>
      </c>
      <c r="N243" s="473">
        <f ca="1">IF(N(I243)=0,0,VLOOKUP(I243,Hraci!$A$1:$I$1500,9,0))</f>
        <v>0</v>
      </c>
      <c r="O243" s="469" t="str">
        <f t="shared" ca="1" si="88"/>
        <v/>
      </c>
      <c r="P243" s="470" t="str">
        <f ca="1">IF(N(O243)&gt;0,VLOOKUP(O243,Hraci!$A$1:$I$1500,2,0),IF(TYPE(INDIRECT(ADDRESS(ROW() + $A$9-8 + (ROW()-11)*4,2,1,1,"Internet")))&gt;1,INDIRECT(ADDRESS(ROW() + $A$9-8 + (ROW()-11)*4,2,1,1,"Internet"))," "))</f>
        <v xml:space="preserve"> </v>
      </c>
      <c r="Q243" s="471" t="str">
        <f ca="1">IF(N(O243)&gt;0,VLOOKUP(O243,Hraci!$A$1:$I$1500,3,0)," ")</f>
        <v xml:space="preserve"> </v>
      </c>
      <c r="R243" s="471" t="str">
        <f ca="1">IF(N(O243)&gt;0,VLOOKUP(O243,Hraci!$A$1:$I$1500,5,0),IF(TYPE(INDIRECT(ADDRESS(ROW() + $A$9-8 + (ROW()-11)*4,3,1,1,"Internet")))&gt;1,INDIRECT(ADDRESS(ROW() + $A$9-8 + (ROW()-11)*4,3,1,1,"Internet"))," "))</f>
        <v xml:space="preserve"> </v>
      </c>
      <c r="S243" s="472">
        <f ca="1">IF(N(O243)=0,9999,VLOOKUP(O243,Hraci!$A$1:$I$1500,8,0))</f>
        <v>9999</v>
      </c>
      <c r="T243" s="473">
        <f ca="1">IF(N(O243)=0,0,VLOOKUP(O243,Hraci!$A$1:$I$1500,9,0))</f>
        <v>0</v>
      </c>
      <c r="U243" s="469" t="str">
        <f t="shared" ca="1" si="89"/>
        <v/>
      </c>
      <c r="V243" s="470" t="str">
        <f ca="1">IF(N(U243)&gt;0,VLOOKUP(U243,Hraci!$A$1:$I$1500,2,0),IF(TYPE(INDIRECT(ADDRESS(ROW() + $A$9-7 + (ROW()-11)*4,2,1,1,"Internet")))&gt;1,INDIRECT(ADDRESS(ROW() + $A$9-7 + (ROW()-11)*4,2,1,1,"Internet"))," "))</f>
        <v xml:space="preserve"> </v>
      </c>
      <c r="W243" s="471" t="str">
        <f ca="1">IF(N(U243)&gt;0,VLOOKUP(U243,Hraci!$A$1:$I$1500,3,0)," ")</f>
        <v xml:space="preserve"> </v>
      </c>
      <c r="X243" s="471" t="str">
        <f ca="1">IF(N(U243)&gt;0,VLOOKUP(U243,Hraci!$A$1:$I$1500,5,0),IF(TYPE(INDIRECT(ADDRESS(ROW() + $A$9-7 + (ROW()-11)*4,3,1,1,"Internet")))&gt;1,INDIRECT(ADDRESS(ROW() + $A$9-7 + (ROW()-11)*4,3,1,1,"Internet"))," "))</f>
        <v xml:space="preserve"> </v>
      </c>
      <c r="Y243" s="472">
        <f ca="1">IF(N(U243)=0,9999,VLOOKUP(U243,Hraci!$A$1:$I$1500,8,0))</f>
        <v>9999</v>
      </c>
      <c r="Z243" s="473">
        <f ca="1">IF(N(U243)=0,0,VLOOKUP(U243,Hraci!$A$1:$I$1500,9,0))</f>
        <v>0</v>
      </c>
      <c r="AA243" s="469" t="str">
        <f t="shared" ca="1" si="90"/>
        <v/>
      </c>
      <c r="AB243" s="470" t="str">
        <f ca="1">IF(N(AA243)&gt;0,VLOOKUP(AA243,Hraci!$A$1:$I$1500,2,0)," ")</f>
        <v xml:space="preserve"> </v>
      </c>
      <c r="AC243" s="471" t="str">
        <f ca="1">IF(N(AA243)&gt;0,VLOOKUP(AA243,Hraci!$A$1:$I$1500,3,0)," ")</f>
        <v xml:space="preserve"> </v>
      </c>
      <c r="AD243" s="471" t="str">
        <f ca="1">IF(N(AA243)&gt;0,VLOOKUP(AA243,Hraci!$A$1:$I$1500,5,0)," ")</f>
        <v xml:space="preserve"> </v>
      </c>
      <c r="AE243" s="472">
        <f ca="1">IF(N(AA243)=0,9999,VLOOKUP(AA243,Hraci!$A$1:$I$1500,8,0))</f>
        <v>9999</v>
      </c>
      <c r="AF243" s="473">
        <f ca="1">IF(N(AA243)=0,0,VLOOKUP(AA243,Hraci!$A$1:$I$1500,9,0))</f>
        <v>0</v>
      </c>
      <c r="AG243" s="474"/>
      <c r="AH243" s="480">
        <f ca="1">IF(TYPE(VLOOKUP(H243,Nasazení!$A$3:$E$258,5,0))&lt;4,VLOOKUP(H243,Nasazení!$A$3:$E$258,5,0),0)</f>
        <v>0</v>
      </c>
      <c r="AI243" s="475" t="str">
        <f ca="1">IF(N($AH243)&gt;0,VLOOKUP($AH243,Body!$A$4:$F$259,5,0),"")</f>
        <v/>
      </c>
      <c r="AJ243" s="476" t="str">
        <f ca="1">IF(N($AH243)&gt;0,VLOOKUP($AH243,Body!$A$4:$F$259,6,0),"")</f>
        <v/>
      </c>
      <c r="AK243" s="475" t="str">
        <f ca="1">IF(N($AH243)&gt;0,VLOOKUP($AH243,Body!$A$4:$F$259,2,0),"")</f>
        <v/>
      </c>
      <c r="AL243" s="477" t="str">
        <f t="shared" ca="1" si="78"/>
        <v/>
      </c>
      <c r="AM243" s="478">
        <f t="shared" ca="1" si="79"/>
        <v>0</v>
      </c>
      <c r="AN243" s="408">
        <f ca="1">IF(OR(TYPE(I243)&gt;1,TYPE(MATCH(I243,I244:I$267,0))&gt;1),0,MATCH(I243,I244:I$267,0))+IF(OR(TYPE(I243)&gt;1,TYPE(MATCH(I243,O$11:O$267,0))&gt;1),0,MATCH(I243,O$11:O$267,0))+IF(OR(TYPE(I243)&gt;1,TYPE(MATCH(I243,U$11:U$267,0))&gt;1),0,MATCH(I243,U$11:U$267,0))+IF(OR(TYPE(I243)&gt;1,TYPE(MATCH(I243,AA$11:AA$267,0))&gt;1),0,MATCH(I243,AA$11:AA$267,0))</f>
        <v>0</v>
      </c>
      <c r="AO243" s="408">
        <f ca="1">IF(OR(TYPE(O243)&gt;1,TYPE(MATCH(O243,I$11:I$267,0))&gt;1),0,MATCH(O243,I$11:I$267,0))+IF(OR(TYPE(O243)&gt;1,TYPE(MATCH(O243,O244:O$267,0))&gt;1),0,MATCH(O243,O244:O$267,0))+IF(OR(TYPE(O243)&gt;1,TYPE(MATCH(O243,U$11:U$267,0))&gt;1),0,MATCH(O243,U$11:U$267,0))+IF(OR(TYPE(O243)&gt;1,TYPE(MATCH(O243,AA$11:AA$267,0))&gt;1),0,MATCH(O243,AA$11:AA$267,0))</f>
        <v>0</v>
      </c>
      <c r="AP243" s="408">
        <f ca="1">IF(OR(TYPE(U243)&gt;1,TYPE(MATCH(U243,I$11:I$267,0))&gt;1),0,MATCH(U243,I$11:I$267,0))+IF(OR(TYPE(U243)&gt;1,TYPE(MATCH(U243,O$11:O$267,0))&gt;1),0,MATCH(U243,O$11:O$267,0))+IF(OR(TYPE(U243)&gt;1,TYPE(MATCH(U243,U244:U$267,0))&gt;1),0,MATCH(U243,U244:U$267,0))+IF(OR(TYPE(U243)&gt;1,TYPE(MATCH(U243,AA$11:AA$267,0))&gt;1),0,MATCH(U243,AA$11:AA$267,0))</f>
        <v>0</v>
      </c>
      <c r="AQ243" s="408">
        <f ca="1">IF(OR(TYPE(AA243)&gt;1,TYPE(MATCH(AA243,I$11:I$267,0))&gt;1),0,MATCH(AA243,I$11:I$267,0))+IF(OR(TYPE(AA243)&gt;1,TYPE(MATCH(AA243,O$11:O$267,0))&gt;1),0,MATCH(AA243,O$11:O$267,0))+IF(OR(TYPE(AA243)&gt;1,TYPE(MATCH(AA243,U$11:U$267,0))&gt;1),0,MATCH(U243,U$11:U$267,0))+IF(OR(TYPE(AA243)&gt;1,TYPE(MATCH(AA243,AA244:AA$267,0))&gt;1),0,MATCH(AA243,AA244:AA$267,0))</f>
        <v>0</v>
      </c>
      <c r="AR243" s="408">
        <f t="shared" ca="1" si="91"/>
        <v>0</v>
      </c>
      <c r="BF243" s="408">
        <f t="shared" si="92"/>
        <v>233</v>
      </c>
    </row>
    <row r="244" spans="1:58" ht="14.25">
      <c r="A244" s="400">
        <f t="shared" ca="1" si="81"/>
        <v>0</v>
      </c>
      <c r="B244" s="400">
        <f t="shared" ca="1" si="82"/>
        <v>0</v>
      </c>
      <c r="C244" s="400">
        <f t="shared" ca="1" si="83"/>
        <v>0</v>
      </c>
      <c r="D244" s="400">
        <f t="shared" ca="1" si="84"/>
        <v>99999</v>
      </c>
      <c r="E244" s="430">
        <f t="shared" ca="1" si="85"/>
        <v>9999</v>
      </c>
      <c r="F244" s="431" t="str">
        <f t="shared" ca="1" si="80"/>
        <v>00000000000000000000424753</v>
      </c>
      <c r="G244" s="467" t="b">
        <f t="shared" ca="1" si="86"/>
        <v>1</v>
      </c>
      <c r="H244" s="468">
        <f t="shared" si="77"/>
        <v>234</v>
      </c>
      <c r="I244" s="469" t="str">
        <f t="shared" ca="1" si="87"/>
        <v/>
      </c>
      <c r="J244" s="470" t="str">
        <f ca="1">IF(N(I244)&gt;0,VLOOKUP(I244,Hraci!$A$1:$I$1500,2,0),IF(TYPE(INDIRECT(ADDRESS(ROW() + $A$9-9 + (ROW()-11)*4,2,1,1,"Internet")))&gt;1,INDIRECT(ADDRESS(ROW() + $A$9-9 + (ROW()-11)*4,2,1,1,"Internet"))," "))</f>
        <v xml:space="preserve"> </v>
      </c>
      <c r="K244" s="471" t="str">
        <f ca="1">IF(N(I244)&gt;0,VLOOKUP(I244,Hraci!$A$1:$I$1500,3,0)," ")</f>
        <v xml:space="preserve"> </v>
      </c>
      <c r="L244" s="471" t="str">
        <f ca="1">IF(N(I244)&gt;0,VLOOKUP(I244,Hraci!$A$1:$I$1500,5,0),IF(TYPE(INDIRECT(ADDRESS(ROW() + $A$9-9 + (ROW()-11)*4,3,1,1,"Internet")))&gt;1,INDIRECT(ADDRESS(ROW() + $A$9-9 + (ROW()-11)*4,3,1,1,"Internet"))," "))</f>
        <v xml:space="preserve"> </v>
      </c>
      <c r="M244" s="472">
        <f ca="1">IF(N(I244)=0,9999,VLOOKUP(I244,Hraci!$A$1:$I$1500,8,0))</f>
        <v>9999</v>
      </c>
      <c r="N244" s="473">
        <f ca="1">IF(N(I244)=0,0,VLOOKUP(I244,Hraci!$A$1:$I$1500,9,0))</f>
        <v>0</v>
      </c>
      <c r="O244" s="469" t="str">
        <f t="shared" ca="1" si="88"/>
        <v/>
      </c>
      <c r="P244" s="470" t="str">
        <f ca="1">IF(N(O244)&gt;0,VLOOKUP(O244,Hraci!$A$1:$I$1500,2,0),IF(TYPE(INDIRECT(ADDRESS(ROW() + $A$9-8 + (ROW()-11)*4,2,1,1,"Internet")))&gt;1,INDIRECT(ADDRESS(ROW() + $A$9-8 + (ROW()-11)*4,2,1,1,"Internet"))," "))</f>
        <v xml:space="preserve"> </v>
      </c>
      <c r="Q244" s="471" t="str">
        <f ca="1">IF(N(O244)&gt;0,VLOOKUP(O244,Hraci!$A$1:$I$1500,3,0)," ")</f>
        <v xml:space="preserve"> </v>
      </c>
      <c r="R244" s="471" t="str">
        <f ca="1">IF(N(O244)&gt;0,VLOOKUP(O244,Hraci!$A$1:$I$1500,5,0),IF(TYPE(INDIRECT(ADDRESS(ROW() + $A$9-8 + (ROW()-11)*4,3,1,1,"Internet")))&gt;1,INDIRECT(ADDRESS(ROW() + $A$9-8 + (ROW()-11)*4,3,1,1,"Internet"))," "))</f>
        <v xml:space="preserve"> </v>
      </c>
      <c r="S244" s="472">
        <f ca="1">IF(N(O244)=0,9999,VLOOKUP(O244,Hraci!$A$1:$I$1500,8,0))</f>
        <v>9999</v>
      </c>
      <c r="T244" s="473">
        <f ca="1">IF(N(O244)=0,0,VLOOKUP(O244,Hraci!$A$1:$I$1500,9,0))</f>
        <v>0</v>
      </c>
      <c r="U244" s="469" t="str">
        <f t="shared" ca="1" si="89"/>
        <v/>
      </c>
      <c r="V244" s="470" t="str">
        <f ca="1">IF(N(U244)&gt;0,VLOOKUP(U244,Hraci!$A$1:$I$1500,2,0),IF(TYPE(INDIRECT(ADDRESS(ROW() + $A$9-7 + (ROW()-11)*4,2,1,1,"Internet")))&gt;1,INDIRECT(ADDRESS(ROW() + $A$9-7 + (ROW()-11)*4,2,1,1,"Internet"))," "))</f>
        <v xml:space="preserve"> </v>
      </c>
      <c r="W244" s="471" t="str">
        <f ca="1">IF(N(U244)&gt;0,VLOOKUP(U244,Hraci!$A$1:$I$1500,3,0)," ")</f>
        <v xml:space="preserve"> </v>
      </c>
      <c r="X244" s="471" t="str">
        <f ca="1">IF(N(U244)&gt;0,VLOOKUP(U244,Hraci!$A$1:$I$1500,5,0),IF(TYPE(INDIRECT(ADDRESS(ROW() + $A$9-7 + (ROW()-11)*4,3,1,1,"Internet")))&gt;1,INDIRECT(ADDRESS(ROW() + $A$9-7 + (ROW()-11)*4,3,1,1,"Internet"))," "))</f>
        <v xml:space="preserve"> </v>
      </c>
      <c r="Y244" s="472">
        <f ca="1">IF(N(U244)=0,9999,VLOOKUP(U244,Hraci!$A$1:$I$1500,8,0))</f>
        <v>9999</v>
      </c>
      <c r="Z244" s="473">
        <f ca="1">IF(N(U244)=0,0,VLOOKUP(U244,Hraci!$A$1:$I$1500,9,0))</f>
        <v>0</v>
      </c>
      <c r="AA244" s="469" t="str">
        <f t="shared" ca="1" si="90"/>
        <v/>
      </c>
      <c r="AB244" s="470" t="str">
        <f ca="1">IF(N(AA244)&gt;0,VLOOKUP(AA244,Hraci!$A$1:$I$1500,2,0)," ")</f>
        <v xml:space="preserve"> </v>
      </c>
      <c r="AC244" s="471" t="str">
        <f ca="1">IF(N(AA244)&gt;0,VLOOKUP(AA244,Hraci!$A$1:$I$1500,3,0)," ")</f>
        <v xml:space="preserve"> </v>
      </c>
      <c r="AD244" s="471" t="str">
        <f ca="1">IF(N(AA244)&gt;0,VLOOKUP(AA244,Hraci!$A$1:$I$1500,5,0)," ")</f>
        <v xml:space="preserve"> </v>
      </c>
      <c r="AE244" s="472">
        <f ca="1">IF(N(AA244)=0,9999,VLOOKUP(AA244,Hraci!$A$1:$I$1500,8,0))</f>
        <v>9999</v>
      </c>
      <c r="AF244" s="473">
        <f ca="1">IF(N(AA244)=0,0,VLOOKUP(AA244,Hraci!$A$1:$I$1500,9,0))</f>
        <v>0</v>
      </c>
      <c r="AG244" s="474"/>
      <c r="AH244" s="480">
        <f ca="1">IF(TYPE(VLOOKUP(H244,Nasazení!$A$3:$E$258,5,0))&lt;4,VLOOKUP(H244,Nasazení!$A$3:$E$258,5,0),0)</f>
        <v>0</v>
      </c>
      <c r="AI244" s="475" t="str">
        <f ca="1">IF(N($AH244)&gt;0,VLOOKUP($AH244,Body!$A$4:$F$259,5,0),"")</f>
        <v/>
      </c>
      <c r="AJ244" s="476" t="str">
        <f ca="1">IF(N($AH244)&gt;0,VLOOKUP($AH244,Body!$A$4:$F$259,6,0),"")</f>
        <v/>
      </c>
      <c r="AK244" s="475" t="str">
        <f ca="1">IF(N($AH244)&gt;0,VLOOKUP($AH244,Body!$A$4:$F$259,2,0),"")</f>
        <v/>
      </c>
      <c r="AL244" s="477" t="str">
        <f t="shared" ca="1" si="78"/>
        <v/>
      </c>
      <c r="AM244" s="478">
        <f t="shared" ca="1" si="79"/>
        <v>0</v>
      </c>
      <c r="AN244" s="408">
        <f ca="1">IF(OR(TYPE(I244)&gt;1,TYPE(MATCH(I244,I245:I$267,0))&gt;1),0,MATCH(I244,I245:I$267,0))+IF(OR(TYPE(I244)&gt;1,TYPE(MATCH(I244,O$11:O$267,0))&gt;1),0,MATCH(I244,O$11:O$267,0))+IF(OR(TYPE(I244)&gt;1,TYPE(MATCH(I244,U$11:U$267,0))&gt;1),0,MATCH(I244,U$11:U$267,0))+IF(OR(TYPE(I244)&gt;1,TYPE(MATCH(I244,AA$11:AA$267,0))&gt;1),0,MATCH(I244,AA$11:AA$267,0))</f>
        <v>0</v>
      </c>
      <c r="AO244" s="408">
        <f ca="1">IF(OR(TYPE(O244)&gt;1,TYPE(MATCH(O244,I$11:I$267,0))&gt;1),0,MATCH(O244,I$11:I$267,0))+IF(OR(TYPE(O244)&gt;1,TYPE(MATCH(O244,O245:O$267,0))&gt;1),0,MATCH(O244,O245:O$267,0))+IF(OR(TYPE(O244)&gt;1,TYPE(MATCH(O244,U$11:U$267,0))&gt;1),0,MATCH(O244,U$11:U$267,0))+IF(OR(TYPE(O244)&gt;1,TYPE(MATCH(O244,AA$11:AA$267,0))&gt;1),0,MATCH(O244,AA$11:AA$267,0))</f>
        <v>0</v>
      </c>
      <c r="AP244" s="408">
        <f ca="1">IF(OR(TYPE(U244)&gt;1,TYPE(MATCH(U244,I$11:I$267,0))&gt;1),0,MATCH(U244,I$11:I$267,0))+IF(OR(TYPE(U244)&gt;1,TYPE(MATCH(U244,O$11:O$267,0))&gt;1),0,MATCH(U244,O$11:O$267,0))+IF(OR(TYPE(U244)&gt;1,TYPE(MATCH(U244,U245:U$267,0))&gt;1),0,MATCH(U244,U245:U$267,0))+IF(OR(TYPE(U244)&gt;1,TYPE(MATCH(U244,AA$11:AA$267,0))&gt;1),0,MATCH(U244,AA$11:AA$267,0))</f>
        <v>0</v>
      </c>
      <c r="AQ244" s="408">
        <f ca="1">IF(OR(TYPE(AA244)&gt;1,TYPE(MATCH(AA244,I$11:I$267,0))&gt;1),0,MATCH(AA244,I$11:I$267,0))+IF(OR(TYPE(AA244)&gt;1,TYPE(MATCH(AA244,O$11:O$267,0))&gt;1),0,MATCH(AA244,O$11:O$267,0))+IF(OR(TYPE(AA244)&gt;1,TYPE(MATCH(AA244,U$11:U$267,0))&gt;1),0,MATCH(U244,U$11:U$267,0))+IF(OR(TYPE(AA244)&gt;1,TYPE(MATCH(AA244,AA245:AA$267,0))&gt;1),0,MATCH(AA244,AA245:AA$267,0))</f>
        <v>0</v>
      </c>
      <c r="AR244" s="408">
        <f t="shared" ca="1" si="91"/>
        <v>0</v>
      </c>
      <c r="BF244" s="408">
        <f t="shared" si="92"/>
        <v>234</v>
      </c>
    </row>
    <row r="245" spans="1:58" ht="14.25">
      <c r="A245" s="430">
        <f t="shared" ca="1" si="81"/>
        <v>0</v>
      </c>
      <c r="B245" s="430">
        <f t="shared" ca="1" si="82"/>
        <v>0</v>
      </c>
      <c r="C245" s="430">
        <f t="shared" ca="1" si="83"/>
        <v>0</v>
      </c>
      <c r="D245" s="430">
        <f t="shared" ca="1" si="84"/>
        <v>99999</v>
      </c>
      <c r="E245" s="430">
        <f t="shared" ca="1" si="85"/>
        <v>9999</v>
      </c>
      <c r="F245" s="431" t="str">
        <f t="shared" ca="1" si="80"/>
        <v>00000000000000000000950026</v>
      </c>
      <c r="G245" s="467" t="b">
        <f t="shared" ca="1" si="86"/>
        <v>1</v>
      </c>
      <c r="H245" s="468">
        <f t="shared" si="77"/>
        <v>235</v>
      </c>
      <c r="I245" s="469" t="str">
        <f t="shared" ca="1" si="87"/>
        <v/>
      </c>
      <c r="J245" s="470" t="str">
        <f ca="1">IF(N(I245)&gt;0,VLOOKUP(I245,Hraci!$A$1:$I$1500,2,0),IF(TYPE(INDIRECT(ADDRESS(ROW() + $A$9-9 + (ROW()-11)*4,2,1,1,"Internet")))&gt;1,INDIRECT(ADDRESS(ROW() + $A$9-9 + (ROW()-11)*4,2,1,1,"Internet"))," "))</f>
        <v xml:space="preserve"> </v>
      </c>
      <c r="K245" s="471" t="str">
        <f ca="1">IF(N(I245)&gt;0,VLOOKUP(I245,Hraci!$A$1:$I$1500,3,0)," ")</f>
        <v xml:space="preserve"> </v>
      </c>
      <c r="L245" s="471" t="str">
        <f ca="1">IF(N(I245)&gt;0,VLOOKUP(I245,Hraci!$A$1:$I$1500,5,0),IF(TYPE(INDIRECT(ADDRESS(ROW() + $A$9-9 + (ROW()-11)*4,3,1,1,"Internet")))&gt;1,INDIRECT(ADDRESS(ROW() + $A$9-9 + (ROW()-11)*4,3,1,1,"Internet"))," "))</f>
        <v xml:space="preserve"> </v>
      </c>
      <c r="M245" s="472">
        <f ca="1">IF(N(I245)=0,9999,VLOOKUP(I245,Hraci!$A$1:$I$1500,8,0))</f>
        <v>9999</v>
      </c>
      <c r="N245" s="473">
        <f ca="1">IF(N(I245)=0,0,VLOOKUP(I245,Hraci!$A$1:$I$1500,9,0))</f>
        <v>0</v>
      </c>
      <c r="O245" s="469" t="str">
        <f t="shared" ca="1" si="88"/>
        <v/>
      </c>
      <c r="P245" s="470" t="str">
        <f ca="1">IF(N(O245)&gt;0,VLOOKUP(O245,Hraci!$A$1:$I$1500,2,0),IF(TYPE(INDIRECT(ADDRESS(ROW() + $A$9-8 + (ROW()-11)*4,2,1,1,"Internet")))&gt;1,INDIRECT(ADDRESS(ROW() + $A$9-8 + (ROW()-11)*4,2,1,1,"Internet"))," "))</f>
        <v xml:space="preserve"> </v>
      </c>
      <c r="Q245" s="471" t="str">
        <f ca="1">IF(N(O245)&gt;0,VLOOKUP(O245,Hraci!$A$1:$I$1500,3,0)," ")</f>
        <v xml:space="preserve"> </v>
      </c>
      <c r="R245" s="471" t="str">
        <f ca="1">IF(N(O245)&gt;0,VLOOKUP(O245,Hraci!$A$1:$I$1500,5,0),IF(TYPE(INDIRECT(ADDRESS(ROW() + $A$9-8 + (ROW()-11)*4,3,1,1,"Internet")))&gt;1,INDIRECT(ADDRESS(ROW() + $A$9-8 + (ROW()-11)*4,3,1,1,"Internet"))," "))</f>
        <v xml:space="preserve"> </v>
      </c>
      <c r="S245" s="472">
        <f ca="1">IF(N(O245)=0,9999,VLOOKUP(O245,Hraci!$A$1:$I$1500,8,0))</f>
        <v>9999</v>
      </c>
      <c r="T245" s="473">
        <f ca="1">IF(N(O245)=0,0,VLOOKUP(O245,Hraci!$A$1:$I$1500,9,0))</f>
        <v>0</v>
      </c>
      <c r="U245" s="469" t="str">
        <f t="shared" ca="1" si="89"/>
        <v/>
      </c>
      <c r="V245" s="470" t="str">
        <f ca="1">IF(N(U245)&gt;0,VLOOKUP(U245,Hraci!$A$1:$I$1500,2,0),IF(TYPE(INDIRECT(ADDRESS(ROW() + $A$9-7 + (ROW()-11)*4,2,1,1,"Internet")))&gt;1,INDIRECT(ADDRESS(ROW() + $A$9-7 + (ROW()-11)*4,2,1,1,"Internet"))," "))</f>
        <v xml:space="preserve"> </v>
      </c>
      <c r="W245" s="471" t="str">
        <f ca="1">IF(N(U245)&gt;0,VLOOKUP(U245,Hraci!$A$1:$I$1500,3,0)," ")</f>
        <v xml:space="preserve"> </v>
      </c>
      <c r="X245" s="471" t="str">
        <f ca="1">IF(N(U245)&gt;0,VLOOKUP(U245,Hraci!$A$1:$I$1500,5,0),IF(TYPE(INDIRECT(ADDRESS(ROW() + $A$9-7 + (ROW()-11)*4,3,1,1,"Internet")))&gt;1,INDIRECT(ADDRESS(ROW() + $A$9-7 + (ROW()-11)*4,3,1,1,"Internet"))," "))</f>
        <v xml:space="preserve"> </v>
      </c>
      <c r="Y245" s="472">
        <f ca="1">IF(N(U245)=0,9999,VLOOKUP(U245,Hraci!$A$1:$I$1500,8,0))</f>
        <v>9999</v>
      </c>
      <c r="Z245" s="473">
        <f ca="1">IF(N(U245)=0,0,VLOOKUP(U245,Hraci!$A$1:$I$1500,9,0))</f>
        <v>0</v>
      </c>
      <c r="AA245" s="469" t="str">
        <f t="shared" ca="1" si="90"/>
        <v/>
      </c>
      <c r="AB245" s="470" t="str">
        <f ca="1">IF(N(AA245)&gt;0,VLOOKUP(AA245,Hraci!$A$1:$I$1500,2,0)," ")</f>
        <v xml:space="preserve"> </v>
      </c>
      <c r="AC245" s="471" t="str">
        <f ca="1">IF(N(AA245)&gt;0,VLOOKUP(AA245,Hraci!$A$1:$I$1500,3,0)," ")</f>
        <v xml:space="preserve"> </v>
      </c>
      <c r="AD245" s="471" t="str">
        <f ca="1">IF(N(AA245)&gt;0,VLOOKUP(AA245,Hraci!$A$1:$I$1500,5,0)," ")</f>
        <v xml:space="preserve"> </v>
      </c>
      <c r="AE245" s="472">
        <f ca="1">IF(N(AA245)=0,9999,VLOOKUP(AA245,Hraci!$A$1:$I$1500,8,0))</f>
        <v>9999</v>
      </c>
      <c r="AF245" s="473">
        <f ca="1">IF(N(AA245)=0,0,VLOOKUP(AA245,Hraci!$A$1:$I$1500,9,0))</f>
        <v>0</v>
      </c>
      <c r="AG245" s="474"/>
      <c r="AH245" s="480">
        <f ca="1">IF(TYPE(VLOOKUP(H245,Nasazení!$A$3:$E$258,5,0))&lt;4,VLOOKUP(H245,Nasazení!$A$3:$E$258,5,0),0)</f>
        <v>0</v>
      </c>
      <c r="AI245" s="475" t="str">
        <f ca="1">IF(N($AH245)&gt;0,VLOOKUP($AH245,Body!$A$4:$F$259,5,0),"")</f>
        <v/>
      </c>
      <c r="AJ245" s="476" t="str">
        <f ca="1">IF(N($AH245)&gt;0,VLOOKUP($AH245,Body!$A$4:$F$259,6,0),"")</f>
        <v/>
      </c>
      <c r="AK245" s="475" t="str">
        <f ca="1">IF(N($AH245)&gt;0,VLOOKUP($AH245,Body!$A$4:$F$259,2,0),"")</f>
        <v/>
      </c>
      <c r="AL245" s="477" t="str">
        <f t="shared" ca="1" si="78"/>
        <v/>
      </c>
      <c r="AM245" s="478">
        <f t="shared" ca="1" si="79"/>
        <v>0</v>
      </c>
      <c r="AN245" s="408">
        <f ca="1">IF(OR(TYPE(I245)&gt;1,TYPE(MATCH(I245,I246:I$267,0))&gt;1),0,MATCH(I245,I246:I$267,0))+IF(OR(TYPE(I245)&gt;1,TYPE(MATCH(I245,O$11:O$267,0))&gt;1),0,MATCH(I245,O$11:O$267,0))+IF(OR(TYPE(I245)&gt;1,TYPE(MATCH(I245,U$11:U$267,0))&gt;1),0,MATCH(I245,U$11:U$267,0))+IF(OR(TYPE(I245)&gt;1,TYPE(MATCH(I245,AA$11:AA$267,0))&gt;1),0,MATCH(I245,AA$11:AA$267,0))</f>
        <v>0</v>
      </c>
      <c r="AO245" s="408">
        <f ca="1">IF(OR(TYPE(O245)&gt;1,TYPE(MATCH(O245,I$11:I$267,0))&gt;1),0,MATCH(O245,I$11:I$267,0))+IF(OR(TYPE(O245)&gt;1,TYPE(MATCH(O245,O246:O$267,0))&gt;1),0,MATCH(O245,O246:O$267,0))+IF(OR(TYPE(O245)&gt;1,TYPE(MATCH(O245,U$11:U$267,0))&gt;1),0,MATCH(O245,U$11:U$267,0))+IF(OR(TYPE(O245)&gt;1,TYPE(MATCH(O245,AA$11:AA$267,0))&gt;1),0,MATCH(O245,AA$11:AA$267,0))</f>
        <v>0</v>
      </c>
      <c r="AP245" s="408">
        <f ca="1">IF(OR(TYPE(U245)&gt;1,TYPE(MATCH(U245,I$11:I$267,0))&gt;1),0,MATCH(U245,I$11:I$267,0))+IF(OR(TYPE(U245)&gt;1,TYPE(MATCH(U245,O$11:O$267,0))&gt;1),0,MATCH(U245,O$11:O$267,0))+IF(OR(TYPE(U245)&gt;1,TYPE(MATCH(U245,U246:U$267,0))&gt;1),0,MATCH(U245,U246:U$267,0))+IF(OR(TYPE(U245)&gt;1,TYPE(MATCH(U245,AA$11:AA$267,0))&gt;1),0,MATCH(U245,AA$11:AA$267,0))</f>
        <v>0</v>
      </c>
      <c r="AQ245" s="408">
        <f ca="1">IF(OR(TYPE(AA245)&gt;1,TYPE(MATCH(AA245,I$11:I$267,0))&gt;1),0,MATCH(AA245,I$11:I$267,0))+IF(OR(TYPE(AA245)&gt;1,TYPE(MATCH(AA245,O$11:O$267,0))&gt;1),0,MATCH(AA245,O$11:O$267,0))+IF(OR(TYPE(AA245)&gt;1,TYPE(MATCH(AA245,U$11:U$267,0))&gt;1),0,MATCH(U245,U$11:U$267,0))+IF(OR(TYPE(AA245)&gt;1,TYPE(MATCH(AA245,AA246:AA$267,0))&gt;1),0,MATCH(AA245,AA246:AA$267,0))</f>
        <v>0</v>
      </c>
      <c r="AR245" s="408">
        <f t="shared" ca="1" si="91"/>
        <v>0</v>
      </c>
      <c r="BF245" s="408">
        <f t="shared" si="92"/>
        <v>235</v>
      </c>
    </row>
    <row r="246" spans="1:58" ht="14.25">
      <c r="A246" s="430">
        <f t="shared" ca="1" si="81"/>
        <v>0</v>
      </c>
      <c r="B246" s="430">
        <f t="shared" ca="1" si="82"/>
        <v>0</v>
      </c>
      <c r="C246" s="430">
        <f t="shared" ca="1" si="83"/>
        <v>0</v>
      </c>
      <c r="D246" s="430">
        <f t="shared" ca="1" si="84"/>
        <v>99999</v>
      </c>
      <c r="E246" s="430">
        <f t="shared" ca="1" si="85"/>
        <v>9999</v>
      </c>
      <c r="F246" s="431" t="str">
        <f t="shared" ca="1" si="80"/>
        <v>00000000000000000000747783</v>
      </c>
      <c r="G246" s="467" t="b">
        <f t="shared" ca="1" si="86"/>
        <v>1</v>
      </c>
      <c r="H246" s="468">
        <f t="shared" si="77"/>
        <v>236</v>
      </c>
      <c r="I246" s="469" t="str">
        <f t="shared" ca="1" si="87"/>
        <v/>
      </c>
      <c r="J246" s="470" t="str">
        <f ca="1">IF(N(I246)&gt;0,VLOOKUP(I246,Hraci!$A$1:$I$1500,2,0),IF(TYPE(INDIRECT(ADDRESS(ROW() + $A$9-9 + (ROW()-11)*4,2,1,1,"Internet")))&gt;1,INDIRECT(ADDRESS(ROW() + $A$9-9 + (ROW()-11)*4,2,1,1,"Internet"))," "))</f>
        <v xml:space="preserve"> </v>
      </c>
      <c r="K246" s="471" t="str">
        <f ca="1">IF(N(I246)&gt;0,VLOOKUP(I246,Hraci!$A$1:$I$1500,3,0)," ")</f>
        <v xml:space="preserve"> </v>
      </c>
      <c r="L246" s="471" t="str">
        <f ca="1">IF(N(I246)&gt;0,VLOOKUP(I246,Hraci!$A$1:$I$1500,5,0),IF(TYPE(INDIRECT(ADDRESS(ROW() + $A$9-9 + (ROW()-11)*4,3,1,1,"Internet")))&gt;1,INDIRECT(ADDRESS(ROW() + $A$9-9 + (ROW()-11)*4,3,1,1,"Internet"))," "))</f>
        <v xml:space="preserve"> </v>
      </c>
      <c r="M246" s="472">
        <f ca="1">IF(N(I246)=0,9999,VLOOKUP(I246,Hraci!$A$1:$I$1500,8,0))</f>
        <v>9999</v>
      </c>
      <c r="N246" s="473">
        <f ca="1">IF(N(I246)=0,0,VLOOKUP(I246,Hraci!$A$1:$I$1500,9,0))</f>
        <v>0</v>
      </c>
      <c r="O246" s="469" t="str">
        <f t="shared" ca="1" si="88"/>
        <v/>
      </c>
      <c r="P246" s="470" t="str">
        <f ca="1">IF(N(O246)&gt;0,VLOOKUP(O246,Hraci!$A$1:$I$1500,2,0),IF(TYPE(INDIRECT(ADDRESS(ROW() + $A$9-8 + (ROW()-11)*4,2,1,1,"Internet")))&gt;1,INDIRECT(ADDRESS(ROW() + $A$9-8 + (ROW()-11)*4,2,1,1,"Internet"))," "))</f>
        <v xml:space="preserve"> </v>
      </c>
      <c r="Q246" s="471" t="str">
        <f ca="1">IF(N(O246)&gt;0,VLOOKUP(O246,Hraci!$A$1:$I$1500,3,0)," ")</f>
        <v xml:space="preserve"> </v>
      </c>
      <c r="R246" s="471" t="str">
        <f ca="1">IF(N(O246)&gt;0,VLOOKUP(O246,Hraci!$A$1:$I$1500,5,0),IF(TYPE(INDIRECT(ADDRESS(ROW() + $A$9-8 + (ROW()-11)*4,3,1,1,"Internet")))&gt;1,INDIRECT(ADDRESS(ROW() + $A$9-8 + (ROW()-11)*4,3,1,1,"Internet"))," "))</f>
        <v xml:space="preserve"> </v>
      </c>
      <c r="S246" s="472">
        <f ca="1">IF(N(O246)=0,9999,VLOOKUP(O246,Hraci!$A$1:$I$1500,8,0))</f>
        <v>9999</v>
      </c>
      <c r="T246" s="473">
        <f ca="1">IF(N(O246)=0,0,VLOOKUP(O246,Hraci!$A$1:$I$1500,9,0))</f>
        <v>0</v>
      </c>
      <c r="U246" s="469" t="str">
        <f t="shared" ca="1" si="89"/>
        <v/>
      </c>
      <c r="V246" s="470" t="str">
        <f ca="1">IF(N(U246)&gt;0,VLOOKUP(U246,Hraci!$A$1:$I$1500,2,0),IF(TYPE(INDIRECT(ADDRESS(ROW() + $A$9-7 + (ROW()-11)*4,2,1,1,"Internet")))&gt;1,INDIRECT(ADDRESS(ROW() + $A$9-7 + (ROW()-11)*4,2,1,1,"Internet"))," "))</f>
        <v xml:space="preserve"> </v>
      </c>
      <c r="W246" s="471" t="str">
        <f ca="1">IF(N(U246)&gt;0,VLOOKUP(U246,Hraci!$A$1:$I$1500,3,0)," ")</f>
        <v xml:space="preserve"> </v>
      </c>
      <c r="X246" s="471" t="str">
        <f ca="1">IF(N(U246)&gt;0,VLOOKUP(U246,Hraci!$A$1:$I$1500,5,0),IF(TYPE(INDIRECT(ADDRESS(ROW() + $A$9-7 + (ROW()-11)*4,3,1,1,"Internet")))&gt;1,INDIRECT(ADDRESS(ROW() + $A$9-7 + (ROW()-11)*4,3,1,1,"Internet"))," "))</f>
        <v xml:space="preserve"> </v>
      </c>
      <c r="Y246" s="472">
        <f ca="1">IF(N(U246)=0,9999,VLOOKUP(U246,Hraci!$A$1:$I$1500,8,0))</f>
        <v>9999</v>
      </c>
      <c r="Z246" s="473">
        <f ca="1">IF(N(U246)=0,0,VLOOKUP(U246,Hraci!$A$1:$I$1500,9,0))</f>
        <v>0</v>
      </c>
      <c r="AA246" s="469" t="str">
        <f t="shared" ca="1" si="90"/>
        <v/>
      </c>
      <c r="AB246" s="470" t="str">
        <f ca="1">IF(N(AA246)&gt;0,VLOOKUP(AA246,Hraci!$A$1:$I$1500,2,0)," ")</f>
        <v xml:space="preserve"> </v>
      </c>
      <c r="AC246" s="471" t="str">
        <f ca="1">IF(N(AA246)&gt;0,VLOOKUP(AA246,Hraci!$A$1:$I$1500,3,0)," ")</f>
        <v xml:space="preserve"> </v>
      </c>
      <c r="AD246" s="471" t="str">
        <f ca="1">IF(N(AA246)&gt;0,VLOOKUP(AA246,Hraci!$A$1:$I$1500,5,0)," ")</f>
        <v xml:space="preserve"> </v>
      </c>
      <c r="AE246" s="472">
        <f ca="1">IF(N(AA246)=0,9999,VLOOKUP(AA246,Hraci!$A$1:$I$1500,8,0))</f>
        <v>9999</v>
      </c>
      <c r="AF246" s="473">
        <f ca="1">IF(N(AA246)=0,0,VLOOKUP(AA246,Hraci!$A$1:$I$1500,9,0))</f>
        <v>0</v>
      </c>
      <c r="AG246" s="474"/>
      <c r="AH246" s="480">
        <f ca="1">IF(TYPE(VLOOKUP(H246,Nasazení!$A$3:$E$258,5,0))&lt;4,VLOOKUP(H246,Nasazení!$A$3:$E$258,5,0),0)</f>
        <v>0</v>
      </c>
      <c r="AI246" s="475" t="str">
        <f ca="1">IF(N($AH246)&gt;0,VLOOKUP($AH246,Body!$A$4:$F$259,5,0),"")</f>
        <v/>
      </c>
      <c r="AJ246" s="476" t="str">
        <f ca="1">IF(N($AH246)&gt;0,VLOOKUP($AH246,Body!$A$4:$F$259,6,0),"")</f>
        <v/>
      </c>
      <c r="AK246" s="475" t="str">
        <f ca="1">IF(N($AH246)&gt;0,VLOOKUP($AH246,Body!$A$4:$F$259,2,0),"")</f>
        <v/>
      </c>
      <c r="AL246" s="477" t="str">
        <f t="shared" ca="1" si="78"/>
        <v/>
      </c>
      <c r="AM246" s="478">
        <f t="shared" ca="1" si="79"/>
        <v>0</v>
      </c>
      <c r="AN246" s="408">
        <f ca="1">IF(OR(TYPE(I246)&gt;1,TYPE(MATCH(I246,I247:I$267,0))&gt;1),0,MATCH(I246,I247:I$267,0))+IF(OR(TYPE(I246)&gt;1,TYPE(MATCH(I246,O$11:O$267,0))&gt;1),0,MATCH(I246,O$11:O$267,0))+IF(OR(TYPE(I246)&gt;1,TYPE(MATCH(I246,U$11:U$267,0))&gt;1),0,MATCH(I246,U$11:U$267,0))+IF(OR(TYPE(I246)&gt;1,TYPE(MATCH(I246,AA$11:AA$267,0))&gt;1),0,MATCH(I246,AA$11:AA$267,0))</f>
        <v>0</v>
      </c>
      <c r="AO246" s="408">
        <f ca="1">IF(OR(TYPE(O246)&gt;1,TYPE(MATCH(O246,I$11:I$267,0))&gt;1),0,MATCH(O246,I$11:I$267,0))+IF(OR(TYPE(O246)&gt;1,TYPE(MATCH(O246,O247:O$267,0))&gt;1),0,MATCH(O246,O247:O$267,0))+IF(OR(TYPE(O246)&gt;1,TYPE(MATCH(O246,U$11:U$267,0))&gt;1),0,MATCH(O246,U$11:U$267,0))+IF(OR(TYPE(O246)&gt;1,TYPE(MATCH(O246,AA$11:AA$267,0))&gt;1),0,MATCH(O246,AA$11:AA$267,0))</f>
        <v>0</v>
      </c>
      <c r="AP246" s="408">
        <f ca="1">IF(OR(TYPE(U246)&gt;1,TYPE(MATCH(U246,I$11:I$267,0))&gt;1),0,MATCH(U246,I$11:I$267,0))+IF(OR(TYPE(U246)&gt;1,TYPE(MATCH(U246,O$11:O$267,0))&gt;1),0,MATCH(U246,O$11:O$267,0))+IF(OR(TYPE(U246)&gt;1,TYPE(MATCH(U246,U247:U$267,0))&gt;1),0,MATCH(U246,U247:U$267,0))+IF(OR(TYPE(U246)&gt;1,TYPE(MATCH(U246,AA$11:AA$267,0))&gt;1),0,MATCH(U246,AA$11:AA$267,0))</f>
        <v>0</v>
      </c>
      <c r="AQ246" s="408">
        <f ca="1">IF(OR(TYPE(AA246)&gt;1,TYPE(MATCH(AA246,I$11:I$267,0))&gt;1),0,MATCH(AA246,I$11:I$267,0))+IF(OR(TYPE(AA246)&gt;1,TYPE(MATCH(AA246,O$11:O$267,0))&gt;1),0,MATCH(AA246,O$11:O$267,0))+IF(OR(TYPE(AA246)&gt;1,TYPE(MATCH(AA246,U$11:U$267,0))&gt;1),0,MATCH(U246,U$11:U$267,0))+IF(OR(TYPE(AA246)&gt;1,TYPE(MATCH(AA246,AA247:AA$267,0))&gt;1),0,MATCH(AA246,AA247:AA$267,0))</f>
        <v>0</v>
      </c>
      <c r="AR246" s="408">
        <f t="shared" ca="1" si="91"/>
        <v>0</v>
      </c>
      <c r="BF246" s="408">
        <f t="shared" si="92"/>
        <v>236</v>
      </c>
    </row>
    <row r="247" spans="1:58" ht="14.25">
      <c r="A247" s="430">
        <f t="shared" ca="1" si="81"/>
        <v>0</v>
      </c>
      <c r="B247" s="430">
        <f t="shared" ca="1" si="82"/>
        <v>0</v>
      </c>
      <c r="C247" s="430">
        <f t="shared" ca="1" si="83"/>
        <v>0</v>
      </c>
      <c r="D247" s="430">
        <f t="shared" ca="1" si="84"/>
        <v>99999</v>
      </c>
      <c r="E247" s="430">
        <f t="shared" ca="1" si="85"/>
        <v>9999</v>
      </c>
      <c r="F247" s="431" t="str">
        <f t="shared" ca="1" si="80"/>
        <v>00000000000000000000296532</v>
      </c>
      <c r="G247" s="467" t="b">
        <f t="shared" ca="1" si="86"/>
        <v>1</v>
      </c>
      <c r="H247" s="468">
        <f t="shared" si="77"/>
        <v>237</v>
      </c>
      <c r="I247" s="469" t="str">
        <f t="shared" ca="1" si="87"/>
        <v/>
      </c>
      <c r="J247" s="470" t="str">
        <f ca="1">IF(N(I247)&gt;0,VLOOKUP(I247,Hraci!$A$1:$I$1500,2,0),IF(TYPE(INDIRECT(ADDRESS(ROW() + $A$9-9 + (ROW()-11)*4,2,1,1,"Internet")))&gt;1,INDIRECT(ADDRESS(ROW() + $A$9-9 + (ROW()-11)*4,2,1,1,"Internet"))," "))</f>
        <v xml:space="preserve"> </v>
      </c>
      <c r="K247" s="471" t="str">
        <f ca="1">IF(N(I247)&gt;0,VLOOKUP(I247,Hraci!$A$1:$I$1500,3,0)," ")</f>
        <v xml:space="preserve"> </v>
      </c>
      <c r="L247" s="471" t="str">
        <f ca="1">IF(N(I247)&gt;0,VLOOKUP(I247,Hraci!$A$1:$I$1500,5,0),IF(TYPE(INDIRECT(ADDRESS(ROW() + $A$9-9 + (ROW()-11)*4,3,1,1,"Internet")))&gt;1,INDIRECT(ADDRESS(ROW() + $A$9-9 + (ROW()-11)*4,3,1,1,"Internet"))," "))</f>
        <v xml:space="preserve"> </v>
      </c>
      <c r="M247" s="472">
        <f ca="1">IF(N(I247)=0,9999,VLOOKUP(I247,Hraci!$A$1:$I$1500,8,0))</f>
        <v>9999</v>
      </c>
      <c r="N247" s="473">
        <f ca="1">IF(N(I247)=0,0,VLOOKUP(I247,Hraci!$A$1:$I$1500,9,0))</f>
        <v>0</v>
      </c>
      <c r="O247" s="469" t="str">
        <f t="shared" ca="1" si="88"/>
        <v/>
      </c>
      <c r="P247" s="470" t="str">
        <f ca="1">IF(N(O247)&gt;0,VLOOKUP(O247,Hraci!$A$1:$I$1500,2,0),IF(TYPE(INDIRECT(ADDRESS(ROW() + $A$9-8 + (ROW()-11)*4,2,1,1,"Internet")))&gt;1,INDIRECT(ADDRESS(ROW() + $A$9-8 + (ROW()-11)*4,2,1,1,"Internet"))," "))</f>
        <v xml:space="preserve"> </v>
      </c>
      <c r="Q247" s="471" t="str">
        <f ca="1">IF(N(O247)&gt;0,VLOOKUP(O247,Hraci!$A$1:$I$1500,3,0)," ")</f>
        <v xml:space="preserve"> </v>
      </c>
      <c r="R247" s="471" t="str">
        <f ca="1">IF(N(O247)&gt;0,VLOOKUP(O247,Hraci!$A$1:$I$1500,5,0),IF(TYPE(INDIRECT(ADDRESS(ROW() + $A$9-8 + (ROW()-11)*4,3,1,1,"Internet")))&gt;1,INDIRECT(ADDRESS(ROW() + $A$9-8 + (ROW()-11)*4,3,1,1,"Internet"))," "))</f>
        <v xml:space="preserve"> </v>
      </c>
      <c r="S247" s="472">
        <f ca="1">IF(N(O247)=0,9999,VLOOKUP(O247,Hraci!$A$1:$I$1500,8,0))</f>
        <v>9999</v>
      </c>
      <c r="T247" s="473">
        <f ca="1">IF(N(O247)=0,0,VLOOKUP(O247,Hraci!$A$1:$I$1500,9,0))</f>
        <v>0</v>
      </c>
      <c r="U247" s="469" t="str">
        <f t="shared" ca="1" si="89"/>
        <v/>
      </c>
      <c r="V247" s="470" t="str">
        <f ca="1">IF(N(U247)&gt;0,VLOOKUP(U247,Hraci!$A$1:$I$1500,2,0),IF(TYPE(INDIRECT(ADDRESS(ROW() + $A$9-7 + (ROW()-11)*4,2,1,1,"Internet")))&gt;1,INDIRECT(ADDRESS(ROW() + $A$9-7 + (ROW()-11)*4,2,1,1,"Internet"))," "))</f>
        <v xml:space="preserve"> </v>
      </c>
      <c r="W247" s="471" t="str">
        <f ca="1">IF(N(U247)&gt;0,VLOOKUP(U247,Hraci!$A$1:$I$1500,3,0)," ")</f>
        <v xml:space="preserve"> </v>
      </c>
      <c r="X247" s="471" t="str">
        <f ca="1">IF(N(U247)&gt;0,VLOOKUP(U247,Hraci!$A$1:$I$1500,5,0),IF(TYPE(INDIRECT(ADDRESS(ROW() + $A$9-7 + (ROW()-11)*4,3,1,1,"Internet")))&gt;1,INDIRECT(ADDRESS(ROW() + $A$9-7 + (ROW()-11)*4,3,1,1,"Internet"))," "))</f>
        <v xml:space="preserve"> </v>
      </c>
      <c r="Y247" s="472">
        <f ca="1">IF(N(U247)=0,9999,VLOOKUP(U247,Hraci!$A$1:$I$1500,8,0))</f>
        <v>9999</v>
      </c>
      <c r="Z247" s="473">
        <f ca="1">IF(N(U247)=0,0,VLOOKUP(U247,Hraci!$A$1:$I$1500,9,0))</f>
        <v>0</v>
      </c>
      <c r="AA247" s="469" t="str">
        <f t="shared" ca="1" si="90"/>
        <v/>
      </c>
      <c r="AB247" s="470" t="str">
        <f ca="1">IF(N(AA247)&gt;0,VLOOKUP(AA247,Hraci!$A$1:$I$1500,2,0)," ")</f>
        <v xml:space="preserve"> </v>
      </c>
      <c r="AC247" s="471" t="str">
        <f ca="1">IF(N(AA247)&gt;0,VLOOKUP(AA247,Hraci!$A$1:$I$1500,3,0)," ")</f>
        <v xml:space="preserve"> </v>
      </c>
      <c r="AD247" s="471" t="str">
        <f ca="1">IF(N(AA247)&gt;0,VLOOKUP(AA247,Hraci!$A$1:$I$1500,5,0)," ")</f>
        <v xml:space="preserve"> </v>
      </c>
      <c r="AE247" s="472">
        <f ca="1">IF(N(AA247)=0,9999,VLOOKUP(AA247,Hraci!$A$1:$I$1500,8,0))</f>
        <v>9999</v>
      </c>
      <c r="AF247" s="473">
        <f ca="1">IF(N(AA247)=0,0,VLOOKUP(AA247,Hraci!$A$1:$I$1500,9,0))</f>
        <v>0</v>
      </c>
      <c r="AG247" s="474"/>
      <c r="AH247" s="480">
        <f ca="1">IF(TYPE(VLOOKUP(H247,Nasazení!$A$3:$E$258,5,0))&lt;4,VLOOKUP(H247,Nasazení!$A$3:$E$258,5,0),0)</f>
        <v>0</v>
      </c>
      <c r="AI247" s="475" t="str">
        <f ca="1">IF(N($AH247)&gt;0,VLOOKUP($AH247,Body!$A$4:$F$259,5,0),"")</f>
        <v/>
      </c>
      <c r="AJ247" s="476" t="str">
        <f ca="1">IF(N($AH247)&gt;0,VLOOKUP($AH247,Body!$A$4:$F$259,6,0),"")</f>
        <v/>
      </c>
      <c r="AK247" s="475" t="str">
        <f ca="1">IF(N($AH247)&gt;0,VLOOKUP($AH247,Body!$A$4:$F$259,2,0),"")</f>
        <v/>
      </c>
      <c r="AL247" s="477" t="str">
        <f t="shared" ca="1" si="78"/>
        <v/>
      </c>
      <c r="AM247" s="478">
        <f t="shared" ca="1" si="79"/>
        <v>0</v>
      </c>
      <c r="AN247" s="408">
        <f ca="1">IF(OR(TYPE(I247)&gt;1,TYPE(MATCH(I247,I248:I$267,0))&gt;1),0,MATCH(I247,I248:I$267,0))+IF(OR(TYPE(I247)&gt;1,TYPE(MATCH(I247,O$11:O$267,0))&gt;1),0,MATCH(I247,O$11:O$267,0))+IF(OR(TYPE(I247)&gt;1,TYPE(MATCH(I247,U$11:U$267,0))&gt;1),0,MATCH(I247,U$11:U$267,0))+IF(OR(TYPE(I247)&gt;1,TYPE(MATCH(I247,AA$11:AA$267,0))&gt;1),0,MATCH(I247,AA$11:AA$267,0))</f>
        <v>0</v>
      </c>
      <c r="AO247" s="408">
        <f ca="1">IF(OR(TYPE(O247)&gt;1,TYPE(MATCH(O247,I$11:I$267,0))&gt;1),0,MATCH(O247,I$11:I$267,0))+IF(OR(TYPE(O247)&gt;1,TYPE(MATCH(O247,O248:O$267,0))&gt;1),0,MATCH(O247,O248:O$267,0))+IF(OR(TYPE(O247)&gt;1,TYPE(MATCH(O247,U$11:U$267,0))&gt;1),0,MATCH(O247,U$11:U$267,0))+IF(OR(TYPE(O247)&gt;1,TYPE(MATCH(O247,AA$11:AA$267,0))&gt;1),0,MATCH(O247,AA$11:AA$267,0))</f>
        <v>0</v>
      </c>
      <c r="AP247" s="408">
        <f ca="1">IF(OR(TYPE(U247)&gt;1,TYPE(MATCH(U247,I$11:I$267,0))&gt;1),0,MATCH(U247,I$11:I$267,0))+IF(OR(TYPE(U247)&gt;1,TYPE(MATCH(U247,O$11:O$267,0))&gt;1),0,MATCH(U247,O$11:O$267,0))+IF(OR(TYPE(U247)&gt;1,TYPE(MATCH(U247,U248:U$267,0))&gt;1),0,MATCH(U247,U248:U$267,0))+IF(OR(TYPE(U247)&gt;1,TYPE(MATCH(U247,AA$11:AA$267,0))&gt;1),0,MATCH(U247,AA$11:AA$267,0))</f>
        <v>0</v>
      </c>
      <c r="AQ247" s="408">
        <f ca="1">IF(OR(TYPE(AA247)&gt;1,TYPE(MATCH(AA247,I$11:I$267,0))&gt;1),0,MATCH(AA247,I$11:I$267,0))+IF(OR(TYPE(AA247)&gt;1,TYPE(MATCH(AA247,O$11:O$267,0))&gt;1),0,MATCH(AA247,O$11:O$267,0))+IF(OR(TYPE(AA247)&gt;1,TYPE(MATCH(AA247,U$11:U$267,0))&gt;1),0,MATCH(U247,U$11:U$267,0))+IF(OR(TYPE(AA247)&gt;1,TYPE(MATCH(AA247,AA248:AA$267,0))&gt;1),0,MATCH(AA247,AA248:AA$267,0))</f>
        <v>0</v>
      </c>
      <c r="AR247" s="408">
        <f t="shared" ca="1" si="91"/>
        <v>0</v>
      </c>
      <c r="BF247" s="408">
        <f t="shared" si="92"/>
        <v>237</v>
      </c>
    </row>
    <row r="248" spans="1:58" ht="14.25">
      <c r="A248" s="430">
        <f t="shared" ca="1" si="81"/>
        <v>0</v>
      </c>
      <c r="B248" s="430">
        <f t="shared" ca="1" si="82"/>
        <v>0</v>
      </c>
      <c r="C248" s="430">
        <f t="shared" ca="1" si="83"/>
        <v>0</v>
      </c>
      <c r="D248" s="430">
        <f t="shared" ca="1" si="84"/>
        <v>99999</v>
      </c>
      <c r="E248" s="430">
        <f t="shared" ca="1" si="85"/>
        <v>9999</v>
      </c>
      <c r="F248" s="431" t="str">
        <f t="shared" ca="1" si="80"/>
        <v>00000000000000000000721608</v>
      </c>
      <c r="G248" s="467" t="b">
        <f t="shared" ca="1" si="86"/>
        <v>1</v>
      </c>
      <c r="H248" s="468">
        <f t="shared" si="77"/>
        <v>238</v>
      </c>
      <c r="I248" s="469" t="str">
        <f t="shared" ca="1" si="87"/>
        <v/>
      </c>
      <c r="J248" s="470" t="str">
        <f ca="1">IF(N(I248)&gt;0,VLOOKUP(I248,Hraci!$A$1:$I$1500,2,0),IF(TYPE(INDIRECT(ADDRESS(ROW() + $A$9-9 + (ROW()-11)*4,2,1,1,"Internet")))&gt;1,INDIRECT(ADDRESS(ROW() + $A$9-9 + (ROW()-11)*4,2,1,1,"Internet"))," "))</f>
        <v xml:space="preserve"> </v>
      </c>
      <c r="K248" s="471" t="str">
        <f ca="1">IF(N(I248)&gt;0,VLOOKUP(I248,Hraci!$A$1:$I$1500,3,0)," ")</f>
        <v xml:space="preserve"> </v>
      </c>
      <c r="L248" s="471" t="str">
        <f ca="1">IF(N(I248)&gt;0,VLOOKUP(I248,Hraci!$A$1:$I$1500,5,0),IF(TYPE(INDIRECT(ADDRESS(ROW() + $A$9-9 + (ROW()-11)*4,3,1,1,"Internet")))&gt;1,INDIRECT(ADDRESS(ROW() + $A$9-9 + (ROW()-11)*4,3,1,1,"Internet"))," "))</f>
        <v xml:space="preserve"> </v>
      </c>
      <c r="M248" s="472">
        <f ca="1">IF(N(I248)=0,9999,VLOOKUP(I248,Hraci!$A$1:$I$1500,8,0))</f>
        <v>9999</v>
      </c>
      <c r="N248" s="473">
        <f ca="1">IF(N(I248)=0,0,VLOOKUP(I248,Hraci!$A$1:$I$1500,9,0))</f>
        <v>0</v>
      </c>
      <c r="O248" s="469" t="str">
        <f t="shared" ca="1" si="88"/>
        <v/>
      </c>
      <c r="P248" s="470" t="str">
        <f ca="1">IF(N(O248)&gt;0,VLOOKUP(O248,Hraci!$A$1:$I$1500,2,0),IF(TYPE(INDIRECT(ADDRESS(ROW() + $A$9-8 + (ROW()-11)*4,2,1,1,"Internet")))&gt;1,INDIRECT(ADDRESS(ROW() + $A$9-8 + (ROW()-11)*4,2,1,1,"Internet"))," "))</f>
        <v xml:space="preserve"> </v>
      </c>
      <c r="Q248" s="471" t="str">
        <f ca="1">IF(N(O248)&gt;0,VLOOKUP(O248,Hraci!$A$1:$I$1500,3,0)," ")</f>
        <v xml:space="preserve"> </v>
      </c>
      <c r="R248" s="471" t="str">
        <f ca="1">IF(N(O248)&gt;0,VLOOKUP(O248,Hraci!$A$1:$I$1500,5,0),IF(TYPE(INDIRECT(ADDRESS(ROW() + $A$9-8 + (ROW()-11)*4,3,1,1,"Internet")))&gt;1,INDIRECT(ADDRESS(ROW() + $A$9-8 + (ROW()-11)*4,3,1,1,"Internet"))," "))</f>
        <v xml:space="preserve"> </v>
      </c>
      <c r="S248" s="472">
        <f ca="1">IF(N(O248)=0,9999,VLOOKUP(O248,Hraci!$A$1:$I$1500,8,0))</f>
        <v>9999</v>
      </c>
      <c r="T248" s="473">
        <f ca="1">IF(N(O248)=0,0,VLOOKUP(O248,Hraci!$A$1:$I$1500,9,0))</f>
        <v>0</v>
      </c>
      <c r="U248" s="469" t="str">
        <f t="shared" ca="1" si="89"/>
        <v/>
      </c>
      <c r="V248" s="470" t="str">
        <f ca="1">IF(N(U248)&gt;0,VLOOKUP(U248,Hraci!$A$1:$I$1500,2,0),IF(TYPE(INDIRECT(ADDRESS(ROW() + $A$9-7 + (ROW()-11)*4,2,1,1,"Internet")))&gt;1,INDIRECT(ADDRESS(ROW() + $A$9-7 + (ROW()-11)*4,2,1,1,"Internet"))," "))</f>
        <v xml:space="preserve"> </v>
      </c>
      <c r="W248" s="471" t="str">
        <f ca="1">IF(N(U248)&gt;0,VLOOKUP(U248,Hraci!$A$1:$I$1500,3,0)," ")</f>
        <v xml:space="preserve"> </v>
      </c>
      <c r="X248" s="471" t="str">
        <f ca="1">IF(N(U248)&gt;0,VLOOKUP(U248,Hraci!$A$1:$I$1500,5,0),IF(TYPE(INDIRECT(ADDRESS(ROW() + $A$9-7 + (ROW()-11)*4,3,1,1,"Internet")))&gt;1,INDIRECT(ADDRESS(ROW() + $A$9-7 + (ROW()-11)*4,3,1,1,"Internet"))," "))</f>
        <v xml:space="preserve"> </v>
      </c>
      <c r="Y248" s="472">
        <f ca="1">IF(N(U248)=0,9999,VLOOKUP(U248,Hraci!$A$1:$I$1500,8,0))</f>
        <v>9999</v>
      </c>
      <c r="Z248" s="473">
        <f ca="1">IF(N(U248)=0,0,VLOOKUP(U248,Hraci!$A$1:$I$1500,9,0))</f>
        <v>0</v>
      </c>
      <c r="AA248" s="469" t="str">
        <f t="shared" ca="1" si="90"/>
        <v/>
      </c>
      <c r="AB248" s="470" t="str">
        <f ca="1">IF(N(AA248)&gt;0,VLOOKUP(AA248,Hraci!$A$1:$I$1500,2,0)," ")</f>
        <v xml:space="preserve"> </v>
      </c>
      <c r="AC248" s="471" t="str">
        <f ca="1">IF(N(AA248)&gt;0,VLOOKUP(AA248,Hraci!$A$1:$I$1500,3,0)," ")</f>
        <v xml:space="preserve"> </v>
      </c>
      <c r="AD248" s="471" t="str">
        <f ca="1">IF(N(AA248)&gt;0,VLOOKUP(AA248,Hraci!$A$1:$I$1500,5,0)," ")</f>
        <v xml:space="preserve"> </v>
      </c>
      <c r="AE248" s="472">
        <f ca="1">IF(N(AA248)=0,9999,VLOOKUP(AA248,Hraci!$A$1:$I$1500,8,0))</f>
        <v>9999</v>
      </c>
      <c r="AF248" s="473">
        <f ca="1">IF(N(AA248)=0,0,VLOOKUP(AA248,Hraci!$A$1:$I$1500,9,0))</f>
        <v>0</v>
      </c>
      <c r="AG248" s="474"/>
      <c r="AH248" s="480">
        <f ca="1">IF(TYPE(VLOOKUP(H248,Nasazení!$A$3:$E$258,5,0))&lt;4,VLOOKUP(H248,Nasazení!$A$3:$E$258,5,0),0)</f>
        <v>0</v>
      </c>
      <c r="AI248" s="475" t="str">
        <f ca="1">IF(N($AH248)&gt;0,VLOOKUP($AH248,Body!$A$4:$F$259,5,0),"")</f>
        <v/>
      </c>
      <c r="AJ248" s="476" t="str">
        <f ca="1">IF(N($AH248)&gt;0,VLOOKUP($AH248,Body!$A$4:$F$259,6,0),"")</f>
        <v/>
      </c>
      <c r="AK248" s="475" t="str">
        <f ca="1">IF(N($AH248)&gt;0,VLOOKUP($AH248,Body!$A$4:$F$259,2,0),"")</f>
        <v/>
      </c>
      <c r="AL248" s="477" t="str">
        <f t="shared" ca="1" si="78"/>
        <v/>
      </c>
      <c r="AM248" s="478">
        <f t="shared" ca="1" si="79"/>
        <v>0</v>
      </c>
      <c r="AN248" s="408">
        <f ca="1">IF(OR(TYPE(I248)&gt;1,TYPE(MATCH(I248,I249:I$267,0))&gt;1),0,MATCH(I248,I249:I$267,0))+IF(OR(TYPE(I248)&gt;1,TYPE(MATCH(I248,O$11:O$267,0))&gt;1),0,MATCH(I248,O$11:O$267,0))+IF(OR(TYPE(I248)&gt;1,TYPE(MATCH(I248,U$11:U$267,0))&gt;1),0,MATCH(I248,U$11:U$267,0))+IF(OR(TYPE(I248)&gt;1,TYPE(MATCH(I248,AA$11:AA$267,0))&gt;1),0,MATCH(I248,AA$11:AA$267,0))</f>
        <v>0</v>
      </c>
      <c r="AO248" s="408">
        <f ca="1">IF(OR(TYPE(O248)&gt;1,TYPE(MATCH(O248,I$11:I$267,0))&gt;1),0,MATCH(O248,I$11:I$267,0))+IF(OR(TYPE(O248)&gt;1,TYPE(MATCH(O248,O249:O$267,0))&gt;1),0,MATCH(O248,O249:O$267,0))+IF(OR(TYPE(O248)&gt;1,TYPE(MATCH(O248,U$11:U$267,0))&gt;1),0,MATCH(O248,U$11:U$267,0))+IF(OR(TYPE(O248)&gt;1,TYPE(MATCH(O248,AA$11:AA$267,0))&gt;1),0,MATCH(O248,AA$11:AA$267,0))</f>
        <v>0</v>
      </c>
      <c r="AP248" s="408">
        <f ca="1">IF(OR(TYPE(U248)&gt;1,TYPE(MATCH(U248,I$11:I$267,0))&gt;1),0,MATCH(U248,I$11:I$267,0))+IF(OR(TYPE(U248)&gt;1,TYPE(MATCH(U248,O$11:O$267,0))&gt;1),0,MATCH(U248,O$11:O$267,0))+IF(OR(TYPE(U248)&gt;1,TYPE(MATCH(U248,U249:U$267,0))&gt;1),0,MATCH(U248,U249:U$267,0))+IF(OR(TYPE(U248)&gt;1,TYPE(MATCH(U248,AA$11:AA$267,0))&gt;1),0,MATCH(U248,AA$11:AA$267,0))</f>
        <v>0</v>
      </c>
      <c r="AQ248" s="408">
        <f ca="1">IF(OR(TYPE(AA248)&gt;1,TYPE(MATCH(AA248,I$11:I$267,0))&gt;1),0,MATCH(AA248,I$11:I$267,0))+IF(OR(TYPE(AA248)&gt;1,TYPE(MATCH(AA248,O$11:O$267,0))&gt;1),0,MATCH(AA248,O$11:O$267,0))+IF(OR(TYPE(AA248)&gt;1,TYPE(MATCH(AA248,U$11:U$267,0))&gt;1),0,MATCH(U248,U$11:U$267,0))+IF(OR(TYPE(AA248)&gt;1,TYPE(MATCH(AA248,AA249:AA$267,0))&gt;1),0,MATCH(AA248,AA249:AA$267,0))</f>
        <v>0</v>
      </c>
      <c r="AR248" s="408">
        <f t="shared" ca="1" si="91"/>
        <v>0</v>
      </c>
      <c r="BF248" s="408">
        <f t="shared" si="92"/>
        <v>238</v>
      </c>
    </row>
    <row r="249" spans="1:58" ht="14.25">
      <c r="A249" s="430">
        <f t="shared" ca="1" si="81"/>
        <v>0</v>
      </c>
      <c r="B249" s="430">
        <f t="shared" ca="1" si="82"/>
        <v>0</v>
      </c>
      <c r="C249" s="430">
        <f t="shared" ca="1" si="83"/>
        <v>0</v>
      </c>
      <c r="D249" s="430">
        <f t="shared" ca="1" si="84"/>
        <v>99999</v>
      </c>
      <c r="E249" s="430">
        <f t="shared" ca="1" si="85"/>
        <v>9999</v>
      </c>
      <c r="F249" s="431" t="str">
        <f t="shared" ca="1" si="80"/>
        <v>00000000000000000000865889</v>
      </c>
      <c r="G249" s="467" t="b">
        <f t="shared" ca="1" si="86"/>
        <v>1</v>
      </c>
      <c r="H249" s="468">
        <f t="shared" si="77"/>
        <v>239</v>
      </c>
      <c r="I249" s="469" t="str">
        <f t="shared" ca="1" si="87"/>
        <v/>
      </c>
      <c r="J249" s="470" t="str">
        <f ca="1">IF(N(I249)&gt;0,VLOOKUP(I249,Hraci!$A$1:$I$1500,2,0),IF(TYPE(INDIRECT(ADDRESS(ROW() + $A$9-9 + (ROW()-11)*4,2,1,1,"Internet")))&gt;1,INDIRECT(ADDRESS(ROW() + $A$9-9 + (ROW()-11)*4,2,1,1,"Internet"))," "))</f>
        <v xml:space="preserve"> </v>
      </c>
      <c r="K249" s="471" t="str">
        <f ca="1">IF(N(I249)&gt;0,VLOOKUP(I249,Hraci!$A$1:$I$1500,3,0)," ")</f>
        <v xml:space="preserve"> </v>
      </c>
      <c r="L249" s="471" t="str">
        <f ca="1">IF(N(I249)&gt;0,VLOOKUP(I249,Hraci!$A$1:$I$1500,5,0),IF(TYPE(INDIRECT(ADDRESS(ROW() + $A$9-9 + (ROW()-11)*4,3,1,1,"Internet")))&gt;1,INDIRECT(ADDRESS(ROW() + $A$9-9 + (ROW()-11)*4,3,1,1,"Internet"))," "))</f>
        <v xml:space="preserve"> </v>
      </c>
      <c r="M249" s="472">
        <f ca="1">IF(N(I249)=0,9999,VLOOKUP(I249,Hraci!$A$1:$I$1500,8,0))</f>
        <v>9999</v>
      </c>
      <c r="N249" s="473">
        <f ca="1">IF(N(I249)=0,0,VLOOKUP(I249,Hraci!$A$1:$I$1500,9,0))</f>
        <v>0</v>
      </c>
      <c r="O249" s="469" t="str">
        <f t="shared" ca="1" si="88"/>
        <v/>
      </c>
      <c r="P249" s="470" t="str">
        <f ca="1">IF(N(O249)&gt;0,VLOOKUP(O249,Hraci!$A$1:$I$1500,2,0),IF(TYPE(INDIRECT(ADDRESS(ROW() + $A$9-8 + (ROW()-11)*4,2,1,1,"Internet")))&gt;1,INDIRECT(ADDRESS(ROW() + $A$9-8 + (ROW()-11)*4,2,1,1,"Internet"))," "))</f>
        <v xml:space="preserve"> </v>
      </c>
      <c r="Q249" s="471" t="str">
        <f ca="1">IF(N(O249)&gt;0,VLOOKUP(O249,Hraci!$A$1:$I$1500,3,0)," ")</f>
        <v xml:space="preserve"> </v>
      </c>
      <c r="R249" s="471" t="str">
        <f ca="1">IF(N(O249)&gt;0,VLOOKUP(O249,Hraci!$A$1:$I$1500,5,0),IF(TYPE(INDIRECT(ADDRESS(ROW() + $A$9-8 + (ROW()-11)*4,3,1,1,"Internet")))&gt;1,INDIRECT(ADDRESS(ROW() + $A$9-8 + (ROW()-11)*4,3,1,1,"Internet"))," "))</f>
        <v xml:space="preserve"> </v>
      </c>
      <c r="S249" s="472">
        <f ca="1">IF(N(O249)=0,9999,VLOOKUP(O249,Hraci!$A$1:$I$1500,8,0))</f>
        <v>9999</v>
      </c>
      <c r="T249" s="473">
        <f ca="1">IF(N(O249)=0,0,VLOOKUP(O249,Hraci!$A$1:$I$1500,9,0))</f>
        <v>0</v>
      </c>
      <c r="U249" s="469" t="str">
        <f t="shared" ca="1" si="89"/>
        <v/>
      </c>
      <c r="V249" s="470" t="str">
        <f ca="1">IF(N(U249)&gt;0,VLOOKUP(U249,Hraci!$A$1:$I$1500,2,0),IF(TYPE(INDIRECT(ADDRESS(ROW() + $A$9-7 + (ROW()-11)*4,2,1,1,"Internet")))&gt;1,INDIRECT(ADDRESS(ROW() + $A$9-7 + (ROW()-11)*4,2,1,1,"Internet"))," "))</f>
        <v xml:space="preserve"> </v>
      </c>
      <c r="W249" s="471" t="str">
        <f ca="1">IF(N(U249)&gt;0,VLOOKUP(U249,Hraci!$A$1:$I$1500,3,0)," ")</f>
        <v xml:space="preserve"> </v>
      </c>
      <c r="X249" s="471" t="str">
        <f ca="1">IF(N(U249)&gt;0,VLOOKUP(U249,Hraci!$A$1:$I$1500,5,0),IF(TYPE(INDIRECT(ADDRESS(ROW() + $A$9-7 + (ROW()-11)*4,3,1,1,"Internet")))&gt;1,INDIRECT(ADDRESS(ROW() + $A$9-7 + (ROW()-11)*4,3,1,1,"Internet"))," "))</f>
        <v xml:space="preserve"> </v>
      </c>
      <c r="Y249" s="472">
        <f ca="1">IF(N(U249)=0,9999,VLOOKUP(U249,Hraci!$A$1:$I$1500,8,0))</f>
        <v>9999</v>
      </c>
      <c r="Z249" s="473">
        <f ca="1">IF(N(U249)=0,0,VLOOKUP(U249,Hraci!$A$1:$I$1500,9,0))</f>
        <v>0</v>
      </c>
      <c r="AA249" s="469" t="str">
        <f t="shared" ca="1" si="90"/>
        <v/>
      </c>
      <c r="AB249" s="470" t="str">
        <f ca="1">IF(N(AA249)&gt;0,VLOOKUP(AA249,Hraci!$A$1:$I$1500,2,0)," ")</f>
        <v xml:space="preserve"> </v>
      </c>
      <c r="AC249" s="471" t="str">
        <f ca="1">IF(N(AA249)&gt;0,VLOOKUP(AA249,Hraci!$A$1:$I$1500,3,0)," ")</f>
        <v xml:space="preserve"> </v>
      </c>
      <c r="AD249" s="471" t="str">
        <f ca="1">IF(N(AA249)&gt;0,VLOOKUP(AA249,Hraci!$A$1:$I$1500,5,0)," ")</f>
        <v xml:space="preserve"> </v>
      </c>
      <c r="AE249" s="472">
        <f ca="1">IF(N(AA249)=0,9999,VLOOKUP(AA249,Hraci!$A$1:$I$1500,8,0))</f>
        <v>9999</v>
      </c>
      <c r="AF249" s="473">
        <f ca="1">IF(N(AA249)=0,0,VLOOKUP(AA249,Hraci!$A$1:$I$1500,9,0))</f>
        <v>0</v>
      </c>
      <c r="AG249" s="474"/>
      <c r="AH249" s="480">
        <f ca="1">IF(TYPE(VLOOKUP(H249,Nasazení!$A$3:$E$258,5,0))&lt;4,VLOOKUP(H249,Nasazení!$A$3:$E$258,5,0),0)</f>
        <v>0</v>
      </c>
      <c r="AI249" s="475" t="str">
        <f ca="1">IF(N($AH249)&gt;0,VLOOKUP($AH249,Body!$A$4:$F$259,5,0),"")</f>
        <v/>
      </c>
      <c r="AJ249" s="476" t="str">
        <f ca="1">IF(N($AH249)&gt;0,VLOOKUP($AH249,Body!$A$4:$F$259,6,0),"")</f>
        <v/>
      </c>
      <c r="AK249" s="475" t="str">
        <f ca="1">IF(N($AH249)&gt;0,VLOOKUP($AH249,Body!$A$4:$F$259,2,0),"")</f>
        <v/>
      </c>
      <c r="AL249" s="477" t="str">
        <f t="shared" ca="1" si="78"/>
        <v/>
      </c>
      <c r="AM249" s="478">
        <f t="shared" ca="1" si="79"/>
        <v>0</v>
      </c>
      <c r="AN249" s="408">
        <f ca="1">IF(OR(TYPE(I249)&gt;1,TYPE(MATCH(I249,I250:I$267,0))&gt;1),0,MATCH(I249,I250:I$267,0))+IF(OR(TYPE(I249)&gt;1,TYPE(MATCH(I249,O$11:O$267,0))&gt;1),0,MATCH(I249,O$11:O$267,0))+IF(OR(TYPE(I249)&gt;1,TYPE(MATCH(I249,U$11:U$267,0))&gt;1),0,MATCH(I249,U$11:U$267,0))+IF(OR(TYPE(I249)&gt;1,TYPE(MATCH(I249,AA$11:AA$267,0))&gt;1),0,MATCH(I249,AA$11:AA$267,0))</f>
        <v>0</v>
      </c>
      <c r="AO249" s="408">
        <f ca="1">IF(OR(TYPE(O249)&gt;1,TYPE(MATCH(O249,I$11:I$267,0))&gt;1),0,MATCH(O249,I$11:I$267,0))+IF(OR(TYPE(O249)&gt;1,TYPE(MATCH(O249,O250:O$267,0))&gt;1),0,MATCH(O249,O250:O$267,0))+IF(OR(TYPE(O249)&gt;1,TYPE(MATCH(O249,U$11:U$267,0))&gt;1),0,MATCH(O249,U$11:U$267,0))+IF(OR(TYPE(O249)&gt;1,TYPE(MATCH(O249,AA$11:AA$267,0))&gt;1),0,MATCH(O249,AA$11:AA$267,0))</f>
        <v>0</v>
      </c>
      <c r="AP249" s="408">
        <f ca="1">IF(OR(TYPE(U249)&gt;1,TYPE(MATCH(U249,I$11:I$267,0))&gt;1),0,MATCH(U249,I$11:I$267,0))+IF(OR(TYPE(U249)&gt;1,TYPE(MATCH(U249,O$11:O$267,0))&gt;1),0,MATCH(U249,O$11:O$267,0))+IF(OR(TYPE(U249)&gt;1,TYPE(MATCH(U249,U250:U$267,0))&gt;1),0,MATCH(U249,U250:U$267,0))+IF(OR(TYPE(U249)&gt;1,TYPE(MATCH(U249,AA$11:AA$267,0))&gt;1),0,MATCH(U249,AA$11:AA$267,0))</f>
        <v>0</v>
      </c>
      <c r="AQ249" s="408">
        <f ca="1">IF(OR(TYPE(AA249)&gt;1,TYPE(MATCH(AA249,I$11:I$267,0))&gt;1),0,MATCH(AA249,I$11:I$267,0))+IF(OR(TYPE(AA249)&gt;1,TYPE(MATCH(AA249,O$11:O$267,0))&gt;1),0,MATCH(AA249,O$11:O$267,0))+IF(OR(TYPE(AA249)&gt;1,TYPE(MATCH(AA249,U$11:U$267,0))&gt;1),0,MATCH(U249,U$11:U$267,0))+IF(OR(TYPE(AA249)&gt;1,TYPE(MATCH(AA249,AA250:AA$267,0))&gt;1),0,MATCH(AA249,AA250:AA$267,0))</f>
        <v>0</v>
      </c>
      <c r="AR249" s="408">
        <f t="shared" ca="1" si="91"/>
        <v>0</v>
      </c>
      <c r="BF249" s="408">
        <f t="shared" si="92"/>
        <v>239</v>
      </c>
    </row>
    <row r="250" spans="1:58" ht="14.25">
      <c r="A250" s="430">
        <f t="shared" ca="1" si="81"/>
        <v>0</v>
      </c>
      <c r="B250" s="430">
        <f t="shared" ca="1" si="82"/>
        <v>0</v>
      </c>
      <c r="C250" s="430">
        <f t="shared" ca="1" si="83"/>
        <v>0</v>
      </c>
      <c r="D250" s="430">
        <f t="shared" ca="1" si="84"/>
        <v>99999</v>
      </c>
      <c r="E250" s="430">
        <f t="shared" ca="1" si="85"/>
        <v>9999</v>
      </c>
      <c r="F250" s="431" t="str">
        <f t="shared" ca="1" si="80"/>
        <v>00000000000000000000953647</v>
      </c>
      <c r="G250" s="467" t="b">
        <f t="shared" ca="1" si="86"/>
        <v>1</v>
      </c>
      <c r="H250" s="468">
        <f t="shared" si="77"/>
        <v>240</v>
      </c>
      <c r="I250" s="469" t="str">
        <f t="shared" ca="1" si="87"/>
        <v/>
      </c>
      <c r="J250" s="470" t="str">
        <f ca="1">IF(N(I250)&gt;0,VLOOKUP(I250,Hraci!$A$1:$I$1500,2,0),IF(TYPE(INDIRECT(ADDRESS(ROW() + $A$9-9 + (ROW()-11)*4,2,1,1,"Internet")))&gt;1,INDIRECT(ADDRESS(ROW() + $A$9-9 + (ROW()-11)*4,2,1,1,"Internet"))," "))</f>
        <v xml:space="preserve"> </v>
      </c>
      <c r="K250" s="471" t="str">
        <f ca="1">IF(N(I250)&gt;0,VLOOKUP(I250,Hraci!$A$1:$I$1500,3,0)," ")</f>
        <v xml:space="preserve"> </v>
      </c>
      <c r="L250" s="471" t="str">
        <f ca="1">IF(N(I250)&gt;0,VLOOKUP(I250,Hraci!$A$1:$I$1500,5,0),IF(TYPE(INDIRECT(ADDRESS(ROW() + $A$9-9 + (ROW()-11)*4,3,1,1,"Internet")))&gt;1,INDIRECT(ADDRESS(ROW() + $A$9-9 + (ROW()-11)*4,3,1,1,"Internet"))," "))</f>
        <v xml:space="preserve"> </v>
      </c>
      <c r="M250" s="472">
        <f ca="1">IF(N(I250)=0,9999,VLOOKUP(I250,Hraci!$A$1:$I$1500,8,0))</f>
        <v>9999</v>
      </c>
      <c r="N250" s="473">
        <f ca="1">IF(N(I250)=0,0,VLOOKUP(I250,Hraci!$A$1:$I$1500,9,0))</f>
        <v>0</v>
      </c>
      <c r="O250" s="469" t="str">
        <f t="shared" ca="1" si="88"/>
        <v/>
      </c>
      <c r="P250" s="470" t="str">
        <f ca="1">IF(N(O250)&gt;0,VLOOKUP(O250,Hraci!$A$1:$I$1500,2,0),IF(TYPE(INDIRECT(ADDRESS(ROW() + $A$9-8 + (ROW()-11)*4,2,1,1,"Internet")))&gt;1,INDIRECT(ADDRESS(ROW() + $A$9-8 + (ROW()-11)*4,2,1,1,"Internet"))," "))</f>
        <v xml:space="preserve"> </v>
      </c>
      <c r="Q250" s="471" t="str">
        <f ca="1">IF(N(O250)&gt;0,VLOOKUP(O250,Hraci!$A$1:$I$1500,3,0)," ")</f>
        <v xml:space="preserve"> </v>
      </c>
      <c r="R250" s="471" t="str">
        <f ca="1">IF(N(O250)&gt;0,VLOOKUP(O250,Hraci!$A$1:$I$1500,5,0),IF(TYPE(INDIRECT(ADDRESS(ROW() + $A$9-8 + (ROW()-11)*4,3,1,1,"Internet")))&gt;1,INDIRECT(ADDRESS(ROW() + $A$9-8 + (ROW()-11)*4,3,1,1,"Internet"))," "))</f>
        <v xml:space="preserve"> </v>
      </c>
      <c r="S250" s="472">
        <f ca="1">IF(N(O250)=0,9999,VLOOKUP(O250,Hraci!$A$1:$I$1500,8,0))</f>
        <v>9999</v>
      </c>
      <c r="T250" s="473">
        <f ca="1">IF(N(O250)=0,0,VLOOKUP(O250,Hraci!$A$1:$I$1500,9,0))</f>
        <v>0</v>
      </c>
      <c r="U250" s="469" t="str">
        <f t="shared" ca="1" si="89"/>
        <v/>
      </c>
      <c r="V250" s="470" t="str">
        <f ca="1">IF(N(U250)&gt;0,VLOOKUP(U250,Hraci!$A$1:$I$1500,2,0),IF(TYPE(INDIRECT(ADDRESS(ROW() + $A$9-7 + (ROW()-11)*4,2,1,1,"Internet")))&gt;1,INDIRECT(ADDRESS(ROW() + $A$9-7 + (ROW()-11)*4,2,1,1,"Internet"))," "))</f>
        <v xml:space="preserve"> </v>
      </c>
      <c r="W250" s="471" t="str">
        <f ca="1">IF(N(U250)&gt;0,VLOOKUP(U250,Hraci!$A$1:$I$1500,3,0)," ")</f>
        <v xml:space="preserve"> </v>
      </c>
      <c r="X250" s="471" t="str">
        <f ca="1">IF(N(U250)&gt;0,VLOOKUP(U250,Hraci!$A$1:$I$1500,5,0),IF(TYPE(INDIRECT(ADDRESS(ROW() + $A$9-7 + (ROW()-11)*4,3,1,1,"Internet")))&gt;1,INDIRECT(ADDRESS(ROW() + $A$9-7 + (ROW()-11)*4,3,1,1,"Internet"))," "))</f>
        <v xml:space="preserve"> </v>
      </c>
      <c r="Y250" s="472">
        <f ca="1">IF(N(U250)=0,9999,VLOOKUP(U250,Hraci!$A$1:$I$1500,8,0))</f>
        <v>9999</v>
      </c>
      <c r="Z250" s="473">
        <f ca="1">IF(N(U250)=0,0,VLOOKUP(U250,Hraci!$A$1:$I$1500,9,0))</f>
        <v>0</v>
      </c>
      <c r="AA250" s="469" t="str">
        <f t="shared" ca="1" si="90"/>
        <v/>
      </c>
      <c r="AB250" s="470" t="str">
        <f ca="1">IF(N(AA250)&gt;0,VLOOKUP(AA250,Hraci!$A$1:$I$1500,2,0)," ")</f>
        <v xml:space="preserve"> </v>
      </c>
      <c r="AC250" s="471" t="str">
        <f ca="1">IF(N(AA250)&gt;0,VLOOKUP(AA250,Hraci!$A$1:$I$1500,3,0)," ")</f>
        <v xml:space="preserve"> </v>
      </c>
      <c r="AD250" s="471" t="str">
        <f ca="1">IF(N(AA250)&gt;0,VLOOKUP(AA250,Hraci!$A$1:$I$1500,5,0)," ")</f>
        <v xml:space="preserve"> </v>
      </c>
      <c r="AE250" s="472">
        <f ca="1">IF(N(AA250)=0,9999,VLOOKUP(AA250,Hraci!$A$1:$I$1500,8,0))</f>
        <v>9999</v>
      </c>
      <c r="AF250" s="473">
        <f ca="1">IF(N(AA250)=0,0,VLOOKUP(AA250,Hraci!$A$1:$I$1500,9,0))</f>
        <v>0</v>
      </c>
      <c r="AG250" s="474"/>
      <c r="AH250" s="480">
        <f ca="1">IF(TYPE(VLOOKUP(H250,Nasazení!$A$3:$E$258,5,0))&lt;4,VLOOKUP(H250,Nasazení!$A$3:$E$258,5,0),0)</f>
        <v>0</v>
      </c>
      <c r="AI250" s="475" t="str">
        <f ca="1">IF(N($AH250)&gt;0,VLOOKUP($AH250,Body!$A$4:$F$259,5,0),"")</f>
        <v/>
      </c>
      <c r="AJ250" s="476" t="str">
        <f ca="1">IF(N($AH250)&gt;0,VLOOKUP($AH250,Body!$A$4:$F$259,6,0),"")</f>
        <v/>
      </c>
      <c r="AK250" s="475" t="str">
        <f ca="1">IF(N($AH250)&gt;0,VLOOKUP($AH250,Body!$A$4:$F$259,2,0),"")</f>
        <v/>
      </c>
      <c r="AL250" s="477" t="str">
        <f t="shared" ca="1" si="78"/>
        <v/>
      </c>
      <c r="AM250" s="478">
        <f t="shared" ca="1" si="79"/>
        <v>0</v>
      </c>
      <c r="AN250" s="408">
        <f ca="1">IF(OR(TYPE(I250)&gt;1,TYPE(MATCH(I250,I251:I$267,0))&gt;1),0,MATCH(I250,I251:I$267,0))+IF(OR(TYPE(I250)&gt;1,TYPE(MATCH(I250,O$11:O$267,0))&gt;1),0,MATCH(I250,O$11:O$267,0))+IF(OR(TYPE(I250)&gt;1,TYPE(MATCH(I250,U$11:U$267,0))&gt;1),0,MATCH(I250,U$11:U$267,0))+IF(OR(TYPE(I250)&gt;1,TYPE(MATCH(I250,AA$11:AA$267,0))&gt;1),0,MATCH(I250,AA$11:AA$267,0))</f>
        <v>0</v>
      </c>
      <c r="AO250" s="408">
        <f ca="1">IF(OR(TYPE(O250)&gt;1,TYPE(MATCH(O250,I$11:I$267,0))&gt;1),0,MATCH(O250,I$11:I$267,0))+IF(OR(TYPE(O250)&gt;1,TYPE(MATCH(O250,O251:O$267,0))&gt;1),0,MATCH(O250,O251:O$267,0))+IF(OR(TYPE(O250)&gt;1,TYPE(MATCH(O250,U$11:U$267,0))&gt;1),0,MATCH(O250,U$11:U$267,0))+IF(OR(TYPE(O250)&gt;1,TYPE(MATCH(O250,AA$11:AA$267,0))&gt;1),0,MATCH(O250,AA$11:AA$267,0))</f>
        <v>0</v>
      </c>
      <c r="AP250" s="408">
        <f ca="1">IF(OR(TYPE(U250)&gt;1,TYPE(MATCH(U250,I$11:I$267,0))&gt;1),0,MATCH(U250,I$11:I$267,0))+IF(OR(TYPE(U250)&gt;1,TYPE(MATCH(U250,O$11:O$267,0))&gt;1),0,MATCH(U250,O$11:O$267,0))+IF(OR(TYPE(U250)&gt;1,TYPE(MATCH(U250,U251:U$267,0))&gt;1),0,MATCH(U250,U251:U$267,0))+IF(OR(TYPE(U250)&gt;1,TYPE(MATCH(U250,AA$11:AA$267,0))&gt;1),0,MATCH(U250,AA$11:AA$267,0))</f>
        <v>0</v>
      </c>
      <c r="AQ250" s="408">
        <f ca="1">IF(OR(TYPE(AA250)&gt;1,TYPE(MATCH(AA250,I$11:I$267,0))&gt;1),0,MATCH(AA250,I$11:I$267,0))+IF(OR(TYPE(AA250)&gt;1,TYPE(MATCH(AA250,O$11:O$267,0))&gt;1),0,MATCH(AA250,O$11:O$267,0))+IF(OR(TYPE(AA250)&gt;1,TYPE(MATCH(AA250,U$11:U$267,0))&gt;1),0,MATCH(U250,U$11:U$267,0))+IF(OR(TYPE(AA250)&gt;1,TYPE(MATCH(AA250,AA251:AA$267,0))&gt;1),0,MATCH(AA250,AA251:AA$267,0))</f>
        <v>0</v>
      </c>
      <c r="AR250" s="408">
        <f t="shared" ca="1" si="91"/>
        <v>0</v>
      </c>
      <c r="BF250" s="408">
        <f t="shared" si="92"/>
        <v>240</v>
      </c>
    </row>
    <row r="251" spans="1:58" ht="14.25">
      <c r="A251" s="430">
        <f t="shared" ca="1" si="81"/>
        <v>0</v>
      </c>
      <c r="B251" s="430">
        <f t="shared" ca="1" si="82"/>
        <v>0</v>
      </c>
      <c r="C251" s="430">
        <f t="shared" ca="1" si="83"/>
        <v>0</v>
      </c>
      <c r="D251" s="430">
        <f t="shared" ca="1" si="84"/>
        <v>99999</v>
      </c>
      <c r="E251" s="430">
        <f t="shared" ca="1" si="85"/>
        <v>9999</v>
      </c>
      <c r="F251" s="431" t="str">
        <f t="shared" ca="1" si="80"/>
        <v>00000000000000000000025638</v>
      </c>
      <c r="G251" s="467" t="b">
        <f t="shared" ca="1" si="86"/>
        <v>1</v>
      </c>
      <c r="H251" s="468">
        <f t="shared" si="77"/>
        <v>241</v>
      </c>
      <c r="I251" s="469" t="str">
        <f t="shared" ca="1" si="87"/>
        <v/>
      </c>
      <c r="J251" s="470" t="str">
        <f ca="1">IF(N(I251)&gt;0,VLOOKUP(I251,Hraci!$A$1:$I$1500,2,0),IF(TYPE(INDIRECT(ADDRESS(ROW() + $A$9-9 + (ROW()-11)*4,2,1,1,"Internet")))&gt;1,INDIRECT(ADDRESS(ROW() + $A$9-9 + (ROW()-11)*4,2,1,1,"Internet"))," "))</f>
        <v xml:space="preserve"> </v>
      </c>
      <c r="K251" s="471" t="str">
        <f ca="1">IF(N(I251)&gt;0,VLOOKUP(I251,Hraci!$A$1:$I$1500,3,0)," ")</f>
        <v xml:space="preserve"> </v>
      </c>
      <c r="L251" s="471" t="str">
        <f ca="1">IF(N(I251)&gt;0,VLOOKUP(I251,Hraci!$A$1:$I$1500,5,0),IF(TYPE(INDIRECT(ADDRESS(ROW() + $A$9-9 + (ROW()-11)*4,3,1,1,"Internet")))&gt;1,INDIRECT(ADDRESS(ROW() + $A$9-9 + (ROW()-11)*4,3,1,1,"Internet"))," "))</f>
        <v xml:space="preserve"> </v>
      </c>
      <c r="M251" s="472">
        <f ca="1">IF(N(I251)=0,9999,VLOOKUP(I251,Hraci!$A$1:$I$1500,8,0))</f>
        <v>9999</v>
      </c>
      <c r="N251" s="473">
        <f ca="1">IF(N(I251)=0,0,VLOOKUP(I251,Hraci!$A$1:$I$1500,9,0))</f>
        <v>0</v>
      </c>
      <c r="O251" s="469" t="str">
        <f t="shared" ca="1" si="88"/>
        <v/>
      </c>
      <c r="P251" s="470" t="str">
        <f ca="1">IF(N(O251)&gt;0,VLOOKUP(O251,Hraci!$A$1:$I$1500,2,0),IF(TYPE(INDIRECT(ADDRESS(ROW() + $A$9-8 + (ROW()-11)*4,2,1,1,"Internet")))&gt;1,INDIRECT(ADDRESS(ROW() + $A$9-8 + (ROW()-11)*4,2,1,1,"Internet"))," "))</f>
        <v xml:space="preserve"> </v>
      </c>
      <c r="Q251" s="471" t="str">
        <f ca="1">IF(N(O251)&gt;0,VLOOKUP(O251,Hraci!$A$1:$I$1500,3,0)," ")</f>
        <v xml:space="preserve"> </v>
      </c>
      <c r="R251" s="471" t="str">
        <f ca="1">IF(N(O251)&gt;0,VLOOKUP(O251,Hraci!$A$1:$I$1500,5,0),IF(TYPE(INDIRECT(ADDRESS(ROW() + $A$9-8 + (ROW()-11)*4,3,1,1,"Internet")))&gt;1,INDIRECT(ADDRESS(ROW() + $A$9-8 + (ROW()-11)*4,3,1,1,"Internet"))," "))</f>
        <v xml:space="preserve"> </v>
      </c>
      <c r="S251" s="472">
        <f ca="1">IF(N(O251)=0,9999,VLOOKUP(O251,Hraci!$A$1:$I$1500,8,0))</f>
        <v>9999</v>
      </c>
      <c r="T251" s="473">
        <f ca="1">IF(N(O251)=0,0,VLOOKUP(O251,Hraci!$A$1:$I$1500,9,0))</f>
        <v>0</v>
      </c>
      <c r="U251" s="469" t="str">
        <f t="shared" ca="1" si="89"/>
        <v/>
      </c>
      <c r="V251" s="470" t="str">
        <f ca="1">IF(N(U251)&gt;0,VLOOKUP(U251,Hraci!$A$1:$I$1500,2,0),IF(TYPE(INDIRECT(ADDRESS(ROW() + $A$9-7 + (ROW()-11)*4,2,1,1,"Internet")))&gt;1,INDIRECT(ADDRESS(ROW() + $A$9-7 + (ROW()-11)*4,2,1,1,"Internet"))," "))</f>
        <v xml:space="preserve"> </v>
      </c>
      <c r="W251" s="471" t="str">
        <f ca="1">IF(N(U251)&gt;0,VLOOKUP(U251,Hraci!$A$1:$I$1500,3,0)," ")</f>
        <v xml:space="preserve"> </v>
      </c>
      <c r="X251" s="471" t="str">
        <f ca="1">IF(N(U251)&gt;0,VLOOKUP(U251,Hraci!$A$1:$I$1500,5,0),IF(TYPE(INDIRECT(ADDRESS(ROW() + $A$9-7 + (ROW()-11)*4,3,1,1,"Internet")))&gt;1,INDIRECT(ADDRESS(ROW() + $A$9-7 + (ROW()-11)*4,3,1,1,"Internet"))," "))</f>
        <v xml:space="preserve"> </v>
      </c>
      <c r="Y251" s="472">
        <f ca="1">IF(N(U251)=0,9999,VLOOKUP(U251,Hraci!$A$1:$I$1500,8,0))</f>
        <v>9999</v>
      </c>
      <c r="Z251" s="473">
        <f ca="1">IF(N(U251)=0,0,VLOOKUP(U251,Hraci!$A$1:$I$1500,9,0))</f>
        <v>0</v>
      </c>
      <c r="AA251" s="469" t="str">
        <f t="shared" ca="1" si="90"/>
        <v/>
      </c>
      <c r="AB251" s="470" t="str">
        <f ca="1">IF(N(AA251)&gt;0,VLOOKUP(AA251,Hraci!$A$1:$I$1500,2,0)," ")</f>
        <v xml:space="preserve"> </v>
      </c>
      <c r="AC251" s="471" t="str">
        <f ca="1">IF(N(AA251)&gt;0,VLOOKUP(AA251,Hraci!$A$1:$I$1500,3,0)," ")</f>
        <v xml:space="preserve"> </v>
      </c>
      <c r="AD251" s="471" t="str">
        <f ca="1">IF(N(AA251)&gt;0,VLOOKUP(AA251,Hraci!$A$1:$I$1500,5,0)," ")</f>
        <v xml:space="preserve"> </v>
      </c>
      <c r="AE251" s="472">
        <f ca="1">IF(N(AA251)=0,9999,VLOOKUP(AA251,Hraci!$A$1:$I$1500,8,0))</f>
        <v>9999</v>
      </c>
      <c r="AF251" s="473">
        <f ca="1">IF(N(AA251)=0,0,VLOOKUP(AA251,Hraci!$A$1:$I$1500,9,0))</f>
        <v>0</v>
      </c>
      <c r="AG251" s="474"/>
      <c r="AH251" s="480">
        <f ca="1">IF(TYPE(VLOOKUP(H251,Nasazení!$A$3:$E$258,5,0))&lt;4,VLOOKUP(H251,Nasazení!$A$3:$E$258,5,0),0)</f>
        <v>0</v>
      </c>
      <c r="AI251" s="475" t="str">
        <f ca="1">IF(N($AH251)&gt;0,VLOOKUP($AH251,Body!$A$4:$F$259,5,0),"")</f>
        <v/>
      </c>
      <c r="AJ251" s="476" t="str">
        <f ca="1">IF(N($AH251)&gt;0,VLOOKUP($AH251,Body!$A$4:$F$259,6,0),"")</f>
        <v/>
      </c>
      <c r="AK251" s="475" t="str">
        <f ca="1">IF(N($AH251)&gt;0,VLOOKUP($AH251,Body!$A$4:$F$259,2,0),"")</f>
        <v/>
      </c>
      <c r="AL251" s="477" t="str">
        <f t="shared" ca="1" si="78"/>
        <v/>
      </c>
      <c r="AM251" s="478">
        <f t="shared" ca="1" si="79"/>
        <v>0</v>
      </c>
      <c r="AN251" s="408">
        <f ca="1">IF(OR(TYPE(I251)&gt;1,TYPE(MATCH(I251,I252:I$267,0))&gt;1),0,MATCH(I251,I252:I$267,0))+IF(OR(TYPE(I251)&gt;1,TYPE(MATCH(I251,O$11:O$267,0))&gt;1),0,MATCH(I251,O$11:O$267,0))+IF(OR(TYPE(I251)&gt;1,TYPE(MATCH(I251,U$11:U$267,0))&gt;1),0,MATCH(I251,U$11:U$267,0))+IF(OR(TYPE(I251)&gt;1,TYPE(MATCH(I251,AA$11:AA$267,0))&gt;1),0,MATCH(I251,AA$11:AA$267,0))</f>
        <v>0</v>
      </c>
      <c r="AO251" s="408">
        <f ca="1">IF(OR(TYPE(O251)&gt;1,TYPE(MATCH(O251,I$11:I$267,0))&gt;1),0,MATCH(O251,I$11:I$267,0))+IF(OR(TYPE(O251)&gt;1,TYPE(MATCH(O251,O252:O$267,0))&gt;1),0,MATCH(O251,O252:O$267,0))+IF(OR(TYPE(O251)&gt;1,TYPE(MATCH(O251,U$11:U$267,0))&gt;1),0,MATCH(O251,U$11:U$267,0))+IF(OR(TYPE(O251)&gt;1,TYPE(MATCH(O251,AA$11:AA$267,0))&gt;1),0,MATCH(O251,AA$11:AA$267,0))</f>
        <v>0</v>
      </c>
      <c r="AP251" s="408">
        <f ca="1">IF(OR(TYPE(U251)&gt;1,TYPE(MATCH(U251,I$11:I$267,0))&gt;1),0,MATCH(U251,I$11:I$267,0))+IF(OR(TYPE(U251)&gt;1,TYPE(MATCH(U251,O$11:O$267,0))&gt;1),0,MATCH(U251,O$11:O$267,0))+IF(OR(TYPE(U251)&gt;1,TYPE(MATCH(U251,U252:U$267,0))&gt;1),0,MATCH(U251,U252:U$267,0))+IF(OR(TYPE(U251)&gt;1,TYPE(MATCH(U251,AA$11:AA$267,0))&gt;1),0,MATCH(U251,AA$11:AA$267,0))</f>
        <v>0</v>
      </c>
      <c r="AQ251" s="408">
        <f ca="1">IF(OR(TYPE(AA251)&gt;1,TYPE(MATCH(AA251,I$11:I$267,0))&gt;1),0,MATCH(AA251,I$11:I$267,0))+IF(OR(TYPE(AA251)&gt;1,TYPE(MATCH(AA251,O$11:O$267,0))&gt;1),0,MATCH(AA251,O$11:O$267,0))+IF(OR(TYPE(AA251)&gt;1,TYPE(MATCH(AA251,U$11:U$267,0))&gt;1),0,MATCH(U251,U$11:U$267,0))+IF(OR(TYPE(AA251)&gt;1,TYPE(MATCH(AA251,AA252:AA$267,0))&gt;1),0,MATCH(AA251,AA252:AA$267,0))</f>
        <v>0</v>
      </c>
      <c r="AR251" s="408">
        <f t="shared" ca="1" si="91"/>
        <v>0</v>
      </c>
      <c r="BF251" s="408">
        <f t="shared" si="92"/>
        <v>241</v>
      </c>
    </row>
    <row r="252" spans="1:58" ht="14.25">
      <c r="A252" s="430">
        <f t="shared" ca="1" si="81"/>
        <v>0</v>
      </c>
      <c r="B252" s="430">
        <f t="shared" ca="1" si="82"/>
        <v>0</v>
      </c>
      <c r="C252" s="430">
        <f t="shared" ca="1" si="83"/>
        <v>0</v>
      </c>
      <c r="D252" s="430">
        <f t="shared" ca="1" si="84"/>
        <v>99999</v>
      </c>
      <c r="E252" s="430">
        <f t="shared" ca="1" si="85"/>
        <v>9999</v>
      </c>
      <c r="F252" s="431" t="str">
        <f t="shared" ca="1" si="80"/>
        <v>00000000000000000000986905</v>
      </c>
      <c r="G252" s="467" t="b">
        <f t="shared" ca="1" si="86"/>
        <v>1</v>
      </c>
      <c r="H252" s="468">
        <f t="shared" si="77"/>
        <v>242</v>
      </c>
      <c r="I252" s="469" t="str">
        <f t="shared" ca="1" si="87"/>
        <v/>
      </c>
      <c r="J252" s="470" t="str">
        <f ca="1">IF(N(I252)&gt;0,VLOOKUP(I252,Hraci!$A$1:$I$1500,2,0),IF(TYPE(INDIRECT(ADDRESS(ROW() + $A$9-9 + (ROW()-11)*4,2,1,1,"Internet")))&gt;1,INDIRECT(ADDRESS(ROW() + $A$9-9 + (ROW()-11)*4,2,1,1,"Internet"))," "))</f>
        <v xml:space="preserve"> </v>
      </c>
      <c r="K252" s="471" t="str">
        <f ca="1">IF(N(I252)&gt;0,VLOOKUP(I252,Hraci!$A$1:$I$1500,3,0)," ")</f>
        <v xml:space="preserve"> </v>
      </c>
      <c r="L252" s="471" t="str">
        <f ca="1">IF(N(I252)&gt;0,VLOOKUP(I252,Hraci!$A$1:$I$1500,5,0),IF(TYPE(INDIRECT(ADDRESS(ROW() + $A$9-9 + (ROW()-11)*4,3,1,1,"Internet")))&gt;1,INDIRECT(ADDRESS(ROW() + $A$9-9 + (ROW()-11)*4,3,1,1,"Internet"))," "))</f>
        <v xml:space="preserve"> </v>
      </c>
      <c r="M252" s="472">
        <f ca="1">IF(N(I252)=0,9999,VLOOKUP(I252,Hraci!$A$1:$I$1500,8,0))</f>
        <v>9999</v>
      </c>
      <c r="N252" s="473">
        <f ca="1">IF(N(I252)=0,0,VLOOKUP(I252,Hraci!$A$1:$I$1500,9,0))</f>
        <v>0</v>
      </c>
      <c r="O252" s="469" t="str">
        <f t="shared" ca="1" si="88"/>
        <v/>
      </c>
      <c r="P252" s="470" t="str">
        <f ca="1">IF(N(O252)&gt;0,VLOOKUP(O252,Hraci!$A$1:$I$1500,2,0),IF(TYPE(INDIRECT(ADDRESS(ROW() + $A$9-8 + (ROW()-11)*4,2,1,1,"Internet")))&gt;1,INDIRECT(ADDRESS(ROW() + $A$9-8 + (ROW()-11)*4,2,1,1,"Internet"))," "))</f>
        <v xml:space="preserve"> </v>
      </c>
      <c r="Q252" s="471" t="str">
        <f ca="1">IF(N(O252)&gt;0,VLOOKUP(O252,Hraci!$A$1:$I$1500,3,0)," ")</f>
        <v xml:space="preserve"> </v>
      </c>
      <c r="R252" s="471" t="str">
        <f ca="1">IF(N(O252)&gt;0,VLOOKUP(O252,Hraci!$A$1:$I$1500,5,0),IF(TYPE(INDIRECT(ADDRESS(ROW() + $A$9-8 + (ROW()-11)*4,3,1,1,"Internet")))&gt;1,INDIRECT(ADDRESS(ROW() + $A$9-8 + (ROW()-11)*4,3,1,1,"Internet"))," "))</f>
        <v xml:space="preserve"> </v>
      </c>
      <c r="S252" s="472">
        <f ca="1">IF(N(O252)=0,9999,VLOOKUP(O252,Hraci!$A$1:$I$1500,8,0))</f>
        <v>9999</v>
      </c>
      <c r="T252" s="473">
        <f ca="1">IF(N(O252)=0,0,VLOOKUP(O252,Hraci!$A$1:$I$1500,9,0))</f>
        <v>0</v>
      </c>
      <c r="U252" s="469" t="str">
        <f t="shared" ca="1" si="89"/>
        <v/>
      </c>
      <c r="V252" s="470" t="str">
        <f ca="1">IF(N(U252)&gt;0,VLOOKUP(U252,Hraci!$A$1:$I$1500,2,0),IF(TYPE(INDIRECT(ADDRESS(ROW() + $A$9-7 + (ROW()-11)*4,2,1,1,"Internet")))&gt;1,INDIRECT(ADDRESS(ROW() + $A$9-7 + (ROW()-11)*4,2,1,1,"Internet"))," "))</f>
        <v xml:space="preserve"> </v>
      </c>
      <c r="W252" s="471" t="str">
        <f ca="1">IF(N(U252)&gt;0,VLOOKUP(U252,Hraci!$A$1:$I$1500,3,0)," ")</f>
        <v xml:space="preserve"> </v>
      </c>
      <c r="X252" s="471" t="str">
        <f ca="1">IF(N(U252)&gt;0,VLOOKUP(U252,Hraci!$A$1:$I$1500,5,0),IF(TYPE(INDIRECT(ADDRESS(ROW() + $A$9-7 + (ROW()-11)*4,3,1,1,"Internet")))&gt;1,INDIRECT(ADDRESS(ROW() + $A$9-7 + (ROW()-11)*4,3,1,1,"Internet"))," "))</f>
        <v xml:space="preserve"> </v>
      </c>
      <c r="Y252" s="472">
        <f ca="1">IF(N(U252)=0,9999,VLOOKUP(U252,Hraci!$A$1:$I$1500,8,0))</f>
        <v>9999</v>
      </c>
      <c r="Z252" s="473">
        <f ca="1">IF(N(U252)=0,0,VLOOKUP(U252,Hraci!$A$1:$I$1500,9,0))</f>
        <v>0</v>
      </c>
      <c r="AA252" s="469" t="str">
        <f t="shared" ca="1" si="90"/>
        <v/>
      </c>
      <c r="AB252" s="470" t="str">
        <f ca="1">IF(N(AA252)&gt;0,VLOOKUP(AA252,Hraci!$A$1:$I$1500,2,0)," ")</f>
        <v xml:space="preserve"> </v>
      </c>
      <c r="AC252" s="471" t="str">
        <f ca="1">IF(N(AA252)&gt;0,VLOOKUP(AA252,Hraci!$A$1:$I$1500,3,0)," ")</f>
        <v xml:space="preserve"> </v>
      </c>
      <c r="AD252" s="471" t="str">
        <f ca="1">IF(N(AA252)&gt;0,VLOOKUP(AA252,Hraci!$A$1:$I$1500,5,0)," ")</f>
        <v xml:space="preserve"> </v>
      </c>
      <c r="AE252" s="472">
        <f ca="1">IF(N(AA252)=0,9999,VLOOKUP(AA252,Hraci!$A$1:$I$1500,8,0))</f>
        <v>9999</v>
      </c>
      <c r="AF252" s="473">
        <f ca="1">IF(N(AA252)=0,0,VLOOKUP(AA252,Hraci!$A$1:$I$1500,9,0))</f>
        <v>0</v>
      </c>
      <c r="AG252" s="474"/>
      <c r="AH252" s="480">
        <f ca="1">IF(TYPE(VLOOKUP(H252,Nasazení!$A$3:$E$258,5,0))&lt;4,VLOOKUP(H252,Nasazení!$A$3:$E$258,5,0),0)</f>
        <v>0</v>
      </c>
      <c r="AI252" s="475" t="str">
        <f ca="1">IF(N($AH252)&gt;0,VLOOKUP($AH252,Body!$A$4:$F$259,5,0),"")</f>
        <v/>
      </c>
      <c r="AJ252" s="476" t="str">
        <f ca="1">IF(N($AH252)&gt;0,VLOOKUP($AH252,Body!$A$4:$F$259,6,0),"")</f>
        <v/>
      </c>
      <c r="AK252" s="475" t="str">
        <f ca="1">IF(N($AH252)&gt;0,VLOOKUP($AH252,Body!$A$4:$F$259,2,0),"")</f>
        <v/>
      </c>
      <c r="AL252" s="477" t="str">
        <f t="shared" ca="1" si="78"/>
        <v/>
      </c>
      <c r="AM252" s="478">
        <f t="shared" ca="1" si="79"/>
        <v>0</v>
      </c>
      <c r="AN252" s="408">
        <f ca="1">IF(OR(TYPE(I252)&gt;1,TYPE(MATCH(I252,I253:I$267,0))&gt;1),0,MATCH(I252,I253:I$267,0))+IF(OR(TYPE(I252)&gt;1,TYPE(MATCH(I252,O$11:O$267,0))&gt;1),0,MATCH(I252,O$11:O$267,0))+IF(OR(TYPE(I252)&gt;1,TYPE(MATCH(I252,U$11:U$267,0))&gt;1),0,MATCH(I252,U$11:U$267,0))+IF(OR(TYPE(I252)&gt;1,TYPE(MATCH(I252,AA$11:AA$267,0))&gt;1),0,MATCH(I252,AA$11:AA$267,0))</f>
        <v>0</v>
      </c>
      <c r="AO252" s="408">
        <f ca="1">IF(OR(TYPE(O252)&gt;1,TYPE(MATCH(O252,I$11:I$267,0))&gt;1),0,MATCH(O252,I$11:I$267,0))+IF(OR(TYPE(O252)&gt;1,TYPE(MATCH(O252,O253:O$267,0))&gt;1),0,MATCH(O252,O253:O$267,0))+IF(OR(TYPE(O252)&gt;1,TYPE(MATCH(O252,U$11:U$267,0))&gt;1),0,MATCH(O252,U$11:U$267,0))+IF(OR(TYPE(O252)&gt;1,TYPE(MATCH(O252,AA$11:AA$267,0))&gt;1),0,MATCH(O252,AA$11:AA$267,0))</f>
        <v>0</v>
      </c>
      <c r="AP252" s="408">
        <f ca="1">IF(OR(TYPE(U252)&gt;1,TYPE(MATCH(U252,I$11:I$267,0))&gt;1),0,MATCH(U252,I$11:I$267,0))+IF(OR(TYPE(U252)&gt;1,TYPE(MATCH(U252,O$11:O$267,0))&gt;1),0,MATCH(U252,O$11:O$267,0))+IF(OR(TYPE(U252)&gt;1,TYPE(MATCH(U252,U253:U$267,0))&gt;1),0,MATCH(U252,U253:U$267,0))+IF(OR(TYPE(U252)&gt;1,TYPE(MATCH(U252,AA$11:AA$267,0))&gt;1),0,MATCH(U252,AA$11:AA$267,0))</f>
        <v>0</v>
      </c>
      <c r="AQ252" s="408">
        <f ca="1">IF(OR(TYPE(AA252)&gt;1,TYPE(MATCH(AA252,I$11:I$267,0))&gt;1),0,MATCH(AA252,I$11:I$267,0))+IF(OR(TYPE(AA252)&gt;1,TYPE(MATCH(AA252,O$11:O$267,0))&gt;1),0,MATCH(AA252,O$11:O$267,0))+IF(OR(TYPE(AA252)&gt;1,TYPE(MATCH(AA252,U$11:U$267,0))&gt;1),0,MATCH(U252,U$11:U$267,0))+IF(OR(TYPE(AA252)&gt;1,TYPE(MATCH(AA252,AA253:AA$267,0))&gt;1),0,MATCH(AA252,AA253:AA$267,0))</f>
        <v>0</v>
      </c>
      <c r="AR252" s="408">
        <f t="shared" ca="1" si="91"/>
        <v>0</v>
      </c>
      <c r="BF252" s="408">
        <f t="shared" si="92"/>
        <v>242</v>
      </c>
    </row>
    <row r="253" spans="1:58" ht="14.25">
      <c r="A253" s="430">
        <f t="shared" ca="1" si="81"/>
        <v>0</v>
      </c>
      <c r="B253" s="430">
        <f t="shared" ca="1" si="82"/>
        <v>0</v>
      </c>
      <c r="C253" s="430">
        <f t="shared" ca="1" si="83"/>
        <v>0</v>
      </c>
      <c r="D253" s="430">
        <f t="shared" ca="1" si="84"/>
        <v>99999</v>
      </c>
      <c r="E253" s="430">
        <f t="shared" ca="1" si="85"/>
        <v>9999</v>
      </c>
      <c r="F253" s="431" t="str">
        <f t="shared" ca="1" si="80"/>
        <v>00000000000000000000232959</v>
      </c>
      <c r="G253" s="467" t="b">
        <f t="shared" ca="1" si="86"/>
        <v>1</v>
      </c>
      <c r="H253" s="468">
        <f t="shared" si="77"/>
        <v>243</v>
      </c>
      <c r="I253" s="469" t="str">
        <f t="shared" ca="1" si="87"/>
        <v/>
      </c>
      <c r="J253" s="470" t="str">
        <f ca="1">IF(N(I253)&gt;0,VLOOKUP(I253,Hraci!$A$1:$I$1500,2,0),IF(TYPE(INDIRECT(ADDRESS(ROW() + $A$9-9 + (ROW()-11)*4,2,1,1,"Internet")))&gt;1,INDIRECT(ADDRESS(ROW() + $A$9-9 + (ROW()-11)*4,2,1,1,"Internet"))," "))</f>
        <v xml:space="preserve"> </v>
      </c>
      <c r="K253" s="471" t="str">
        <f ca="1">IF(N(I253)&gt;0,VLOOKUP(I253,Hraci!$A$1:$I$1500,3,0)," ")</f>
        <v xml:space="preserve"> </v>
      </c>
      <c r="L253" s="471" t="str">
        <f ca="1">IF(N(I253)&gt;0,VLOOKUP(I253,Hraci!$A$1:$I$1500,5,0),IF(TYPE(INDIRECT(ADDRESS(ROW() + $A$9-9 + (ROW()-11)*4,3,1,1,"Internet")))&gt;1,INDIRECT(ADDRESS(ROW() + $A$9-9 + (ROW()-11)*4,3,1,1,"Internet"))," "))</f>
        <v xml:space="preserve"> </v>
      </c>
      <c r="M253" s="472">
        <f ca="1">IF(N(I253)=0,9999,VLOOKUP(I253,Hraci!$A$1:$I$1500,8,0))</f>
        <v>9999</v>
      </c>
      <c r="N253" s="473">
        <f ca="1">IF(N(I253)=0,0,VLOOKUP(I253,Hraci!$A$1:$I$1500,9,0))</f>
        <v>0</v>
      </c>
      <c r="O253" s="469" t="str">
        <f t="shared" ca="1" si="88"/>
        <v/>
      </c>
      <c r="P253" s="470" t="str">
        <f ca="1">IF(N(O253)&gt;0,VLOOKUP(O253,Hraci!$A$1:$I$1500,2,0),IF(TYPE(INDIRECT(ADDRESS(ROW() + $A$9-8 + (ROW()-11)*4,2,1,1,"Internet")))&gt;1,INDIRECT(ADDRESS(ROW() + $A$9-8 + (ROW()-11)*4,2,1,1,"Internet"))," "))</f>
        <v xml:space="preserve"> </v>
      </c>
      <c r="Q253" s="471" t="str">
        <f ca="1">IF(N(O253)&gt;0,VLOOKUP(O253,Hraci!$A$1:$I$1500,3,0)," ")</f>
        <v xml:space="preserve"> </v>
      </c>
      <c r="R253" s="471" t="str">
        <f ca="1">IF(N(O253)&gt;0,VLOOKUP(O253,Hraci!$A$1:$I$1500,5,0),IF(TYPE(INDIRECT(ADDRESS(ROW() + $A$9-8 + (ROW()-11)*4,3,1,1,"Internet")))&gt;1,INDIRECT(ADDRESS(ROW() + $A$9-8 + (ROW()-11)*4,3,1,1,"Internet"))," "))</f>
        <v xml:space="preserve"> </v>
      </c>
      <c r="S253" s="472">
        <f ca="1">IF(N(O253)=0,9999,VLOOKUP(O253,Hraci!$A$1:$I$1500,8,0))</f>
        <v>9999</v>
      </c>
      <c r="T253" s="473">
        <f ca="1">IF(N(O253)=0,0,VLOOKUP(O253,Hraci!$A$1:$I$1500,9,0))</f>
        <v>0</v>
      </c>
      <c r="U253" s="469" t="str">
        <f t="shared" ca="1" si="89"/>
        <v/>
      </c>
      <c r="V253" s="470" t="str">
        <f ca="1">IF(N(U253)&gt;0,VLOOKUP(U253,Hraci!$A$1:$I$1500,2,0),IF(TYPE(INDIRECT(ADDRESS(ROW() + $A$9-7 + (ROW()-11)*4,2,1,1,"Internet")))&gt;1,INDIRECT(ADDRESS(ROW() + $A$9-7 + (ROW()-11)*4,2,1,1,"Internet"))," "))</f>
        <v xml:space="preserve"> </v>
      </c>
      <c r="W253" s="471" t="str">
        <f ca="1">IF(N(U253)&gt;0,VLOOKUP(U253,Hraci!$A$1:$I$1500,3,0)," ")</f>
        <v xml:space="preserve"> </v>
      </c>
      <c r="X253" s="471" t="str">
        <f ca="1">IF(N(U253)&gt;0,VLOOKUP(U253,Hraci!$A$1:$I$1500,5,0),IF(TYPE(INDIRECT(ADDRESS(ROW() + $A$9-7 + (ROW()-11)*4,3,1,1,"Internet")))&gt;1,INDIRECT(ADDRESS(ROW() + $A$9-7 + (ROW()-11)*4,3,1,1,"Internet"))," "))</f>
        <v xml:space="preserve"> </v>
      </c>
      <c r="Y253" s="472">
        <f ca="1">IF(N(U253)=0,9999,VLOOKUP(U253,Hraci!$A$1:$I$1500,8,0))</f>
        <v>9999</v>
      </c>
      <c r="Z253" s="473">
        <f ca="1">IF(N(U253)=0,0,VLOOKUP(U253,Hraci!$A$1:$I$1500,9,0))</f>
        <v>0</v>
      </c>
      <c r="AA253" s="469" t="str">
        <f t="shared" ca="1" si="90"/>
        <v/>
      </c>
      <c r="AB253" s="470" t="str">
        <f ca="1">IF(N(AA253)&gt;0,VLOOKUP(AA253,Hraci!$A$1:$I$1500,2,0)," ")</f>
        <v xml:space="preserve"> </v>
      </c>
      <c r="AC253" s="471" t="str">
        <f ca="1">IF(N(AA253)&gt;0,VLOOKUP(AA253,Hraci!$A$1:$I$1500,3,0)," ")</f>
        <v xml:space="preserve"> </v>
      </c>
      <c r="AD253" s="471" t="str">
        <f ca="1">IF(N(AA253)&gt;0,VLOOKUP(AA253,Hraci!$A$1:$I$1500,5,0)," ")</f>
        <v xml:space="preserve"> </v>
      </c>
      <c r="AE253" s="472">
        <f ca="1">IF(N(AA253)=0,9999,VLOOKUP(AA253,Hraci!$A$1:$I$1500,8,0))</f>
        <v>9999</v>
      </c>
      <c r="AF253" s="473">
        <f ca="1">IF(N(AA253)=0,0,VLOOKUP(AA253,Hraci!$A$1:$I$1500,9,0))</f>
        <v>0</v>
      </c>
      <c r="AG253" s="474"/>
      <c r="AH253" s="480">
        <f ca="1">IF(TYPE(VLOOKUP(H253,Nasazení!$A$3:$E$258,5,0))&lt;4,VLOOKUP(H253,Nasazení!$A$3:$E$258,5,0),0)</f>
        <v>0</v>
      </c>
      <c r="AI253" s="475" t="str">
        <f ca="1">IF(N($AH253)&gt;0,VLOOKUP($AH253,Body!$A$4:$F$259,5,0),"")</f>
        <v/>
      </c>
      <c r="AJ253" s="476" t="str">
        <f ca="1">IF(N($AH253)&gt;0,VLOOKUP($AH253,Body!$A$4:$F$259,6,0),"")</f>
        <v/>
      </c>
      <c r="AK253" s="475" t="str">
        <f ca="1">IF(N($AH253)&gt;0,VLOOKUP($AH253,Body!$A$4:$F$259,2,0),"")</f>
        <v/>
      </c>
      <c r="AL253" s="477" t="str">
        <f t="shared" ca="1" si="78"/>
        <v/>
      </c>
      <c r="AM253" s="478">
        <f t="shared" ca="1" si="79"/>
        <v>0</v>
      </c>
      <c r="AN253" s="408">
        <f ca="1">IF(OR(TYPE(I253)&gt;1,TYPE(MATCH(I253,I254:I$267,0))&gt;1),0,MATCH(I253,I254:I$267,0))+IF(OR(TYPE(I253)&gt;1,TYPE(MATCH(I253,O$11:O$267,0))&gt;1),0,MATCH(I253,O$11:O$267,0))+IF(OR(TYPE(I253)&gt;1,TYPE(MATCH(I253,U$11:U$267,0))&gt;1),0,MATCH(I253,U$11:U$267,0))+IF(OR(TYPE(I253)&gt;1,TYPE(MATCH(I253,AA$11:AA$267,0))&gt;1),0,MATCH(I253,AA$11:AA$267,0))</f>
        <v>0</v>
      </c>
      <c r="AO253" s="408">
        <f ca="1">IF(OR(TYPE(O253)&gt;1,TYPE(MATCH(O253,I$11:I$267,0))&gt;1),0,MATCH(O253,I$11:I$267,0))+IF(OR(TYPE(O253)&gt;1,TYPE(MATCH(O253,O254:O$267,0))&gt;1),0,MATCH(O253,O254:O$267,0))+IF(OR(TYPE(O253)&gt;1,TYPE(MATCH(O253,U$11:U$267,0))&gt;1),0,MATCH(O253,U$11:U$267,0))+IF(OR(TYPE(O253)&gt;1,TYPE(MATCH(O253,AA$11:AA$267,0))&gt;1),0,MATCH(O253,AA$11:AA$267,0))</f>
        <v>0</v>
      </c>
      <c r="AP253" s="408">
        <f ca="1">IF(OR(TYPE(U253)&gt;1,TYPE(MATCH(U253,I$11:I$267,0))&gt;1),0,MATCH(U253,I$11:I$267,0))+IF(OR(TYPE(U253)&gt;1,TYPE(MATCH(U253,O$11:O$267,0))&gt;1),0,MATCH(U253,O$11:O$267,0))+IF(OR(TYPE(U253)&gt;1,TYPE(MATCH(U253,U254:U$267,0))&gt;1),0,MATCH(U253,U254:U$267,0))+IF(OR(TYPE(U253)&gt;1,TYPE(MATCH(U253,AA$11:AA$267,0))&gt;1),0,MATCH(U253,AA$11:AA$267,0))</f>
        <v>0</v>
      </c>
      <c r="AQ253" s="408">
        <f ca="1">IF(OR(TYPE(AA253)&gt;1,TYPE(MATCH(AA253,I$11:I$267,0))&gt;1),0,MATCH(AA253,I$11:I$267,0))+IF(OR(TYPE(AA253)&gt;1,TYPE(MATCH(AA253,O$11:O$267,0))&gt;1),0,MATCH(AA253,O$11:O$267,0))+IF(OR(TYPE(AA253)&gt;1,TYPE(MATCH(AA253,U$11:U$267,0))&gt;1),0,MATCH(U253,U$11:U$267,0))+IF(OR(TYPE(AA253)&gt;1,TYPE(MATCH(AA253,AA254:AA$267,0))&gt;1),0,MATCH(AA253,AA254:AA$267,0))</f>
        <v>0</v>
      </c>
      <c r="AR253" s="408">
        <f t="shared" ca="1" si="91"/>
        <v>0</v>
      </c>
      <c r="BF253" s="408">
        <f t="shared" si="92"/>
        <v>243</v>
      </c>
    </row>
    <row r="254" spans="1:58" ht="14.25">
      <c r="A254" s="430">
        <f t="shared" ca="1" si="81"/>
        <v>0</v>
      </c>
      <c r="B254" s="430">
        <f t="shared" ca="1" si="82"/>
        <v>0</v>
      </c>
      <c r="C254" s="430">
        <f t="shared" ca="1" si="83"/>
        <v>0</v>
      </c>
      <c r="D254" s="430">
        <f t="shared" ca="1" si="84"/>
        <v>99999</v>
      </c>
      <c r="E254" s="430">
        <f t="shared" ca="1" si="85"/>
        <v>9999</v>
      </c>
      <c r="F254" s="431" t="str">
        <f t="shared" ca="1" si="80"/>
        <v>00000000000000000000664901</v>
      </c>
      <c r="G254" s="467" t="b">
        <f t="shared" ca="1" si="86"/>
        <v>1</v>
      </c>
      <c r="H254" s="468">
        <f t="shared" si="77"/>
        <v>244</v>
      </c>
      <c r="I254" s="469" t="str">
        <f t="shared" ca="1" si="87"/>
        <v/>
      </c>
      <c r="J254" s="470" t="str">
        <f ca="1">IF(N(I254)&gt;0,VLOOKUP(I254,Hraci!$A$1:$I$1500,2,0),IF(TYPE(INDIRECT(ADDRESS(ROW() + $A$9-9 + (ROW()-11)*4,2,1,1,"Internet")))&gt;1,INDIRECT(ADDRESS(ROW() + $A$9-9 + (ROW()-11)*4,2,1,1,"Internet"))," "))</f>
        <v xml:space="preserve"> </v>
      </c>
      <c r="K254" s="471" t="str">
        <f ca="1">IF(N(I254)&gt;0,VLOOKUP(I254,Hraci!$A$1:$I$1500,3,0)," ")</f>
        <v xml:space="preserve"> </v>
      </c>
      <c r="L254" s="471" t="str">
        <f ca="1">IF(N(I254)&gt;0,VLOOKUP(I254,Hraci!$A$1:$I$1500,5,0),IF(TYPE(INDIRECT(ADDRESS(ROW() + $A$9-9 + (ROW()-11)*4,3,1,1,"Internet")))&gt;1,INDIRECT(ADDRESS(ROW() + $A$9-9 + (ROW()-11)*4,3,1,1,"Internet"))," "))</f>
        <v xml:space="preserve"> </v>
      </c>
      <c r="M254" s="472">
        <f ca="1">IF(N(I254)=0,9999,VLOOKUP(I254,Hraci!$A$1:$I$1500,8,0))</f>
        <v>9999</v>
      </c>
      <c r="N254" s="473">
        <f ca="1">IF(N(I254)=0,0,VLOOKUP(I254,Hraci!$A$1:$I$1500,9,0))</f>
        <v>0</v>
      </c>
      <c r="O254" s="469" t="str">
        <f t="shared" ca="1" si="88"/>
        <v/>
      </c>
      <c r="P254" s="470" t="str">
        <f ca="1">IF(N(O254)&gt;0,VLOOKUP(O254,Hraci!$A$1:$I$1500,2,0),IF(TYPE(INDIRECT(ADDRESS(ROW() + $A$9-8 + (ROW()-11)*4,2,1,1,"Internet")))&gt;1,INDIRECT(ADDRESS(ROW() + $A$9-8 + (ROW()-11)*4,2,1,1,"Internet"))," "))</f>
        <v xml:space="preserve"> </v>
      </c>
      <c r="Q254" s="471" t="str">
        <f ca="1">IF(N(O254)&gt;0,VLOOKUP(O254,Hraci!$A$1:$I$1500,3,0)," ")</f>
        <v xml:space="preserve"> </v>
      </c>
      <c r="R254" s="471" t="str">
        <f ca="1">IF(N(O254)&gt;0,VLOOKUP(O254,Hraci!$A$1:$I$1500,5,0),IF(TYPE(INDIRECT(ADDRESS(ROW() + $A$9-8 + (ROW()-11)*4,3,1,1,"Internet")))&gt;1,INDIRECT(ADDRESS(ROW() + $A$9-8 + (ROW()-11)*4,3,1,1,"Internet"))," "))</f>
        <v xml:space="preserve"> </v>
      </c>
      <c r="S254" s="472">
        <f ca="1">IF(N(O254)=0,9999,VLOOKUP(O254,Hraci!$A$1:$I$1500,8,0))</f>
        <v>9999</v>
      </c>
      <c r="T254" s="473">
        <f ca="1">IF(N(O254)=0,0,VLOOKUP(O254,Hraci!$A$1:$I$1500,9,0))</f>
        <v>0</v>
      </c>
      <c r="U254" s="469" t="str">
        <f t="shared" ca="1" si="89"/>
        <v/>
      </c>
      <c r="V254" s="470" t="str">
        <f ca="1">IF(N(U254)&gt;0,VLOOKUP(U254,Hraci!$A$1:$I$1500,2,0),IF(TYPE(INDIRECT(ADDRESS(ROW() + $A$9-7 + (ROW()-11)*4,2,1,1,"Internet")))&gt;1,INDIRECT(ADDRESS(ROW() + $A$9-7 + (ROW()-11)*4,2,1,1,"Internet"))," "))</f>
        <v xml:space="preserve"> </v>
      </c>
      <c r="W254" s="471" t="str">
        <f ca="1">IF(N(U254)&gt;0,VLOOKUP(U254,Hraci!$A$1:$I$1500,3,0)," ")</f>
        <v xml:space="preserve"> </v>
      </c>
      <c r="X254" s="471" t="str">
        <f ca="1">IF(N(U254)&gt;0,VLOOKUP(U254,Hraci!$A$1:$I$1500,5,0),IF(TYPE(INDIRECT(ADDRESS(ROW() + $A$9-7 + (ROW()-11)*4,3,1,1,"Internet")))&gt;1,INDIRECT(ADDRESS(ROW() + $A$9-7 + (ROW()-11)*4,3,1,1,"Internet"))," "))</f>
        <v xml:space="preserve"> </v>
      </c>
      <c r="Y254" s="472">
        <f ca="1">IF(N(U254)=0,9999,VLOOKUP(U254,Hraci!$A$1:$I$1500,8,0))</f>
        <v>9999</v>
      </c>
      <c r="Z254" s="473">
        <f ca="1">IF(N(U254)=0,0,VLOOKUP(U254,Hraci!$A$1:$I$1500,9,0))</f>
        <v>0</v>
      </c>
      <c r="AA254" s="469" t="str">
        <f t="shared" ca="1" si="90"/>
        <v/>
      </c>
      <c r="AB254" s="470" t="str">
        <f ca="1">IF(N(AA254)&gt;0,VLOOKUP(AA254,Hraci!$A$1:$I$1500,2,0)," ")</f>
        <v xml:space="preserve"> </v>
      </c>
      <c r="AC254" s="471" t="str">
        <f ca="1">IF(N(AA254)&gt;0,VLOOKUP(AA254,Hraci!$A$1:$I$1500,3,0)," ")</f>
        <v xml:space="preserve"> </v>
      </c>
      <c r="AD254" s="471" t="str">
        <f ca="1">IF(N(AA254)&gt;0,VLOOKUP(AA254,Hraci!$A$1:$I$1500,5,0)," ")</f>
        <v xml:space="preserve"> </v>
      </c>
      <c r="AE254" s="472">
        <f ca="1">IF(N(AA254)=0,9999,VLOOKUP(AA254,Hraci!$A$1:$I$1500,8,0))</f>
        <v>9999</v>
      </c>
      <c r="AF254" s="473">
        <f ca="1">IF(N(AA254)=0,0,VLOOKUP(AA254,Hraci!$A$1:$I$1500,9,0))</f>
        <v>0</v>
      </c>
      <c r="AG254" s="474"/>
      <c r="AH254" s="480">
        <f ca="1">IF(TYPE(VLOOKUP(H254,Nasazení!$A$3:$E$258,5,0))&lt;4,VLOOKUP(H254,Nasazení!$A$3:$E$258,5,0),0)</f>
        <v>0</v>
      </c>
      <c r="AI254" s="475" t="str">
        <f ca="1">IF(N($AH254)&gt;0,VLOOKUP($AH254,Body!$A$4:$F$259,5,0),"")</f>
        <v/>
      </c>
      <c r="AJ254" s="476" t="str">
        <f ca="1">IF(N($AH254)&gt;0,VLOOKUP($AH254,Body!$A$4:$F$259,6,0),"")</f>
        <v/>
      </c>
      <c r="AK254" s="475" t="str">
        <f ca="1">IF(N($AH254)&gt;0,VLOOKUP($AH254,Body!$A$4:$F$259,2,0),"")</f>
        <v/>
      </c>
      <c r="AL254" s="477" t="str">
        <f t="shared" ca="1" si="78"/>
        <v/>
      </c>
      <c r="AM254" s="478">
        <f t="shared" ca="1" si="79"/>
        <v>0</v>
      </c>
      <c r="AN254" s="408">
        <f ca="1">IF(OR(TYPE(I254)&gt;1,TYPE(MATCH(I254,I255:I$267,0))&gt;1),0,MATCH(I254,I255:I$267,0))+IF(OR(TYPE(I254)&gt;1,TYPE(MATCH(I254,O$11:O$267,0))&gt;1),0,MATCH(I254,O$11:O$267,0))+IF(OR(TYPE(I254)&gt;1,TYPE(MATCH(I254,U$11:U$267,0))&gt;1),0,MATCH(I254,U$11:U$267,0))+IF(OR(TYPE(I254)&gt;1,TYPE(MATCH(I254,AA$11:AA$267,0))&gt;1),0,MATCH(I254,AA$11:AA$267,0))</f>
        <v>0</v>
      </c>
      <c r="AO254" s="408">
        <f ca="1">IF(OR(TYPE(O254)&gt;1,TYPE(MATCH(O254,I$11:I$267,0))&gt;1),0,MATCH(O254,I$11:I$267,0))+IF(OR(TYPE(O254)&gt;1,TYPE(MATCH(O254,O255:O$267,0))&gt;1),0,MATCH(O254,O255:O$267,0))+IF(OR(TYPE(O254)&gt;1,TYPE(MATCH(O254,U$11:U$267,0))&gt;1),0,MATCH(O254,U$11:U$267,0))+IF(OR(TYPE(O254)&gt;1,TYPE(MATCH(O254,AA$11:AA$267,0))&gt;1),0,MATCH(O254,AA$11:AA$267,0))</f>
        <v>0</v>
      </c>
      <c r="AP254" s="408">
        <f ca="1">IF(OR(TYPE(U254)&gt;1,TYPE(MATCH(U254,I$11:I$267,0))&gt;1),0,MATCH(U254,I$11:I$267,0))+IF(OR(TYPE(U254)&gt;1,TYPE(MATCH(U254,O$11:O$267,0))&gt;1),0,MATCH(U254,O$11:O$267,0))+IF(OR(TYPE(U254)&gt;1,TYPE(MATCH(U254,U255:U$267,0))&gt;1),0,MATCH(U254,U255:U$267,0))+IF(OR(TYPE(U254)&gt;1,TYPE(MATCH(U254,AA$11:AA$267,0))&gt;1),0,MATCH(U254,AA$11:AA$267,0))</f>
        <v>0</v>
      </c>
      <c r="AQ254" s="408">
        <f ca="1">IF(OR(TYPE(AA254)&gt;1,TYPE(MATCH(AA254,I$11:I$267,0))&gt;1),0,MATCH(AA254,I$11:I$267,0))+IF(OR(TYPE(AA254)&gt;1,TYPE(MATCH(AA254,O$11:O$267,0))&gt;1),0,MATCH(AA254,O$11:O$267,0))+IF(OR(TYPE(AA254)&gt;1,TYPE(MATCH(AA254,U$11:U$267,0))&gt;1),0,MATCH(U254,U$11:U$267,0))+IF(OR(TYPE(AA254)&gt;1,TYPE(MATCH(AA254,AA255:AA$267,0))&gt;1),0,MATCH(AA254,AA255:AA$267,0))</f>
        <v>0</v>
      </c>
      <c r="AR254" s="408">
        <f t="shared" ca="1" si="91"/>
        <v>0</v>
      </c>
      <c r="BF254" s="408">
        <f t="shared" si="92"/>
        <v>244</v>
      </c>
    </row>
    <row r="255" spans="1:58" ht="14.25">
      <c r="A255" s="430">
        <f t="shared" ca="1" si="81"/>
        <v>0</v>
      </c>
      <c r="B255" s="430">
        <f t="shared" ca="1" si="82"/>
        <v>0</v>
      </c>
      <c r="C255" s="430">
        <f t="shared" ca="1" si="83"/>
        <v>0</v>
      </c>
      <c r="D255" s="430">
        <f t="shared" ca="1" si="84"/>
        <v>99999</v>
      </c>
      <c r="E255" s="430">
        <f t="shared" ca="1" si="85"/>
        <v>9999</v>
      </c>
      <c r="F255" s="431" t="str">
        <f t="shared" ca="1" si="80"/>
        <v>00000000000000000000016550</v>
      </c>
      <c r="G255" s="467" t="b">
        <f t="shared" ca="1" si="86"/>
        <v>1</v>
      </c>
      <c r="H255" s="468">
        <f t="shared" si="77"/>
        <v>245</v>
      </c>
      <c r="I255" s="469" t="str">
        <f t="shared" ca="1" si="87"/>
        <v/>
      </c>
      <c r="J255" s="470" t="str">
        <f ca="1">IF(N(I255)&gt;0,VLOOKUP(I255,Hraci!$A$1:$I$1500,2,0),IF(TYPE(INDIRECT(ADDRESS(ROW() + $A$9-9 + (ROW()-11)*4,2,1,1,"Internet")))&gt;1,INDIRECT(ADDRESS(ROW() + $A$9-9 + (ROW()-11)*4,2,1,1,"Internet"))," "))</f>
        <v xml:space="preserve"> </v>
      </c>
      <c r="K255" s="471" t="str">
        <f ca="1">IF(N(I255)&gt;0,VLOOKUP(I255,Hraci!$A$1:$I$1500,3,0)," ")</f>
        <v xml:space="preserve"> </v>
      </c>
      <c r="L255" s="471" t="str">
        <f ca="1">IF(N(I255)&gt;0,VLOOKUP(I255,Hraci!$A$1:$I$1500,5,0),IF(TYPE(INDIRECT(ADDRESS(ROW() + $A$9-9 + (ROW()-11)*4,3,1,1,"Internet")))&gt;1,INDIRECT(ADDRESS(ROW() + $A$9-9 + (ROW()-11)*4,3,1,1,"Internet"))," "))</f>
        <v xml:space="preserve"> </v>
      </c>
      <c r="M255" s="472">
        <f ca="1">IF(N(I255)=0,9999,VLOOKUP(I255,Hraci!$A$1:$I$1500,8,0))</f>
        <v>9999</v>
      </c>
      <c r="N255" s="473">
        <f ca="1">IF(N(I255)=0,0,VLOOKUP(I255,Hraci!$A$1:$I$1500,9,0))</f>
        <v>0</v>
      </c>
      <c r="O255" s="469" t="str">
        <f t="shared" ca="1" si="88"/>
        <v/>
      </c>
      <c r="P255" s="470" t="str">
        <f ca="1">IF(N(O255)&gt;0,VLOOKUP(O255,Hraci!$A$1:$I$1500,2,0),IF(TYPE(INDIRECT(ADDRESS(ROW() + $A$9-8 + (ROW()-11)*4,2,1,1,"Internet")))&gt;1,INDIRECT(ADDRESS(ROW() + $A$9-8 + (ROW()-11)*4,2,1,1,"Internet"))," "))</f>
        <v xml:space="preserve"> </v>
      </c>
      <c r="Q255" s="471" t="str">
        <f ca="1">IF(N(O255)&gt;0,VLOOKUP(O255,Hraci!$A$1:$I$1500,3,0)," ")</f>
        <v xml:space="preserve"> </v>
      </c>
      <c r="R255" s="471" t="str">
        <f ca="1">IF(N(O255)&gt;0,VLOOKUP(O255,Hraci!$A$1:$I$1500,5,0),IF(TYPE(INDIRECT(ADDRESS(ROW() + $A$9-8 + (ROW()-11)*4,3,1,1,"Internet")))&gt;1,INDIRECT(ADDRESS(ROW() + $A$9-8 + (ROW()-11)*4,3,1,1,"Internet"))," "))</f>
        <v xml:space="preserve"> </v>
      </c>
      <c r="S255" s="472">
        <f ca="1">IF(N(O255)=0,9999,VLOOKUP(O255,Hraci!$A$1:$I$1500,8,0))</f>
        <v>9999</v>
      </c>
      <c r="T255" s="473">
        <f ca="1">IF(N(O255)=0,0,VLOOKUP(O255,Hraci!$A$1:$I$1500,9,0))</f>
        <v>0</v>
      </c>
      <c r="U255" s="469" t="str">
        <f t="shared" ca="1" si="89"/>
        <v/>
      </c>
      <c r="V255" s="470" t="str">
        <f ca="1">IF(N(U255)&gt;0,VLOOKUP(U255,Hraci!$A$1:$I$1500,2,0),IF(TYPE(INDIRECT(ADDRESS(ROW() + $A$9-7 + (ROW()-11)*4,2,1,1,"Internet")))&gt;1,INDIRECT(ADDRESS(ROW() + $A$9-7 + (ROW()-11)*4,2,1,1,"Internet"))," "))</f>
        <v xml:space="preserve"> </v>
      </c>
      <c r="W255" s="471" t="str">
        <f ca="1">IF(N(U255)&gt;0,VLOOKUP(U255,Hraci!$A$1:$I$1500,3,0)," ")</f>
        <v xml:space="preserve"> </v>
      </c>
      <c r="X255" s="471" t="str">
        <f ca="1">IF(N(U255)&gt;0,VLOOKUP(U255,Hraci!$A$1:$I$1500,5,0),IF(TYPE(INDIRECT(ADDRESS(ROW() + $A$9-7 + (ROW()-11)*4,3,1,1,"Internet")))&gt;1,INDIRECT(ADDRESS(ROW() + $A$9-7 + (ROW()-11)*4,3,1,1,"Internet"))," "))</f>
        <v xml:space="preserve"> </v>
      </c>
      <c r="Y255" s="472">
        <f ca="1">IF(N(U255)=0,9999,VLOOKUP(U255,Hraci!$A$1:$I$1500,8,0))</f>
        <v>9999</v>
      </c>
      <c r="Z255" s="473">
        <f ca="1">IF(N(U255)=0,0,VLOOKUP(U255,Hraci!$A$1:$I$1500,9,0))</f>
        <v>0</v>
      </c>
      <c r="AA255" s="469" t="str">
        <f t="shared" ca="1" si="90"/>
        <v/>
      </c>
      <c r="AB255" s="470" t="str">
        <f ca="1">IF(N(AA255)&gt;0,VLOOKUP(AA255,Hraci!$A$1:$I$1500,2,0)," ")</f>
        <v xml:space="preserve"> </v>
      </c>
      <c r="AC255" s="471" t="str">
        <f ca="1">IF(N(AA255)&gt;0,VLOOKUP(AA255,Hraci!$A$1:$I$1500,3,0)," ")</f>
        <v xml:space="preserve"> </v>
      </c>
      <c r="AD255" s="471" t="str">
        <f ca="1">IF(N(AA255)&gt;0,VLOOKUP(AA255,Hraci!$A$1:$I$1500,5,0)," ")</f>
        <v xml:space="preserve"> </v>
      </c>
      <c r="AE255" s="472">
        <f ca="1">IF(N(AA255)=0,9999,VLOOKUP(AA255,Hraci!$A$1:$I$1500,8,0))</f>
        <v>9999</v>
      </c>
      <c r="AF255" s="473">
        <f ca="1">IF(N(AA255)=0,0,VLOOKUP(AA255,Hraci!$A$1:$I$1500,9,0))</f>
        <v>0</v>
      </c>
      <c r="AG255" s="474"/>
      <c r="AH255" s="480">
        <f ca="1">IF(TYPE(VLOOKUP(H255,Nasazení!$A$3:$E$258,5,0))&lt;4,VLOOKUP(H255,Nasazení!$A$3:$E$258,5,0),0)</f>
        <v>0</v>
      </c>
      <c r="AI255" s="475" t="str">
        <f ca="1">IF(N($AH255)&gt;0,VLOOKUP($AH255,Body!$A$4:$F$259,5,0),"")</f>
        <v/>
      </c>
      <c r="AJ255" s="476" t="str">
        <f ca="1">IF(N($AH255)&gt;0,VLOOKUP($AH255,Body!$A$4:$F$259,6,0),"")</f>
        <v/>
      </c>
      <c r="AK255" s="475" t="str">
        <f ca="1">IF(N($AH255)&gt;0,VLOOKUP($AH255,Body!$A$4:$F$259,2,0),"")</f>
        <v/>
      </c>
      <c r="AL255" s="477" t="str">
        <f t="shared" ca="1" si="78"/>
        <v/>
      </c>
      <c r="AM255" s="478">
        <f t="shared" ca="1" si="79"/>
        <v>0</v>
      </c>
      <c r="AN255" s="408">
        <f ca="1">IF(OR(TYPE(I255)&gt;1,TYPE(MATCH(I255,I256:I$267,0))&gt;1),0,MATCH(I255,I256:I$267,0))+IF(OR(TYPE(I255)&gt;1,TYPE(MATCH(I255,O$11:O$267,0))&gt;1),0,MATCH(I255,O$11:O$267,0))+IF(OR(TYPE(I255)&gt;1,TYPE(MATCH(I255,U$11:U$267,0))&gt;1),0,MATCH(I255,U$11:U$267,0))+IF(OR(TYPE(I255)&gt;1,TYPE(MATCH(I255,AA$11:AA$267,0))&gt;1),0,MATCH(I255,AA$11:AA$267,0))</f>
        <v>0</v>
      </c>
      <c r="AO255" s="408">
        <f ca="1">IF(OR(TYPE(O255)&gt;1,TYPE(MATCH(O255,I$11:I$267,0))&gt;1),0,MATCH(O255,I$11:I$267,0))+IF(OR(TYPE(O255)&gt;1,TYPE(MATCH(O255,O256:O$267,0))&gt;1),0,MATCH(O255,O256:O$267,0))+IF(OR(TYPE(O255)&gt;1,TYPE(MATCH(O255,U$11:U$267,0))&gt;1),0,MATCH(O255,U$11:U$267,0))+IF(OR(TYPE(O255)&gt;1,TYPE(MATCH(O255,AA$11:AA$267,0))&gt;1),0,MATCH(O255,AA$11:AA$267,0))</f>
        <v>0</v>
      </c>
      <c r="AP255" s="408">
        <f ca="1">IF(OR(TYPE(U255)&gt;1,TYPE(MATCH(U255,I$11:I$267,0))&gt;1),0,MATCH(U255,I$11:I$267,0))+IF(OR(TYPE(U255)&gt;1,TYPE(MATCH(U255,O$11:O$267,0))&gt;1),0,MATCH(U255,O$11:O$267,0))+IF(OR(TYPE(U255)&gt;1,TYPE(MATCH(U255,U256:U$267,0))&gt;1),0,MATCH(U255,U256:U$267,0))+IF(OR(TYPE(U255)&gt;1,TYPE(MATCH(U255,AA$11:AA$267,0))&gt;1),0,MATCH(U255,AA$11:AA$267,0))</f>
        <v>0</v>
      </c>
      <c r="AQ255" s="408">
        <f ca="1">IF(OR(TYPE(AA255)&gt;1,TYPE(MATCH(AA255,I$11:I$267,0))&gt;1),0,MATCH(AA255,I$11:I$267,0))+IF(OR(TYPE(AA255)&gt;1,TYPE(MATCH(AA255,O$11:O$267,0))&gt;1),0,MATCH(AA255,O$11:O$267,0))+IF(OR(TYPE(AA255)&gt;1,TYPE(MATCH(AA255,U$11:U$267,0))&gt;1),0,MATCH(U255,U$11:U$267,0))+IF(OR(TYPE(AA255)&gt;1,TYPE(MATCH(AA255,AA256:AA$267,0))&gt;1),0,MATCH(AA255,AA256:AA$267,0))</f>
        <v>0</v>
      </c>
      <c r="AR255" s="408">
        <f t="shared" ca="1" si="91"/>
        <v>0</v>
      </c>
      <c r="BF255" s="408">
        <f t="shared" si="92"/>
        <v>245</v>
      </c>
    </row>
    <row r="256" spans="1:58" ht="14.25">
      <c r="A256" s="430">
        <f t="shared" ca="1" si="81"/>
        <v>0</v>
      </c>
      <c r="B256" s="430">
        <f t="shared" ca="1" si="82"/>
        <v>0</v>
      </c>
      <c r="C256" s="430">
        <f t="shared" ca="1" si="83"/>
        <v>0</v>
      </c>
      <c r="D256" s="430">
        <f t="shared" ca="1" si="84"/>
        <v>99999</v>
      </c>
      <c r="E256" s="430">
        <f t="shared" ca="1" si="85"/>
        <v>9999</v>
      </c>
      <c r="F256" s="431" t="str">
        <f t="shared" ca="1" si="80"/>
        <v>00000000000000000000983374</v>
      </c>
      <c r="G256" s="467" t="b">
        <f t="shared" ca="1" si="86"/>
        <v>1</v>
      </c>
      <c r="H256" s="468">
        <f t="shared" si="77"/>
        <v>246</v>
      </c>
      <c r="I256" s="469" t="str">
        <f t="shared" ca="1" si="87"/>
        <v/>
      </c>
      <c r="J256" s="470" t="str">
        <f ca="1">IF(N(I256)&gt;0,VLOOKUP(I256,Hraci!$A$1:$I$1500,2,0),IF(TYPE(INDIRECT(ADDRESS(ROW() + $A$9-9 + (ROW()-11)*4,2,1,1,"Internet")))&gt;1,INDIRECT(ADDRESS(ROW() + $A$9-9 + (ROW()-11)*4,2,1,1,"Internet"))," "))</f>
        <v xml:space="preserve"> </v>
      </c>
      <c r="K256" s="471" t="str">
        <f ca="1">IF(N(I256)&gt;0,VLOOKUP(I256,Hraci!$A$1:$I$1500,3,0)," ")</f>
        <v xml:space="preserve"> </v>
      </c>
      <c r="L256" s="471" t="str">
        <f ca="1">IF(N(I256)&gt;0,VLOOKUP(I256,Hraci!$A$1:$I$1500,5,0),IF(TYPE(INDIRECT(ADDRESS(ROW() + $A$9-9 + (ROW()-11)*4,3,1,1,"Internet")))&gt;1,INDIRECT(ADDRESS(ROW() + $A$9-9 + (ROW()-11)*4,3,1,1,"Internet"))," "))</f>
        <v xml:space="preserve"> </v>
      </c>
      <c r="M256" s="472">
        <f ca="1">IF(N(I256)=0,9999,VLOOKUP(I256,Hraci!$A$1:$I$1500,8,0))</f>
        <v>9999</v>
      </c>
      <c r="N256" s="473">
        <f ca="1">IF(N(I256)=0,0,VLOOKUP(I256,Hraci!$A$1:$I$1500,9,0))</f>
        <v>0</v>
      </c>
      <c r="O256" s="469" t="str">
        <f t="shared" ca="1" si="88"/>
        <v/>
      </c>
      <c r="P256" s="470" t="str">
        <f ca="1">IF(N(O256)&gt;0,VLOOKUP(O256,Hraci!$A$1:$I$1500,2,0),IF(TYPE(INDIRECT(ADDRESS(ROW() + $A$9-8 + (ROW()-11)*4,2,1,1,"Internet")))&gt;1,INDIRECT(ADDRESS(ROW() + $A$9-8 + (ROW()-11)*4,2,1,1,"Internet"))," "))</f>
        <v xml:space="preserve"> </v>
      </c>
      <c r="Q256" s="471" t="str">
        <f ca="1">IF(N(O256)&gt;0,VLOOKUP(O256,Hraci!$A$1:$I$1500,3,0)," ")</f>
        <v xml:space="preserve"> </v>
      </c>
      <c r="R256" s="471" t="str">
        <f ca="1">IF(N(O256)&gt;0,VLOOKUP(O256,Hraci!$A$1:$I$1500,5,0),IF(TYPE(INDIRECT(ADDRESS(ROW() + $A$9-8 + (ROW()-11)*4,3,1,1,"Internet")))&gt;1,INDIRECT(ADDRESS(ROW() + $A$9-8 + (ROW()-11)*4,3,1,1,"Internet"))," "))</f>
        <v xml:space="preserve"> </v>
      </c>
      <c r="S256" s="472">
        <f ca="1">IF(N(O256)=0,9999,VLOOKUP(O256,Hraci!$A$1:$I$1500,8,0))</f>
        <v>9999</v>
      </c>
      <c r="T256" s="473">
        <f ca="1">IF(N(O256)=0,0,VLOOKUP(O256,Hraci!$A$1:$I$1500,9,0))</f>
        <v>0</v>
      </c>
      <c r="U256" s="469" t="str">
        <f t="shared" ca="1" si="89"/>
        <v/>
      </c>
      <c r="V256" s="470" t="str">
        <f ca="1">IF(N(U256)&gt;0,VLOOKUP(U256,Hraci!$A$1:$I$1500,2,0),IF(TYPE(INDIRECT(ADDRESS(ROW() + $A$9-7 + (ROW()-11)*4,2,1,1,"Internet")))&gt;1,INDIRECT(ADDRESS(ROW() + $A$9-7 + (ROW()-11)*4,2,1,1,"Internet"))," "))</f>
        <v xml:space="preserve"> </v>
      </c>
      <c r="W256" s="471" t="str">
        <f ca="1">IF(N(U256)&gt;0,VLOOKUP(U256,Hraci!$A$1:$I$1500,3,0)," ")</f>
        <v xml:space="preserve"> </v>
      </c>
      <c r="X256" s="471" t="str">
        <f ca="1">IF(N(U256)&gt;0,VLOOKUP(U256,Hraci!$A$1:$I$1500,5,0),IF(TYPE(INDIRECT(ADDRESS(ROW() + $A$9-7 + (ROW()-11)*4,3,1,1,"Internet")))&gt;1,INDIRECT(ADDRESS(ROW() + $A$9-7 + (ROW()-11)*4,3,1,1,"Internet"))," "))</f>
        <v xml:space="preserve"> </v>
      </c>
      <c r="Y256" s="472">
        <f ca="1">IF(N(U256)=0,9999,VLOOKUP(U256,Hraci!$A$1:$I$1500,8,0))</f>
        <v>9999</v>
      </c>
      <c r="Z256" s="473">
        <f ca="1">IF(N(U256)=0,0,VLOOKUP(U256,Hraci!$A$1:$I$1500,9,0))</f>
        <v>0</v>
      </c>
      <c r="AA256" s="469" t="str">
        <f t="shared" ca="1" si="90"/>
        <v/>
      </c>
      <c r="AB256" s="470" t="str">
        <f ca="1">IF(N(AA256)&gt;0,VLOOKUP(AA256,Hraci!$A$1:$I$1500,2,0)," ")</f>
        <v xml:space="preserve"> </v>
      </c>
      <c r="AC256" s="471" t="str">
        <f ca="1">IF(N(AA256)&gt;0,VLOOKUP(AA256,Hraci!$A$1:$I$1500,3,0)," ")</f>
        <v xml:space="preserve"> </v>
      </c>
      <c r="AD256" s="471" t="str">
        <f ca="1">IF(N(AA256)&gt;0,VLOOKUP(AA256,Hraci!$A$1:$I$1500,5,0)," ")</f>
        <v xml:space="preserve"> </v>
      </c>
      <c r="AE256" s="472">
        <f ca="1">IF(N(AA256)=0,9999,VLOOKUP(AA256,Hraci!$A$1:$I$1500,8,0))</f>
        <v>9999</v>
      </c>
      <c r="AF256" s="473">
        <f ca="1">IF(N(AA256)=0,0,VLOOKUP(AA256,Hraci!$A$1:$I$1500,9,0))</f>
        <v>0</v>
      </c>
      <c r="AG256" s="474"/>
      <c r="AH256" s="480">
        <f ca="1">IF(TYPE(VLOOKUP(H256,Nasazení!$A$3:$E$258,5,0))&lt;4,VLOOKUP(H256,Nasazení!$A$3:$E$258,5,0),0)</f>
        <v>0</v>
      </c>
      <c r="AI256" s="475" t="str">
        <f ca="1">IF(N($AH256)&gt;0,VLOOKUP($AH256,Body!$A$4:$F$259,5,0),"")</f>
        <v/>
      </c>
      <c r="AJ256" s="476" t="str">
        <f ca="1">IF(N($AH256)&gt;0,VLOOKUP($AH256,Body!$A$4:$F$259,6,0),"")</f>
        <v/>
      </c>
      <c r="AK256" s="475" t="str">
        <f ca="1">IF(N($AH256)&gt;0,VLOOKUP($AH256,Body!$A$4:$F$259,2,0),"")</f>
        <v/>
      </c>
      <c r="AL256" s="477" t="str">
        <f t="shared" ca="1" si="78"/>
        <v/>
      </c>
      <c r="AM256" s="478">
        <f t="shared" ca="1" si="79"/>
        <v>0</v>
      </c>
      <c r="AN256" s="408">
        <f ca="1">IF(OR(TYPE(I256)&gt;1,TYPE(MATCH(I256,I257:I$267,0))&gt;1),0,MATCH(I256,I257:I$267,0))+IF(OR(TYPE(I256)&gt;1,TYPE(MATCH(I256,O$11:O$267,0))&gt;1),0,MATCH(I256,O$11:O$267,0))+IF(OR(TYPE(I256)&gt;1,TYPE(MATCH(I256,U$11:U$267,0))&gt;1),0,MATCH(I256,U$11:U$267,0))+IF(OR(TYPE(I256)&gt;1,TYPE(MATCH(I256,AA$11:AA$267,0))&gt;1),0,MATCH(I256,AA$11:AA$267,0))</f>
        <v>0</v>
      </c>
      <c r="AO256" s="408">
        <f ca="1">IF(OR(TYPE(O256)&gt;1,TYPE(MATCH(O256,I$11:I$267,0))&gt;1),0,MATCH(O256,I$11:I$267,0))+IF(OR(TYPE(O256)&gt;1,TYPE(MATCH(O256,O257:O$267,0))&gt;1),0,MATCH(O256,O257:O$267,0))+IF(OR(TYPE(O256)&gt;1,TYPE(MATCH(O256,U$11:U$267,0))&gt;1),0,MATCH(O256,U$11:U$267,0))+IF(OR(TYPE(O256)&gt;1,TYPE(MATCH(O256,AA$11:AA$267,0))&gt;1),0,MATCH(O256,AA$11:AA$267,0))</f>
        <v>0</v>
      </c>
      <c r="AP256" s="408">
        <f ca="1">IF(OR(TYPE(U256)&gt;1,TYPE(MATCH(U256,I$11:I$267,0))&gt;1),0,MATCH(U256,I$11:I$267,0))+IF(OR(TYPE(U256)&gt;1,TYPE(MATCH(U256,O$11:O$267,0))&gt;1),0,MATCH(U256,O$11:O$267,0))+IF(OR(TYPE(U256)&gt;1,TYPE(MATCH(U256,U257:U$267,0))&gt;1),0,MATCH(U256,U257:U$267,0))+IF(OR(TYPE(U256)&gt;1,TYPE(MATCH(U256,AA$11:AA$267,0))&gt;1),0,MATCH(U256,AA$11:AA$267,0))</f>
        <v>0</v>
      </c>
      <c r="AQ256" s="408">
        <f ca="1">IF(OR(TYPE(AA256)&gt;1,TYPE(MATCH(AA256,I$11:I$267,0))&gt;1),0,MATCH(AA256,I$11:I$267,0))+IF(OR(TYPE(AA256)&gt;1,TYPE(MATCH(AA256,O$11:O$267,0))&gt;1),0,MATCH(AA256,O$11:O$267,0))+IF(OR(TYPE(AA256)&gt;1,TYPE(MATCH(AA256,U$11:U$267,0))&gt;1),0,MATCH(U256,U$11:U$267,0))+IF(OR(TYPE(AA256)&gt;1,TYPE(MATCH(AA256,AA257:AA$267,0))&gt;1),0,MATCH(AA256,AA257:AA$267,0))</f>
        <v>0</v>
      </c>
      <c r="AR256" s="408">
        <f t="shared" ca="1" si="91"/>
        <v>0</v>
      </c>
      <c r="BF256" s="408">
        <f t="shared" si="92"/>
        <v>246</v>
      </c>
    </row>
    <row r="257" spans="1:58" ht="14.25">
      <c r="A257" s="430">
        <f t="shared" ca="1" si="81"/>
        <v>0</v>
      </c>
      <c r="B257" s="430">
        <f t="shared" ca="1" si="82"/>
        <v>0</v>
      </c>
      <c r="C257" s="430">
        <f t="shared" ca="1" si="83"/>
        <v>0</v>
      </c>
      <c r="D257" s="430">
        <f t="shared" ca="1" si="84"/>
        <v>99999</v>
      </c>
      <c r="E257" s="430">
        <f t="shared" ca="1" si="85"/>
        <v>9999</v>
      </c>
      <c r="F257" s="431" t="str">
        <f t="shared" ca="1" si="80"/>
        <v>00000000000000000000844716</v>
      </c>
      <c r="G257" s="467" t="b">
        <f t="shared" ca="1" si="86"/>
        <v>1</v>
      </c>
      <c r="H257" s="468">
        <f t="shared" si="77"/>
        <v>247</v>
      </c>
      <c r="I257" s="469" t="str">
        <f t="shared" ca="1" si="87"/>
        <v/>
      </c>
      <c r="J257" s="470" t="str">
        <f ca="1">IF(N(I257)&gt;0,VLOOKUP(I257,Hraci!$A$1:$I$1500,2,0),IF(TYPE(INDIRECT(ADDRESS(ROW() + $A$9-9 + (ROW()-11)*4,2,1,1,"Internet")))&gt;1,INDIRECT(ADDRESS(ROW() + $A$9-9 + (ROW()-11)*4,2,1,1,"Internet"))," "))</f>
        <v xml:space="preserve"> </v>
      </c>
      <c r="K257" s="471" t="str">
        <f ca="1">IF(N(I257)&gt;0,VLOOKUP(I257,Hraci!$A$1:$I$1500,3,0)," ")</f>
        <v xml:space="preserve"> </v>
      </c>
      <c r="L257" s="471" t="str">
        <f ca="1">IF(N(I257)&gt;0,VLOOKUP(I257,Hraci!$A$1:$I$1500,5,0),IF(TYPE(INDIRECT(ADDRESS(ROW() + $A$9-9 + (ROW()-11)*4,3,1,1,"Internet")))&gt;1,INDIRECT(ADDRESS(ROW() + $A$9-9 + (ROW()-11)*4,3,1,1,"Internet"))," "))</f>
        <v xml:space="preserve"> </v>
      </c>
      <c r="M257" s="472">
        <f ca="1">IF(N(I257)=0,9999,VLOOKUP(I257,Hraci!$A$1:$I$1500,8,0))</f>
        <v>9999</v>
      </c>
      <c r="N257" s="473">
        <f ca="1">IF(N(I257)=0,0,VLOOKUP(I257,Hraci!$A$1:$I$1500,9,0))</f>
        <v>0</v>
      </c>
      <c r="O257" s="469" t="str">
        <f t="shared" ca="1" si="88"/>
        <v/>
      </c>
      <c r="P257" s="470" t="str">
        <f ca="1">IF(N(O257)&gt;0,VLOOKUP(O257,Hraci!$A$1:$I$1500,2,0),IF(TYPE(INDIRECT(ADDRESS(ROW() + $A$9-8 + (ROW()-11)*4,2,1,1,"Internet")))&gt;1,INDIRECT(ADDRESS(ROW() + $A$9-8 + (ROW()-11)*4,2,1,1,"Internet"))," "))</f>
        <v xml:space="preserve"> </v>
      </c>
      <c r="Q257" s="471" t="str">
        <f ca="1">IF(N(O257)&gt;0,VLOOKUP(O257,Hraci!$A$1:$I$1500,3,0)," ")</f>
        <v xml:space="preserve"> </v>
      </c>
      <c r="R257" s="471" t="str">
        <f ca="1">IF(N(O257)&gt;0,VLOOKUP(O257,Hraci!$A$1:$I$1500,5,0),IF(TYPE(INDIRECT(ADDRESS(ROW() + $A$9-8 + (ROW()-11)*4,3,1,1,"Internet")))&gt;1,INDIRECT(ADDRESS(ROW() + $A$9-8 + (ROW()-11)*4,3,1,1,"Internet"))," "))</f>
        <v xml:space="preserve"> </v>
      </c>
      <c r="S257" s="472">
        <f ca="1">IF(N(O257)=0,9999,VLOOKUP(O257,Hraci!$A$1:$I$1500,8,0))</f>
        <v>9999</v>
      </c>
      <c r="T257" s="473">
        <f ca="1">IF(N(O257)=0,0,VLOOKUP(O257,Hraci!$A$1:$I$1500,9,0))</f>
        <v>0</v>
      </c>
      <c r="U257" s="469" t="str">
        <f t="shared" ca="1" si="89"/>
        <v/>
      </c>
      <c r="V257" s="470" t="str">
        <f ca="1">IF(N(U257)&gt;0,VLOOKUP(U257,Hraci!$A$1:$I$1500,2,0),IF(TYPE(INDIRECT(ADDRESS(ROW() + $A$9-7 + (ROW()-11)*4,2,1,1,"Internet")))&gt;1,INDIRECT(ADDRESS(ROW() + $A$9-7 + (ROW()-11)*4,2,1,1,"Internet"))," "))</f>
        <v xml:space="preserve"> </v>
      </c>
      <c r="W257" s="471" t="str">
        <f ca="1">IF(N(U257)&gt;0,VLOOKUP(U257,Hraci!$A$1:$I$1500,3,0)," ")</f>
        <v xml:space="preserve"> </v>
      </c>
      <c r="X257" s="471" t="str">
        <f ca="1">IF(N(U257)&gt;0,VLOOKUP(U257,Hraci!$A$1:$I$1500,5,0),IF(TYPE(INDIRECT(ADDRESS(ROW() + $A$9-7 + (ROW()-11)*4,3,1,1,"Internet")))&gt;1,INDIRECT(ADDRESS(ROW() + $A$9-7 + (ROW()-11)*4,3,1,1,"Internet"))," "))</f>
        <v xml:space="preserve"> </v>
      </c>
      <c r="Y257" s="472">
        <f ca="1">IF(N(U257)=0,9999,VLOOKUP(U257,Hraci!$A$1:$I$1500,8,0))</f>
        <v>9999</v>
      </c>
      <c r="Z257" s="473">
        <f ca="1">IF(N(U257)=0,0,VLOOKUP(U257,Hraci!$A$1:$I$1500,9,0))</f>
        <v>0</v>
      </c>
      <c r="AA257" s="469" t="str">
        <f t="shared" ca="1" si="90"/>
        <v/>
      </c>
      <c r="AB257" s="470" t="str">
        <f ca="1">IF(N(AA257)&gt;0,VLOOKUP(AA257,Hraci!$A$1:$I$1500,2,0)," ")</f>
        <v xml:space="preserve"> </v>
      </c>
      <c r="AC257" s="471" t="str">
        <f ca="1">IF(N(AA257)&gt;0,VLOOKUP(AA257,Hraci!$A$1:$I$1500,3,0)," ")</f>
        <v xml:space="preserve"> </v>
      </c>
      <c r="AD257" s="471" t="str">
        <f ca="1">IF(N(AA257)&gt;0,VLOOKUP(AA257,Hraci!$A$1:$I$1500,5,0)," ")</f>
        <v xml:space="preserve"> </v>
      </c>
      <c r="AE257" s="472">
        <f ca="1">IF(N(AA257)=0,9999,VLOOKUP(AA257,Hraci!$A$1:$I$1500,8,0))</f>
        <v>9999</v>
      </c>
      <c r="AF257" s="473">
        <f ca="1">IF(N(AA257)=0,0,VLOOKUP(AA257,Hraci!$A$1:$I$1500,9,0))</f>
        <v>0</v>
      </c>
      <c r="AG257" s="474"/>
      <c r="AH257" s="480">
        <f ca="1">IF(TYPE(VLOOKUP(H257,Nasazení!$A$3:$E$258,5,0))&lt;4,VLOOKUP(H257,Nasazení!$A$3:$E$258,5,0),0)</f>
        <v>0</v>
      </c>
      <c r="AI257" s="475" t="str">
        <f ca="1">IF(N($AH257)&gt;0,VLOOKUP($AH257,Body!$A$4:$F$259,5,0),"")</f>
        <v/>
      </c>
      <c r="AJ257" s="476" t="str">
        <f ca="1">IF(N($AH257)&gt;0,VLOOKUP($AH257,Body!$A$4:$F$259,6,0),"")</f>
        <v/>
      </c>
      <c r="AK257" s="475" t="str">
        <f ca="1">IF(N($AH257)&gt;0,VLOOKUP($AH257,Body!$A$4:$F$259,2,0),"")</f>
        <v/>
      </c>
      <c r="AL257" s="477" t="str">
        <f t="shared" ca="1" si="78"/>
        <v/>
      </c>
      <c r="AM257" s="478">
        <f t="shared" ca="1" si="79"/>
        <v>0</v>
      </c>
      <c r="AN257" s="408">
        <f ca="1">IF(OR(TYPE(I257)&gt;1,TYPE(MATCH(I257,I258:I$267,0))&gt;1),0,MATCH(I257,I258:I$267,0))+IF(OR(TYPE(I257)&gt;1,TYPE(MATCH(I257,O$11:O$267,0))&gt;1),0,MATCH(I257,O$11:O$267,0))+IF(OR(TYPE(I257)&gt;1,TYPE(MATCH(I257,U$11:U$267,0))&gt;1),0,MATCH(I257,U$11:U$267,0))+IF(OR(TYPE(I257)&gt;1,TYPE(MATCH(I257,AA$11:AA$267,0))&gt;1),0,MATCH(I257,AA$11:AA$267,0))</f>
        <v>0</v>
      </c>
      <c r="AO257" s="408">
        <f ca="1">IF(OR(TYPE(O257)&gt;1,TYPE(MATCH(O257,I$11:I$267,0))&gt;1),0,MATCH(O257,I$11:I$267,0))+IF(OR(TYPE(O257)&gt;1,TYPE(MATCH(O257,O258:O$267,0))&gt;1),0,MATCH(O257,O258:O$267,0))+IF(OR(TYPE(O257)&gt;1,TYPE(MATCH(O257,U$11:U$267,0))&gt;1),0,MATCH(O257,U$11:U$267,0))+IF(OR(TYPE(O257)&gt;1,TYPE(MATCH(O257,AA$11:AA$267,0))&gt;1),0,MATCH(O257,AA$11:AA$267,0))</f>
        <v>0</v>
      </c>
      <c r="AP257" s="408">
        <f ca="1">IF(OR(TYPE(U257)&gt;1,TYPE(MATCH(U257,I$11:I$267,0))&gt;1),0,MATCH(U257,I$11:I$267,0))+IF(OR(TYPE(U257)&gt;1,TYPE(MATCH(U257,O$11:O$267,0))&gt;1),0,MATCH(U257,O$11:O$267,0))+IF(OR(TYPE(U257)&gt;1,TYPE(MATCH(U257,U258:U$267,0))&gt;1),0,MATCH(U257,U258:U$267,0))+IF(OR(TYPE(U257)&gt;1,TYPE(MATCH(U257,AA$11:AA$267,0))&gt;1),0,MATCH(U257,AA$11:AA$267,0))</f>
        <v>0</v>
      </c>
      <c r="AQ257" s="408">
        <f ca="1">IF(OR(TYPE(AA257)&gt;1,TYPE(MATCH(AA257,I$11:I$267,0))&gt;1),0,MATCH(AA257,I$11:I$267,0))+IF(OR(TYPE(AA257)&gt;1,TYPE(MATCH(AA257,O$11:O$267,0))&gt;1),0,MATCH(AA257,O$11:O$267,0))+IF(OR(TYPE(AA257)&gt;1,TYPE(MATCH(AA257,U$11:U$267,0))&gt;1),0,MATCH(U257,U$11:U$267,0))+IF(OR(TYPE(AA257)&gt;1,TYPE(MATCH(AA257,AA258:AA$267,0))&gt;1),0,MATCH(AA257,AA258:AA$267,0))</f>
        <v>0</v>
      </c>
      <c r="AR257" s="408">
        <f t="shared" ca="1" si="91"/>
        <v>0</v>
      </c>
      <c r="BF257" s="408">
        <f t="shared" si="92"/>
        <v>247</v>
      </c>
    </row>
    <row r="258" spans="1:58" ht="14.25">
      <c r="A258" s="430">
        <f t="shared" ca="1" si="81"/>
        <v>0</v>
      </c>
      <c r="B258" s="430">
        <f t="shared" ca="1" si="82"/>
        <v>0</v>
      </c>
      <c r="C258" s="430">
        <f t="shared" ca="1" si="83"/>
        <v>0</v>
      </c>
      <c r="D258" s="430">
        <f t="shared" ca="1" si="84"/>
        <v>99999</v>
      </c>
      <c r="E258" s="430">
        <f t="shared" ca="1" si="85"/>
        <v>9999</v>
      </c>
      <c r="F258" s="431" t="str">
        <f t="shared" ca="1" si="80"/>
        <v>00000000000000000000908070</v>
      </c>
      <c r="G258" s="467" t="b">
        <f t="shared" ca="1" si="86"/>
        <v>1</v>
      </c>
      <c r="H258" s="468">
        <f t="shared" si="77"/>
        <v>248</v>
      </c>
      <c r="I258" s="469" t="str">
        <f t="shared" ca="1" si="87"/>
        <v/>
      </c>
      <c r="J258" s="470" t="str">
        <f ca="1">IF(N(I258)&gt;0,VLOOKUP(I258,Hraci!$A$1:$I$1500,2,0),IF(TYPE(INDIRECT(ADDRESS(ROW() + $A$9-9 + (ROW()-11)*4,2,1,1,"Internet")))&gt;1,INDIRECT(ADDRESS(ROW() + $A$9-9 + (ROW()-11)*4,2,1,1,"Internet"))," "))</f>
        <v xml:space="preserve"> </v>
      </c>
      <c r="K258" s="471" t="str">
        <f ca="1">IF(N(I258)&gt;0,VLOOKUP(I258,Hraci!$A$1:$I$1500,3,0)," ")</f>
        <v xml:space="preserve"> </v>
      </c>
      <c r="L258" s="471" t="str">
        <f ca="1">IF(N(I258)&gt;0,VLOOKUP(I258,Hraci!$A$1:$I$1500,5,0),IF(TYPE(INDIRECT(ADDRESS(ROW() + $A$9-9 + (ROW()-11)*4,3,1,1,"Internet")))&gt;1,INDIRECT(ADDRESS(ROW() + $A$9-9 + (ROW()-11)*4,3,1,1,"Internet"))," "))</f>
        <v xml:space="preserve"> </v>
      </c>
      <c r="M258" s="472">
        <f ca="1">IF(N(I258)=0,9999,VLOOKUP(I258,Hraci!$A$1:$I$1500,8,0))</f>
        <v>9999</v>
      </c>
      <c r="N258" s="473">
        <f ca="1">IF(N(I258)=0,0,VLOOKUP(I258,Hraci!$A$1:$I$1500,9,0))</f>
        <v>0</v>
      </c>
      <c r="O258" s="469" t="str">
        <f t="shared" ca="1" si="88"/>
        <v/>
      </c>
      <c r="P258" s="470" t="str">
        <f ca="1">IF(N(O258)&gt;0,VLOOKUP(O258,Hraci!$A$1:$I$1500,2,0),IF(TYPE(INDIRECT(ADDRESS(ROW() + $A$9-8 + (ROW()-11)*4,2,1,1,"Internet")))&gt;1,INDIRECT(ADDRESS(ROW() + $A$9-8 + (ROW()-11)*4,2,1,1,"Internet"))," "))</f>
        <v xml:space="preserve"> </v>
      </c>
      <c r="Q258" s="471" t="str">
        <f ca="1">IF(N(O258)&gt;0,VLOOKUP(O258,Hraci!$A$1:$I$1500,3,0)," ")</f>
        <v xml:space="preserve"> </v>
      </c>
      <c r="R258" s="471" t="str">
        <f ca="1">IF(N(O258)&gt;0,VLOOKUP(O258,Hraci!$A$1:$I$1500,5,0),IF(TYPE(INDIRECT(ADDRESS(ROW() + $A$9-8 + (ROW()-11)*4,3,1,1,"Internet")))&gt;1,INDIRECT(ADDRESS(ROW() + $A$9-8 + (ROW()-11)*4,3,1,1,"Internet"))," "))</f>
        <v xml:space="preserve"> </v>
      </c>
      <c r="S258" s="472">
        <f ca="1">IF(N(O258)=0,9999,VLOOKUP(O258,Hraci!$A$1:$I$1500,8,0))</f>
        <v>9999</v>
      </c>
      <c r="T258" s="473">
        <f ca="1">IF(N(O258)=0,0,VLOOKUP(O258,Hraci!$A$1:$I$1500,9,0))</f>
        <v>0</v>
      </c>
      <c r="U258" s="469" t="str">
        <f t="shared" ca="1" si="89"/>
        <v/>
      </c>
      <c r="V258" s="470" t="str">
        <f ca="1">IF(N(U258)&gt;0,VLOOKUP(U258,Hraci!$A$1:$I$1500,2,0),IF(TYPE(INDIRECT(ADDRESS(ROW() + $A$9-7 + (ROW()-11)*4,2,1,1,"Internet")))&gt;1,INDIRECT(ADDRESS(ROW() + $A$9-7 + (ROW()-11)*4,2,1,1,"Internet"))," "))</f>
        <v xml:space="preserve"> </v>
      </c>
      <c r="W258" s="471" t="str">
        <f ca="1">IF(N(U258)&gt;0,VLOOKUP(U258,Hraci!$A$1:$I$1500,3,0)," ")</f>
        <v xml:space="preserve"> </v>
      </c>
      <c r="X258" s="471" t="str">
        <f ca="1">IF(N(U258)&gt;0,VLOOKUP(U258,Hraci!$A$1:$I$1500,5,0),IF(TYPE(INDIRECT(ADDRESS(ROW() + $A$9-7 + (ROW()-11)*4,3,1,1,"Internet")))&gt;1,INDIRECT(ADDRESS(ROW() + $A$9-7 + (ROW()-11)*4,3,1,1,"Internet"))," "))</f>
        <v xml:space="preserve"> </v>
      </c>
      <c r="Y258" s="472">
        <f ca="1">IF(N(U258)=0,9999,VLOOKUP(U258,Hraci!$A$1:$I$1500,8,0))</f>
        <v>9999</v>
      </c>
      <c r="Z258" s="473">
        <f ca="1">IF(N(U258)=0,0,VLOOKUP(U258,Hraci!$A$1:$I$1500,9,0))</f>
        <v>0</v>
      </c>
      <c r="AA258" s="469" t="str">
        <f t="shared" ca="1" si="90"/>
        <v/>
      </c>
      <c r="AB258" s="470" t="str">
        <f ca="1">IF(N(AA258)&gt;0,VLOOKUP(AA258,Hraci!$A$1:$I$1500,2,0)," ")</f>
        <v xml:space="preserve"> </v>
      </c>
      <c r="AC258" s="471" t="str">
        <f ca="1">IF(N(AA258)&gt;0,VLOOKUP(AA258,Hraci!$A$1:$I$1500,3,0)," ")</f>
        <v xml:space="preserve"> </v>
      </c>
      <c r="AD258" s="471" t="str">
        <f ca="1">IF(N(AA258)&gt;0,VLOOKUP(AA258,Hraci!$A$1:$I$1500,5,0)," ")</f>
        <v xml:space="preserve"> </v>
      </c>
      <c r="AE258" s="472">
        <f ca="1">IF(N(AA258)=0,9999,VLOOKUP(AA258,Hraci!$A$1:$I$1500,8,0))</f>
        <v>9999</v>
      </c>
      <c r="AF258" s="473">
        <f ca="1">IF(N(AA258)=0,0,VLOOKUP(AA258,Hraci!$A$1:$I$1500,9,0))</f>
        <v>0</v>
      </c>
      <c r="AG258" s="474"/>
      <c r="AH258" s="480">
        <f ca="1">IF(TYPE(VLOOKUP(H258,Nasazení!$A$3:$E$258,5,0))&lt;4,VLOOKUP(H258,Nasazení!$A$3:$E$258,5,0),0)</f>
        <v>0</v>
      </c>
      <c r="AI258" s="475" t="str">
        <f ca="1">IF(N($AH258)&gt;0,VLOOKUP($AH258,Body!$A$4:$F$259,5,0),"")</f>
        <v/>
      </c>
      <c r="AJ258" s="476" t="str">
        <f ca="1">IF(N($AH258)&gt;0,VLOOKUP($AH258,Body!$A$4:$F$259,6,0),"")</f>
        <v/>
      </c>
      <c r="AK258" s="475" t="str">
        <f ca="1">IF(N($AH258)&gt;0,VLOOKUP($AH258,Body!$A$4:$F$259,2,0),"")</f>
        <v/>
      </c>
      <c r="AL258" s="477" t="str">
        <f t="shared" ca="1" si="78"/>
        <v/>
      </c>
      <c r="AM258" s="478">
        <f t="shared" ca="1" si="79"/>
        <v>0</v>
      </c>
      <c r="AN258" s="408">
        <f ca="1">IF(OR(TYPE(I258)&gt;1,TYPE(MATCH(I258,I259:I$267,0))&gt;1),0,MATCH(I258,I259:I$267,0))+IF(OR(TYPE(I258)&gt;1,TYPE(MATCH(I258,O$11:O$267,0))&gt;1),0,MATCH(I258,O$11:O$267,0))+IF(OR(TYPE(I258)&gt;1,TYPE(MATCH(I258,U$11:U$267,0))&gt;1),0,MATCH(I258,U$11:U$267,0))+IF(OR(TYPE(I258)&gt;1,TYPE(MATCH(I258,AA$11:AA$267,0))&gt;1),0,MATCH(I258,AA$11:AA$267,0))</f>
        <v>0</v>
      </c>
      <c r="AO258" s="408">
        <f ca="1">IF(OR(TYPE(O258)&gt;1,TYPE(MATCH(O258,I$11:I$267,0))&gt;1),0,MATCH(O258,I$11:I$267,0))+IF(OR(TYPE(O258)&gt;1,TYPE(MATCH(O258,O259:O$267,0))&gt;1),0,MATCH(O258,O259:O$267,0))+IF(OR(TYPE(O258)&gt;1,TYPE(MATCH(O258,U$11:U$267,0))&gt;1),0,MATCH(O258,U$11:U$267,0))+IF(OR(TYPE(O258)&gt;1,TYPE(MATCH(O258,AA$11:AA$267,0))&gt;1),0,MATCH(O258,AA$11:AA$267,0))</f>
        <v>0</v>
      </c>
      <c r="AP258" s="408">
        <f ca="1">IF(OR(TYPE(U258)&gt;1,TYPE(MATCH(U258,I$11:I$267,0))&gt;1),0,MATCH(U258,I$11:I$267,0))+IF(OR(TYPE(U258)&gt;1,TYPE(MATCH(U258,O$11:O$267,0))&gt;1),0,MATCH(U258,O$11:O$267,0))+IF(OR(TYPE(U258)&gt;1,TYPE(MATCH(U258,U259:U$267,0))&gt;1),0,MATCH(U258,U259:U$267,0))+IF(OR(TYPE(U258)&gt;1,TYPE(MATCH(U258,AA$11:AA$267,0))&gt;1),0,MATCH(U258,AA$11:AA$267,0))</f>
        <v>0</v>
      </c>
      <c r="AQ258" s="408">
        <f ca="1">IF(OR(TYPE(AA258)&gt;1,TYPE(MATCH(AA258,I$11:I$267,0))&gt;1),0,MATCH(AA258,I$11:I$267,0))+IF(OR(TYPE(AA258)&gt;1,TYPE(MATCH(AA258,O$11:O$267,0))&gt;1),0,MATCH(AA258,O$11:O$267,0))+IF(OR(TYPE(AA258)&gt;1,TYPE(MATCH(AA258,U$11:U$267,0))&gt;1),0,MATCH(U258,U$11:U$267,0))+IF(OR(TYPE(AA258)&gt;1,TYPE(MATCH(AA258,AA259:AA$267,0))&gt;1),0,MATCH(AA258,AA259:AA$267,0))</f>
        <v>0</v>
      </c>
      <c r="AR258" s="408">
        <f t="shared" ca="1" si="91"/>
        <v>0</v>
      </c>
      <c r="BF258" s="408">
        <f t="shared" si="92"/>
        <v>248</v>
      </c>
    </row>
    <row r="259" spans="1:58" ht="14.25">
      <c r="A259" s="430">
        <f t="shared" ca="1" si="81"/>
        <v>0</v>
      </c>
      <c r="B259" s="430">
        <f t="shared" ca="1" si="82"/>
        <v>0</v>
      </c>
      <c r="C259" s="430">
        <f t="shared" ca="1" si="83"/>
        <v>0</v>
      </c>
      <c r="D259" s="430">
        <f t="shared" ca="1" si="84"/>
        <v>99999</v>
      </c>
      <c r="E259" s="430">
        <f t="shared" ca="1" si="85"/>
        <v>9999</v>
      </c>
      <c r="F259" s="431" t="str">
        <f t="shared" ca="1" si="80"/>
        <v>00000000000000000000416396</v>
      </c>
      <c r="G259" s="467" t="b">
        <f t="shared" ca="1" si="86"/>
        <v>1</v>
      </c>
      <c r="H259" s="468">
        <f t="shared" si="77"/>
        <v>249</v>
      </c>
      <c r="I259" s="469" t="str">
        <f t="shared" ca="1" si="87"/>
        <v/>
      </c>
      <c r="J259" s="470" t="str">
        <f ca="1">IF(N(I259)&gt;0,VLOOKUP(I259,Hraci!$A$1:$I$1500,2,0),IF(TYPE(INDIRECT(ADDRESS(ROW() + $A$9-9 + (ROW()-11)*4,2,1,1,"Internet")))&gt;1,INDIRECT(ADDRESS(ROW() + $A$9-9 + (ROW()-11)*4,2,1,1,"Internet"))," "))</f>
        <v xml:space="preserve"> </v>
      </c>
      <c r="K259" s="471" t="str">
        <f ca="1">IF(N(I259)&gt;0,VLOOKUP(I259,Hraci!$A$1:$I$1500,3,0)," ")</f>
        <v xml:space="preserve"> </v>
      </c>
      <c r="L259" s="471" t="str">
        <f ca="1">IF(N(I259)&gt;0,VLOOKUP(I259,Hraci!$A$1:$I$1500,5,0),IF(TYPE(INDIRECT(ADDRESS(ROW() + $A$9-9 + (ROW()-11)*4,3,1,1,"Internet")))&gt;1,INDIRECT(ADDRESS(ROW() + $A$9-9 + (ROW()-11)*4,3,1,1,"Internet"))," "))</f>
        <v xml:space="preserve"> </v>
      </c>
      <c r="M259" s="472">
        <f ca="1">IF(N(I259)=0,9999,VLOOKUP(I259,Hraci!$A$1:$I$1500,8,0))</f>
        <v>9999</v>
      </c>
      <c r="N259" s="473">
        <f ca="1">IF(N(I259)=0,0,VLOOKUP(I259,Hraci!$A$1:$I$1500,9,0))</f>
        <v>0</v>
      </c>
      <c r="O259" s="469" t="str">
        <f t="shared" ca="1" si="88"/>
        <v/>
      </c>
      <c r="P259" s="470" t="str">
        <f ca="1">IF(N(O259)&gt;0,VLOOKUP(O259,Hraci!$A$1:$I$1500,2,0),IF(TYPE(INDIRECT(ADDRESS(ROW() + $A$9-8 + (ROW()-11)*4,2,1,1,"Internet")))&gt;1,INDIRECT(ADDRESS(ROW() + $A$9-8 + (ROW()-11)*4,2,1,1,"Internet"))," "))</f>
        <v xml:space="preserve"> </v>
      </c>
      <c r="Q259" s="471" t="str">
        <f ca="1">IF(N(O259)&gt;0,VLOOKUP(O259,Hraci!$A$1:$I$1500,3,0)," ")</f>
        <v xml:space="preserve"> </v>
      </c>
      <c r="R259" s="471" t="str">
        <f ca="1">IF(N(O259)&gt;0,VLOOKUP(O259,Hraci!$A$1:$I$1500,5,0),IF(TYPE(INDIRECT(ADDRESS(ROW() + $A$9-8 + (ROW()-11)*4,3,1,1,"Internet")))&gt;1,INDIRECT(ADDRESS(ROW() + $A$9-8 + (ROW()-11)*4,3,1,1,"Internet"))," "))</f>
        <v xml:space="preserve"> </v>
      </c>
      <c r="S259" s="472">
        <f ca="1">IF(N(O259)=0,9999,VLOOKUP(O259,Hraci!$A$1:$I$1500,8,0))</f>
        <v>9999</v>
      </c>
      <c r="T259" s="473">
        <f ca="1">IF(N(O259)=0,0,VLOOKUP(O259,Hraci!$A$1:$I$1500,9,0))</f>
        <v>0</v>
      </c>
      <c r="U259" s="469" t="str">
        <f t="shared" ca="1" si="89"/>
        <v/>
      </c>
      <c r="V259" s="470" t="str">
        <f ca="1">IF(N(U259)&gt;0,VLOOKUP(U259,Hraci!$A$1:$I$1500,2,0),IF(TYPE(INDIRECT(ADDRESS(ROW() + $A$9-7 + (ROW()-11)*4,2,1,1,"Internet")))&gt;1,INDIRECT(ADDRESS(ROW() + $A$9-7 + (ROW()-11)*4,2,1,1,"Internet"))," "))</f>
        <v xml:space="preserve"> </v>
      </c>
      <c r="W259" s="471" t="str">
        <f ca="1">IF(N(U259)&gt;0,VLOOKUP(U259,Hraci!$A$1:$I$1500,3,0)," ")</f>
        <v xml:space="preserve"> </v>
      </c>
      <c r="X259" s="471" t="str">
        <f ca="1">IF(N(U259)&gt;0,VLOOKUP(U259,Hraci!$A$1:$I$1500,5,0),IF(TYPE(INDIRECT(ADDRESS(ROW() + $A$9-7 + (ROW()-11)*4,3,1,1,"Internet")))&gt;1,INDIRECT(ADDRESS(ROW() + $A$9-7 + (ROW()-11)*4,3,1,1,"Internet"))," "))</f>
        <v xml:space="preserve"> </v>
      </c>
      <c r="Y259" s="472">
        <f ca="1">IF(N(U259)=0,9999,VLOOKUP(U259,Hraci!$A$1:$I$1500,8,0))</f>
        <v>9999</v>
      </c>
      <c r="Z259" s="473">
        <f ca="1">IF(N(U259)=0,0,VLOOKUP(U259,Hraci!$A$1:$I$1500,9,0))</f>
        <v>0</v>
      </c>
      <c r="AA259" s="469" t="str">
        <f t="shared" ca="1" si="90"/>
        <v/>
      </c>
      <c r="AB259" s="470" t="str">
        <f ca="1">IF(N(AA259)&gt;0,VLOOKUP(AA259,Hraci!$A$1:$I$1500,2,0)," ")</f>
        <v xml:space="preserve"> </v>
      </c>
      <c r="AC259" s="471" t="str">
        <f ca="1">IF(N(AA259)&gt;0,VLOOKUP(AA259,Hraci!$A$1:$I$1500,3,0)," ")</f>
        <v xml:space="preserve"> </v>
      </c>
      <c r="AD259" s="471" t="str">
        <f ca="1">IF(N(AA259)&gt;0,VLOOKUP(AA259,Hraci!$A$1:$I$1500,5,0)," ")</f>
        <v xml:space="preserve"> </v>
      </c>
      <c r="AE259" s="472">
        <f ca="1">IF(N(AA259)=0,9999,VLOOKUP(AA259,Hraci!$A$1:$I$1500,8,0))</f>
        <v>9999</v>
      </c>
      <c r="AF259" s="473">
        <f ca="1">IF(N(AA259)=0,0,VLOOKUP(AA259,Hraci!$A$1:$I$1500,9,0))</f>
        <v>0</v>
      </c>
      <c r="AG259" s="474"/>
      <c r="AH259" s="480">
        <f ca="1">IF(TYPE(VLOOKUP(H259,Nasazení!$A$3:$E$258,5,0))&lt;4,VLOOKUP(H259,Nasazení!$A$3:$E$258,5,0),0)</f>
        <v>0</v>
      </c>
      <c r="AI259" s="475" t="str">
        <f ca="1">IF(N($AH259)&gt;0,VLOOKUP($AH259,Body!$A$4:$F$259,5,0),"")</f>
        <v/>
      </c>
      <c r="AJ259" s="476" t="str">
        <f ca="1">IF(N($AH259)&gt;0,VLOOKUP($AH259,Body!$A$4:$F$259,6,0),"")</f>
        <v/>
      </c>
      <c r="AK259" s="475" t="str">
        <f ca="1">IF(N($AH259)&gt;0,VLOOKUP($AH259,Body!$A$4:$F$259,2,0),"")</f>
        <v/>
      </c>
      <c r="AL259" s="477" t="str">
        <f t="shared" ca="1" si="78"/>
        <v/>
      </c>
      <c r="AM259" s="478">
        <f t="shared" ca="1" si="79"/>
        <v>0</v>
      </c>
      <c r="AN259" s="408">
        <f ca="1">IF(OR(TYPE(I259)&gt;1,TYPE(MATCH(I259,I260:I$267,0))&gt;1),0,MATCH(I259,I260:I$267,0))+IF(OR(TYPE(I259)&gt;1,TYPE(MATCH(I259,O$11:O$267,0))&gt;1),0,MATCH(I259,O$11:O$267,0))+IF(OR(TYPE(I259)&gt;1,TYPE(MATCH(I259,U$11:U$267,0))&gt;1),0,MATCH(I259,U$11:U$267,0))+IF(OR(TYPE(I259)&gt;1,TYPE(MATCH(I259,AA$11:AA$267,0))&gt;1),0,MATCH(I259,AA$11:AA$267,0))</f>
        <v>0</v>
      </c>
      <c r="AO259" s="408">
        <f ca="1">IF(OR(TYPE(O259)&gt;1,TYPE(MATCH(O259,I$11:I$267,0))&gt;1),0,MATCH(O259,I$11:I$267,0))+IF(OR(TYPE(O259)&gt;1,TYPE(MATCH(O259,O260:O$267,0))&gt;1),0,MATCH(O259,O260:O$267,0))+IF(OR(TYPE(O259)&gt;1,TYPE(MATCH(O259,U$11:U$267,0))&gt;1),0,MATCH(O259,U$11:U$267,0))+IF(OR(TYPE(O259)&gt;1,TYPE(MATCH(O259,AA$11:AA$267,0))&gt;1),0,MATCH(O259,AA$11:AA$267,0))</f>
        <v>0</v>
      </c>
      <c r="AP259" s="408">
        <f ca="1">IF(OR(TYPE(U259)&gt;1,TYPE(MATCH(U259,I$11:I$267,0))&gt;1),0,MATCH(U259,I$11:I$267,0))+IF(OR(TYPE(U259)&gt;1,TYPE(MATCH(U259,O$11:O$267,0))&gt;1),0,MATCH(U259,O$11:O$267,0))+IF(OR(TYPE(U259)&gt;1,TYPE(MATCH(U259,U260:U$267,0))&gt;1),0,MATCH(U259,U260:U$267,0))+IF(OR(TYPE(U259)&gt;1,TYPE(MATCH(U259,AA$11:AA$267,0))&gt;1),0,MATCH(U259,AA$11:AA$267,0))</f>
        <v>0</v>
      </c>
      <c r="AQ259" s="408">
        <f ca="1">IF(OR(TYPE(AA259)&gt;1,TYPE(MATCH(AA259,I$11:I$267,0))&gt;1),0,MATCH(AA259,I$11:I$267,0))+IF(OR(TYPE(AA259)&gt;1,TYPE(MATCH(AA259,O$11:O$267,0))&gt;1),0,MATCH(AA259,O$11:O$267,0))+IF(OR(TYPE(AA259)&gt;1,TYPE(MATCH(AA259,U$11:U$267,0))&gt;1),0,MATCH(U259,U$11:U$267,0))+IF(OR(TYPE(AA259)&gt;1,TYPE(MATCH(AA259,AA260:AA$267,0))&gt;1),0,MATCH(AA259,AA260:AA$267,0))</f>
        <v>0</v>
      </c>
      <c r="AR259" s="408">
        <f t="shared" ca="1" si="91"/>
        <v>0</v>
      </c>
      <c r="BF259" s="408">
        <f t="shared" si="92"/>
        <v>249</v>
      </c>
    </row>
    <row r="260" spans="1:58" ht="14.25">
      <c r="A260" s="430">
        <f t="shared" ca="1" si="81"/>
        <v>0</v>
      </c>
      <c r="B260" s="430">
        <f t="shared" ca="1" si="82"/>
        <v>0</v>
      </c>
      <c r="C260" s="430">
        <f t="shared" ca="1" si="83"/>
        <v>0</v>
      </c>
      <c r="D260" s="430">
        <f t="shared" ca="1" si="84"/>
        <v>99999</v>
      </c>
      <c r="E260" s="430">
        <f t="shared" ca="1" si="85"/>
        <v>9999</v>
      </c>
      <c r="F260" s="431" t="str">
        <f t="shared" ca="1" si="80"/>
        <v>00000000000000000000269512</v>
      </c>
      <c r="G260" s="467" t="b">
        <f t="shared" ca="1" si="86"/>
        <v>1</v>
      </c>
      <c r="H260" s="468">
        <f t="shared" si="77"/>
        <v>250</v>
      </c>
      <c r="I260" s="469" t="str">
        <f t="shared" ca="1" si="87"/>
        <v/>
      </c>
      <c r="J260" s="470" t="str">
        <f ca="1">IF(N(I260)&gt;0,VLOOKUP(I260,Hraci!$A$1:$I$1500,2,0),IF(TYPE(INDIRECT(ADDRESS(ROW() + $A$9-9 + (ROW()-11)*4,2,1,1,"Internet")))&gt;1,INDIRECT(ADDRESS(ROW() + $A$9-9 + (ROW()-11)*4,2,1,1,"Internet"))," "))</f>
        <v xml:space="preserve"> </v>
      </c>
      <c r="K260" s="471" t="str">
        <f ca="1">IF(N(I260)&gt;0,VLOOKUP(I260,Hraci!$A$1:$I$1500,3,0)," ")</f>
        <v xml:space="preserve"> </v>
      </c>
      <c r="L260" s="471" t="str">
        <f ca="1">IF(N(I260)&gt;0,VLOOKUP(I260,Hraci!$A$1:$I$1500,5,0),IF(TYPE(INDIRECT(ADDRESS(ROW() + $A$9-9 + (ROW()-11)*4,3,1,1,"Internet")))&gt;1,INDIRECT(ADDRESS(ROW() + $A$9-9 + (ROW()-11)*4,3,1,1,"Internet"))," "))</f>
        <v xml:space="preserve"> </v>
      </c>
      <c r="M260" s="472">
        <f ca="1">IF(N(I260)=0,9999,VLOOKUP(I260,Hraci!$A$1:$I$1500,8,0))</f>
        <v>9999</v>
      </c>
      <c r="N260" s="473">
        <f ca="1">IF(N(I260)=0,0,VLOOKUP(I260,Hraci!$A$1:$I$1500,9,0))</f>
        <v>0</v>
      </c>
      <c r="O260" s="469" t="str">
        <f t="shared" ca="1" si="88"/>
        <v/>
      </c>
      <c r="P260" s="470" t="str">
        <f ca="1">IF(N(O260)&gt;0,VLOOKUP(O260,Hraci!$A$1:$I$1500,2,0),IF(TYPE(INDIRECT(ADDRESS(ROW() + $A$9-8 + (ROW()-11)*4,2,1,1,"Internet")))&gt;1,INDIRECT(ADDRESS(ROW() + $A$9-8 + (ROW()-11)*4,2,1,1,"Internet"))," "))</f>
        <v xml:space="preserve"> </v>
      </c>
      <c r="Q260" s="471" t="str">
        <f ca="1">IF(N(O260)&gt;0,VLOOKUP(O260,Hraci!$A$1:$I$1500,3,0)," ")</f>
        <v xml:space="preserve"> </v>
      </c>
      <c r="R260" s="471" t="str">
        <f ca="1">IF(N(O260)&gt;0,VLOOKUP(O260,Hraci!$A$1:$I$1500,5,0),IF(TYPE(INDIRECT(ADDRESS(ROW() + $A$9-8 + (ROW()-11)*4,3,1,1,"Internet")))&gt;1,INDIRECT(ADDRESS(ROW() + $A$9-8 + (ROW()-11)*4,3,1,1,"Internet"))," "))</f>
        <v xml:space="preserve"> </v>
      </c>
      <c r="S260" s="472">
        <f ca="1">IF(N(O260)=0,9999,VLOOKUP(O260,Hraci!$A$1:$I$1500,8,0))</f>
        <v>9999</v>
      </c>
      <c r="T260" s="473">
        <f ca="1">IF(N(O260)=0,0,VLOOKUP(O260,Hraci!$A$1:$I$1500,9,0))</f>
        <v>0</v>
      </c>
      <c r="U260" s="469" t="str">
        <f t="shared" ca="1" si="89"/>
        <v/>
      </c>
      <c r="V260" s="470" t="str">
        <f ca="1">IF(N(U260)&gt;0,VLOOKUP(U260,Hraci!$A$1:$I$1500,2,0),IF(TYPE(INDIRECT(ADDRESS(ROW() + $A$9-7 + (ROW()-11)*4,2,1,1,"Internet")))&gt;1,INDIRECT(ADDRESS(ROW() + $A$9-7 + (ROW()-11)*4,2,1,1,"Internet"))," "))</f>
        <v xml:space="preserve"> </v>
      </c>
      <c r="W260" s="471" t="str">
        <f ca="1">IF(N(U260)&gt;0,VLOOKUP(U260,Hraci!$A$1:$I$1500,3,0)," ")</f>
        <v xml:space="preserve"> </v>
      </c>
      <c r="X260" s="471" t="str">
        <f ca="1">IF(N(U260)&gt;0,VLOOKUP(U260,Hraci!$A$1:$I$1500,5,0),IF(TYPE(INDIRECT(ADDRESS(ROW() + $A$9-7 + (ROW()-11)*4,3,1,1,"Internet")))&gt;1,INDIRECT(ADDRESS(ROW() + $A$9-7 + (ROW()-11)*4,3,1,1,"Internet"))," "))</f>
        <v xml:space="preserve"> </v>
      </c>
      <c r="Y260" s="472">
        <f ca="1">IF(N(U260)=0,9999,VLOOKUP(U260,Hraci!$A$1:$I$1500,8,0))</f>
        <v>9999</v>
      </c>
      <c r="Z260" s="473">
        <f ca="1">IF(N(U260)=0,0,VLOOKUP(U260,Hraci!$A$1:$I$1500,9,0))</f>
        <v>0</v>
      </c>
      <c r="AA260" s="469" t="str">
        <f t="shared" ca="1" si="90"/>
        <v/>
      </c>
      <c r="AB260" s="470" t="str">
        <f ca="1">IF(N(AA260)&gt;0,VLOOKUP(AA260,Hraci!$A$1:$I$1500,2,0)," ")</f>
        <v xml:space="preserve"> </v>
      </c>
      <c r="AC260" s="471" t="str">
        <f ca="1">IF(N(AA260)&gt;0,VLOOKUP(AA260,Hraci!$A$1:$I$1500,3,0)," ")</f>
        <v xml:space="preserve"> </v>
      </c>
      <c r="AD260" s="471" t="str">
        <f ca="1">IF(N(AA260)&gt;0,VLOOKUP(AA260,Hraci!$A$1:$I$1500,5,0)," ")</f>
        <v xml:space="preserve"> </v>
      </c>
      <c r="AE260" s="472">
        <f ca="1">IF(N(AA260)=0,9999,VLOOKUP(AA260,Hraci!$A$1:$I$1500,8,0))</f>
        <v>9999</v>
      </c>
      <c r="AF260" s="473">
        <f ca="1">IF(N(AA260)=0,0,VLOOKUP(AA260,Hraci!$A$1:$I$1500,9,0))</f>
        <v>0</v>
      </c>
      <c r="AG260" s="474"/>
      <c r="AH260" s="480">
        <f ca="1">IF(TYPE(VLOOKUP(H260,Nasazení!$A$3:$E$258,5,0))&lt;4,VLOOKUP(H260,Nasazení!$A$3:$E$258,5,0),0)</f>
        <v>0</v>
      </c>
      <c r="AI260" s="475" t="str">
        <f ca="1">IF(N($AH260)&gt;0,VLOOKUP($AH260,Body!$A$4:$F$259,5,0),"")</f>
        <v/>
      </c>
      <c r="AJ260" s="476" t="str">
        <f ca="1">IF(N($AH260)&gt;0,VLOOKUP($AH260,Body!$A$4:$F$259,6,0),"")</f>
        <v/>
      </c>
      <c r="AK260" s="475" t="str">
        <f ca="1">IF(N($AH260)&gt;0,VLOOKUP($AH260,Body!$A$4:$F$259,2,0),"")</f>
        <v/>
      </c>
      <c r="AL260" s="477" t="str">
        <f t="shared" ca="1" si="78"/>
        <v/>
      </c>
      <c r="AM260" s="478">
        <f t="shared" ca="1" si="79"/>
        <v>0</v>
      </c>
      <c r="AN260" s="408">
        <f ca="1">IF(OR(TYPE(I260)&gt;1,TYPE(MATCH(I260,I261:I$267,0))&gt;1),0,MATCH(I260,I261:I$267,0))+IF(OR(TYPE(I260)&gt;1,TYPE(MATCH(I260,O$11:O$267,0))&gt;1),0,MATCH(I260,O$11:O$267,0))+IF(OR(TYPE(I260)&gt;1,TYPE(MATCH(I260,U$11:U$267,0))&gt;1),0,MATCH(I260,U$11:U$267,0))+IF(OR(TYPE(I260)&gt;1,TYPE(MATCH(I260,AA$11:AA$267,0))&gt;1),0,MATCH(I260,AA$11:AA$267,0))</f>
        <v>0</v>
      </c>
      <c r="AO260" s="408">
        <f ca="1">IF(OR(TYPE(O260)&gt;1,TYPE(MATCH(O260,I$11:I$267,0))&gt;1),0,MATCH(O260,I$11:I$267,0))+IF(OR(TYPE(O260)&gt;1,TYPE(MATCH(O260,O261:O$267,0))&gt;1),0,MATCH(O260,O261:O$267,0))+IF(OR(TYPE(O260)&gt;1,TYPE(MATCH(O260,U$11:U$267,0))&gt;1),0,MATCH(O260,U$11:U$267,0))+IF(OR(TYPE(O260)&gt;1,TYPE(MATCH(O260,AA$11:AA$267,0))&gt;1),0,MATCH(O260,AA$11:AA$267,0))</f>
        <v>0</v>
      </c>
      <c r="AP260" s="408">
        <f ca="1">IF(OR(TYPE(U260)&gt;1,TYPE(MATCH(U260,I$11:I$267,0))&gt;1),0,MATCH(U260,I$11:I$267,0))+IF(OR(TYPE(U260)&gt;1,TYPE(MATCH(U260,O$11:O$267,0))&gt;1),0,MATCH(U260,O$11:O$267,0))+IF(OR(TYPE(U260)&gt;1,TYPE(MATCH(U260,U261:U$267,0))&gt;1),0,MATCH(U260,U261:U$267,0))+IF(OR(TYPE(U260)&gt;1,TYPE(MATCH(U260,AA$11:AA$267,0))&gt;1),0,MATCH(U260,AA$11:AA$267,0))</f>
        <v>0</v>
      </c>
      <c r="AQ260" s="408">
        <f ca="1">IF(OR(TYPE(AA260)&gt;1,TYPE(MATCH(AA260,I$11:I$267,0))&gt;1),0,MATCH(AA260,I$11:I$267,0))+IF(OR(TYPE(AA260)&gt;1,TYPE(MATCH(AA260,O$11:O$267,0))&gt;1),0,MATCH(AA260,O$11:O$267,0))+IF(OR(TYPE(AA260)&gt;1,TYPE(MATCH(AA260,U$11:U$267,0))&gt;1),0,MATCH(U260,U$11:U$267,0))+IF(OR(TYPE(AA260)&gt;1,TYPE(MATCH(AA260,AA261:AA$267,0))&gt;1),0,MATCH(AA260,AA261:AA$267,0))</f>
        <v>0</v>
      </c>
      <c r="AR260" s="408">
        <f t="shared" ca="1" si="91"/>
        <v>0</v>
      </c>
      <c r="BF260" s="408">
        <f t="shared" si="92"/>
        <v>250</v>
      </c>
    </row>
    <row r="261" spans="1:58" ht="14.25">
      <c r="A261" s="430">
        <f t="shared" ca="1" si="81"/>
        <v>0</v>
      </c>
      <c r="B261" s="430">
        <f t="shared" ca="1" si="82"/>
        <v>0</v>
      </c>
      <c r="C261" s="430">
        <f t="shared" ca="1" si="83"/>
        <v>0</v>
      </c>
      <c r="D261" s="430">
        <f t="shared" ca="1" si="84"/>
        <v>99999</v>
      </c>
      <c r="E261" s="430">
        <f t="shared" ca="1" si="85"/>
        <v>9999</v>
      </c>
      <c r="F261" s="431" t="str">
        <f t="shared" ca="1" si="80"/>
        <v>00000000000000000000366159</v>
      </c>
      <c r="G261" s="467" t="b">
        <f t="shared" ca="1" si="86"/>
        <v>1</v>
      </c>
      <c r="H261" s="468">
        <f t="shared" si="77"/>
        <v>251</v>
      </c>
      <c r="I261" s="469" t="str">
        <f t="shared" ca="1" si="87"/>
        <v/>
      </c>
      <c r="J261" s="470" t="str">
        <f ca="1">IF(N(I261)&gt;0,VLOOKUP(I261,Hraci!$A$1:$I$1500,2,0),IF(TYPE(INDIRECT(ADDRESS(ROW() + $A$9-9 + (ROW()-11)*4,2,1,1,"Internet")))&gt;1,INDIRECT(ADDRESS(ROW() + $A$9-9 + (ROW()-11)*4,2,1,1,"Internet"))," "))</f>
        <v xml:space="preserve"> </v>
      </c>
      <c r="K261" s="471" t="str">
        <f ca="1">IF(N(I261)&gt;0,VLOOKUP(I261,Hraci!$A$1:$I$1500,3,0)," ")</f>
        <v xml:space="preserve"> </v>
      </c>
      <c r="L261" s="471" t="str">
        <f ca="1">IF(N(I261)&gt;0,VLOOKUP(I261,Hraci!$A$1:$I$1500,5,0),IF(TYPE(INDIRECT(ADDRESS(ROW() + $A$9-9 + (ROW()-11)*4,3,1,1,"Internet")))&gt;1,INDIRECT(ADDRESS(ROW() + $A$9-9 + (ROW()-11)*4,3,1,1,"Internet"))," "))</f>
        <v xml:space="preserve"> </v>
      </c>
      <c r="M261" s="472">
        <f ca="1">IF(N(I261)=0,9999,VLOOKUP(I261,Hraci!$A$1:$I$1500,8,0))</f>
        <v>9999</v>
      </c>
      <c r="N261" s="473">
        <f ca="1">IF(N(I261)=0,0,VLOOKUP(I261,Hraci!$A$1:$I$1500,9,0))</f>
        <v>0</v>
      </c>
      <c r="O261" s="469" t="str">
        <f t="shared" ca="1" si="88"/>
        <v/>
      </c>
      <c r="P261" s="470" t="str">
        <f ca="1">IF(N(O261)&gt;0,VLOOKUP(O261,Hraci!$A$1:$I$1500,2,0),IF(TYPE(INDIRECT(ADDRESS(ROW() + $A$9-8 + (ROW()-11)*4,2,1,1,"Internet")))&gt;1,INDIRECT(ADDRESS(ROW() + $A$9-8 + (ROW()-11)*4,2,1,1,"Internet"))," "))</f>
        <v xml:space="preserve"> </v>
      </c>
      <c r="Q261" s="471" t="str">
        <f ca="1">IF(N(O261)&gt;0,VLOOKUP(O261,Hraci!$A$1:$I$1500,3,0)," ")</f>
        <v xml:space="preserve"> </v>
      </c>
      <c r="R261" s="471" t="str">
        <f ca="1">IF(N(O261)&gt;0,VLOOKUP(O261,Hraci!$A$1:$I$1500,5,0),IF(TYPE(INDIRECT(ADDRESS(ROW() + $A$9-8 + (ROW()-11)*4,3,1,1,"Internet")))&gt;1,INDIRECT(ADDRESS(ROW() + $A$9-8 + (ROW()-11)*4,3,1,1,"Internet"))," "))</f>
        <v xml:space="preserve"> </v>
      </c>
      <c r="S261" s="472">
        <f ca="1">IF(N(O261)=0,9999,VLOOKUP(O261,Hraci!$A$1:$I$1500,8,0))</f>
        <v>9999</v>
      </c>
      <c r="T261" s="473">
        <f ca="1">IF(N(O261)=0,0,VLOOKUP(O261,Hraci!$A$1:$I$1500,9,0))</f>
        <v>0</v>
      </c>
      <c r="U261" s="469" t="str">
        <f t="shared" ca="1" si="89"/>
        <v/>
      </c>
      <c r="V261" s="470" t="str">
        <f ca="1">IF(N(U261)&gt;0,VLOOKUP(U261,Hraci!$A$1:$I$1500,2,0),IF(TYPE(INDIRECT(ADDRESS(ROW() + $A$9-7 + (ROW()-11)*4,2,1,1,"Internet")))&gt;1,INDIRECT(ADDRESS(ROW() + $A$9-7 + (ROW()-11)*4,2,1,1,"Internet"))," "))</f>
        <v xml:space="preserve"> </v>
      </c>
      <c r="W261" s="471" t="str">
        <f ca="1">IF(N(U261)&gt;0,VLOOKUP(U261,Hraci!$A$1:$I$1500,3,0)," ")</f>
        <v xml:space="preserve"> </v>
      </c>
      <c r="X261" s="471" t="str">
        <f ca="1">IF(N(U261)&gt;0,VLOOKUP(U261,Hraci!$A$1:$I$1500,5,0),IF(TYPE(INDIRECT(ADDRESS(ROW() + $A$9-7 + (ROW()-11)*4,3,1,1,"Internet")))&gt;1,INDIRECT(ADDRESS(ROW() + $A$9-7 + (ROW()-11)*4,3,1,1,"Internet"))," "))</f>
        <v xml:space="preserve"> </v>
      </c>
      <c r="Y261" s="472">
        <f ca="1">IF(N(U261)=0,9999,VLOOKUP(U261,Hraci!$A$1:$I$1500,8,0))</f>
        <v>9999</v>
      </c>
      <c r="Z261" s="473">
        <f ca="1">IF(N(U261)=0,0,VLOOKUP(U261,Hraci!$A$1:$I$1500,9,0))</f>
        <v>0</v>
      </c>
      <c r="AA261" s="469" t="str">
        <f t="shared" ca="1" si="90"/>
        <v/>
      </c>
      <c r="AB261" s="470" t="str">
        <f ca="1">IF(N(AA261)&gt;0,VLOOKUP(AA261,Hraci!$A$1:$I$1500,2,0)," ")</f>
        <v xml:space="preserve"> </v>
      </c>
      <c r="AC261" s="471" t="str">
        <f ca="1">IF(N(AA261)&gt;0,VLOOKUP(AA261,Hraci!$A$1:$I$1500,3,0)," ")</f>
        <v xml:space="preserve"> </v>
      </c>
      <c r="AD261" s="471" t="str">
        <f ca="1">IF(N(AA261)&gt;0,VLOOKUP(AA261,Hraci!$A$1:$I$1500,5,0)," ")</f>
        <v xml:space="preserve"> </v>
      </c>
      <c r="AE261" s="472">
        <f ca="1">IF(N(AA261)=0,9999,VLOOKUP(AA261,Hraci!$A$1:$I$1500,8,0))</f>
        <v>9999</v>
      </c>
      <c r="AF261" s="473">
        <f ca="1">IF(N(AA261)=0,0,VLOOKUP(AA261,Hraci!$A$1:$I$1500,9,0))</f>
        <v>0</v>
      </c>
      <c r="AG261" s="474"/>
      <c r="AH261" s="480">
        <f ca="1">IF(TYPE(VLOOKUP(H261,Nasazení!$A$3:$E$258,5,0))&lt;4,VLOOKUP(H261,Nasazení!$A$3:$E$258,5,0),0)</f>
        <v>0</v>
      </c>
      <c r="AI261" s="475" t="str">
        <f ca="1">IF(N($AH261)&gt;0,VLOOKUP($AH261,Body!$A$4:$F$259,5,0),"")</f>
        <v/>
      </c>
      <c r="AJ261" s="476" t="str">
        <f ca="1">IF(N($AH261)&gt;0,VLOOKUP($AH261,Body!$A$4:$F$259,6,0),"")</f>
        <v/>
      </c>
      <c r="AK261" s="475" t="str">
        <f ca="1">IF(N($AH261)&gt;0,VLOOKUP($AH261,Body!$A$4:$F$259,2,0),"")</f>
        <v/>
      </c>
      <c r="AL261" s="477" t="str">
        <f t="shared" ca="1" si="78"/>
        <v/>
      </c>
      <c r="AM261" s="478">
        <f t="shared" ca="1" si="79"/>
        <v>0</v>
      </c>
      <c r="AN261" s="408">
        <f ca="1">IF(OR(TYPE(I261)&gt;1,TYPE(MATCH(I261,I262:I$267,0))&gt;1),0,MATCH(I261,I262:I$267,0))+IF(OR(TYPE(I261)&gt;1,TYPE(MATCH(I261,O$11:O$267,0))&gt;1),0,MATCH(I261,O$11:O$267,0))+IF(OR(TYPE(I261)&gt;1,TYPE(MATCH(I261,U$11:U$267,0))&gt;1),0,MATCH(I261,U$11:U$267,0))+IF(OR(TYPE(I261)&gt;1,TYPE(MATCH(I261,AA$11:AA$267,0))&gt;1),0,MATCH(I261,AA$11:AA$267,0))</f>
        <v>0</v>
      </c>
      <c r="AO261" s="408">
        <f ca="1">IF(OR(TYPE(O261)&gt;1,TYPE(MATCH(O261,I$11:I$267,0))&gt;1),0,MATCH(O261,I$11:I$267,0))+IF(OR(TYPE(O261)&gt;1,TYPE(MATCH(O261,O262:O$267,0))&gt;1),0,MATCH(O261,O262:O$267,0))+IF(OR(TYPE(O261)&gt;1,TYPE(MATCH(O261,U$11:U$267,0))&gt;1),0,MATCH(O261,U$11:U$267,0))+IF(OR(TYPE(O261)&gt;1,TYPE(MATCH(O261,AA$11:AA$267,0))&gt;1),0,MATCH(O261,AA$11:AA$267,0))</f>
        <v>0</v>
      </c>
      <c r="AP261" s="408">
        <f ca="1">IF(OR(TYPE(U261)&gt;1,TYPE(MATCH(U261,I$11:I$267,0))&gt;1),0,MATCH(U261,I$11:I$267,0))+IF(OR(TYPE(U261)&gt;1,TYPE(MATCH(U261,O$11:O$267,0))&gt;1),0,MATCH(U261,O$11:O$267,0))+IF(OR(TYPE(U261)&gt;1,TYPE(MATCH(U261,U262:U$267,0))&gt;1),0,MATCH(U261,U262:U$267,0))+IF(OR(TYPE(U261)&gt;1,TYPE(MATCH(U261,AA$11:AA$267,0))&gt;1),0,MATCH(U261,AA$11:AA$267,0))</f>
        <v>0</v>
      </c>
      <c r="AQ261" s="408">
        <f ca="1">IF(OR(TYPE(AA261)&gt;1,TYPE(MATCH(AA261,I$11:I$267,0))&gt;1),0,MATCH(AA261,I$11:I$267,0))+IF(OR(TYPE(AA261)&gt;1,TYPE(MATCH(AA261,O$11:O$267,0))&gt;1),0,MATCH(AA261,O$11:O$267,0))+IF(OR(TYPE(AA261)&gt;1,TYPE(MATCH(AA261,U$11:U$267,0))&gt;1),0,MATCH(U261,U$11:U$267,0))+IF(OR(TYPE(AA261)&gt;1,TYPE(MATCH(AA261,AA262:AA$267,0))&gt;1),0,MATCH(AA261,AA262:AA$267,0))</f>
        <v>0</v>
      </c>
      <c r="AR261" s="408">
        <f t="shared" ca="1" si="91"/>
        <v>0</v>
      </c>
      <c r="BF261" s="408">
        <f t="shared" si="92"/>
        <v>251</v>
      </c>
    </row>
    <row r="262" spans="1:58" ht="14.25">
      <c r="A262" s="430">
        <f t="shared" ca="1" si="81"/>
        <v>0</v>
      </c>
      <c r="B262" s="430">
        <f t="shared" ca="1" si="82"/>
        <v>0</v>
      </c>
      <c r="C262" s="430">
        <f t="shared" ca="1" si="83"/>
        <v>0</v>
      </c>
      <c r="D262" s="430">
        <f t="shared" ca="1" si="84"/>
        <v>99999</v>
      </c>
      <c r="E262" s="430">
        <f t="shared" ca="1" si="85"/>
        <v>9999</v>
      </c>
      <c r="F262" s="431" t="str">
        <f t="shared" ca="1" si="80"/>
        <v>00000000000000000000974019</v>
      </c>
      <c r="G262" s="467" t="b">
        <f t="shared" ca="1" si="86"/>
        <v>1</v>
      </c>
      <c r="H262" s="468">
        <f t="shared" si="77"/>
        <v>252</v>
      </c>
      <c r="I262" s="469" t="str">
        <f t="shared" ca="1" si="87"/>
        <v/>
      </c>
      <c r="J262" s="470" t="str">
        <f ca="1">IF(N(I262)&gt;0,VLOOKUP(I262,Hraci!$A$1:$I$1500,2,0),IF(TYPE(INDIRECT(ADDRESS(ROW() + $A$9-9 + (ROW()-11)*4,2,1,1,"Internet")))&gt;1,INDIRECT(ADDRESS(ROW() + $A$9-9 + (ROW()-11)*4,2,1,1,"Internet"))," "))</f>
        <v xml:space="preserve"> </v>
      </c>
      <c r="K262" s="471" t="str">
        <f ca="1">IF(N(I262)&gt;0,VLOOKUP(I262,Hraci!$A$1:$I$1500,3,0)," ")</f>
        <v xml:space="preserve"> </v>
      </c>
      <c r="L262" s="471" t="str">
        <f ca="1">IF(N(I262)&gt;0,VLOOKUP(I262,Hraci!$A$1:$I$1500,5,0),IF(TYPE(INDIRECT(ADDRESS(ROW() + $A$9-9 + (ROW()-11)*4,3,1,1,"Internet")))&gt;1,INDIRECT(ADDRESS(ROW() + $A$9-9 + (ROW()-11)*4,3,1,1,"Internet"))," "))</f>
        <v xml:space="preserve"> </v>
      </c>
      <c r="M262" s="472">
        <f ca="1">IF(N(I262)=0,9999,VLOOKUP(I262,Hraci!$A$1:$I$1500,8,0))</f>
        <v>9999</v>
      </c>
      <c r="N262" s="473">
        <f ca="1">IF(N(I262)=0,0,VLOOKUP(I262,Hraci!$A$1:$I$1500,9,0))</f>
        <v>0</v>
      </c>
      <c r="O262" s="469" t="str">
        <f t="shared" ca="1" si="88"/>
        <v/>
      </c>
      <c r="P262" s="470" t="str">
        <f ca="1">IF(N(O262)&gt;0,VLOOKUP(O262,Hraci!$A$1:$I$1500,2,0),IF(TYPE(INDIRECT(ADDRESS(ROW() + $A$9-8 + (ROW()-11)*4,2,1,1,"Internet")))&gt;1,INDIRECT(ADDRESS(ROW() + $A$9-8 + (ROW()-11)*4,2,1,1,"Internet"))," "))</f>
        <v xml:space="preserve"> </v>
      </c>
      <c r="Q262" s="471" t="str">
        <f ca="1">IF(N(O262)&gt;0,VLOOKUP(O262,Hraci!$A$1:$I$1500,3,0)," ")</f>
        <v xml:space="preserve"> </v>
      </c>
      <c r="R262" s="471" t="str">
        <f ca="1">IF(N(O262)&gt;0,VLOOKUP(O262,Hraci!$A$1:$I$1500,5,0),IF(TYPE(INDIRECT(ADDRESS(ROW() + $A$9-8 + (ROW()-11)*4,3,1,1,"Internet")))&gt;1,INDIRECT(ADDRESS(ROW() + $A$9-8 + (ROW()-11)*4,3,1,1,"Internet"))," "))</f>
        <v xml:space="preserve"> </v>
      </c>
      <c r="S262" s="472">
        <f ca="1">IF(N(O262)=0,9999,VLOOKUP(O262,Hraci!$A$1:$I$1500,8,0))</f>
        <v>9999</v>
      </c>
      <c r="T262" s="473">
        <f ca="1">IF(N(O262)=0,0,VLOOKUP(O262,Hraci!$A$1:$I$1500,9,0))</f>
        <v>0</v>
      </c>
      <c r="U262" s="469" t="str">
        <f t="shared" ca="1" si="89"/>
        <v/>
      </c>
      <c r="V262" s="470" t="str">
        <f ca="1">IF(N(U262)&gt;0,VLOOKUP(U262,Hraci!$A$1:$I$1500,2,0),IF(TYPE(INDIRECT(ADDRESS(ROW() + $A$9-7 + (ROW()-11)*4,2,1,1,"Internet")))&gt;1,INDIRECT(ADDRESS(ROW() + $A$9-7 + (ROW()-11)*4,2,1,1,"Internet"))," "))</f>
        <v xml:space="preserve"> </v>
      </c>
      <c r="W262" s="471" t="str">
        <f ca="1">IF(N(U262)&gt;0,VLOOKUP(U262,Hraci!$A$1:$I$1500,3,0)," ")</f>
        <v xml:space="preserve"> </v>
      </c>
      <c r="X262" s="471" t="str">
        <f ca="1">IF(N(U262)&gt;0,VLOOKUP(U262,Hraci!$A$1:$I$1500,5,0),IF(TYPE(INDIRECT(ADDRESS(ROW() + $A$9-7 + (ROW()-11)*4,3,1,1,"Internet")))&gt;1,INDIRECT(ADDRESS(ROW() + $A$9-7 + (ROW()-11)*4,3,1,1,"Internet"))," "))</f>
        <v xml:space="preserve"> </v>
      </c>
      <c r="Y262" s="472">
        <f ca="1">IF(N(U262)=0,9999,VLOOKUP(U262,Hraci!$A$1:$I$1500,8,0))</f>
        <v>9999</v>
      </c>
      <c r="Z262" s="473">
        <f ca="1">IF(N(U262)=0,0,VLOOKUP(U262,Hraci!$A$1:$I$1500,9,0))</f>
        <v>0</v>
      </c>
      <c r="AA262" s="469" t="str">
        <f t="shared" ca="1" si="90"/>
        <v/>
      </c>
      <c r="AB262" s="470" t="str">
        <f ca="1">IF(N(AA262)&gt;0,VLOOKUP(AA262,Hraci!$A$1:$I$1500,2,0)," ")</f>
        <v xml:space="preserve"> </v>
      </c>
      <c r="AC262" s="471" t="str">
        <f ca="1">IF(N(AA262)&gt;0,VLOOKUP(AA262,Hraci!$A$1:$I$1500,3,0)," ")</f>
        <v xml:space="preserve"> </v>
      </c>
      <c r="AD262" s="471" t="str">
        <f ca="1">IF(N(AA262)&gt;0,VLOOKUP(AA262,Hraci!$A$1:$I$1500,5,0)," ")</f>
        <v xml:space="preserve"> </v>
      </c>
      <c r="AE262" s="472">
        <f ca="1">IF(N(AA262)=0,9999,VLOOKUP(AA262,Hraci!$A$1:$I$1500,8,0))</f>
        <v>9999</v>
      </c>
      <c r="AF262" s="473">
        <f ca="1">IF(N(AA262)=0,0,VLOOKUP(AA262,Hraci!$A$1:$I$1500,9,0))</f>
        <v>0</v>
      </c>
      <c r="AG262" s="474"/>
      <c r="AH262" s="480">
        <f ca="1">IF(TYPE(VLOOKUP(H262,Nasazení!$A$3:$E$258,5,0))&lt;4,VLOOKUP(H262,Nasazení!$A$3:$E$258,5,0),0)</f>
        <v>0</v>
      </c>
      <c r="AI262" s="475" t="str">
        <f ca="1">IF(N($AH262)&gt;0,VLOOKUP($AH262,Body!$A$4:$F$259,5,0),"")</f>
        <v/>
      </c>
      <c r="AJ262" s="476" t="str">
        <f ca="1">IF(N($AH262)&gt;0,VLOOKUP($AH262,Body!$A$4:$F$259,6,0),"")</f>
        <v/>
      </c>
      <c r="AK262" s="475" t="str">
        <f ca="1">IF(N($AH262)&gt;0,VLOOKUP($AH262,Body!$A$4:$F$259,2,0),"")</f>
        <v/>
      </c>
      <c r="AL262" s="477" t="str">
        <f t="shared" ca="1" si="78"/>
        <v/>
      </c>
      <c r="AM262" s="478">
        <f t="shared" ca="1" si="79"/>
        <v>0</v>
      </c>
      <c r="AN262" s="408">
        <f ca="1">IF(OR(TYPE(I262)&gt;1,TYPE(MATCH(I262,I263:I$267,0))&gt;1),0,MATCH(I262,I263:I$267,0))+IF(OR(TYPE(I262)&gt;1,TYPE(MATCH(I262,O$11:O$267,0))&gt;1),0,MATCH(I262,O$11:O$267,0))+IF(OR(TYPE(I262)&gt;1,TYPE(MATCH(I262,U$11:U$267,0))&gt;1),0,MATCH(I262,U$11:U$267,0))+IF(OR(TYPE(I262)&gt;1,TYPE(MATCH(I262,AA$11:AA$267,0))&gt;1),0,MATCH(I262,AA$11:AA$267,0))</f>
        <v>0</v>
      </c>
      <c r="AO262" s="408">
        <f ca="1">IF(OR(TYPE(O262)&gt;1,TYPE(MATCH(O262,I$11:I$267,0))&gt;1),0,MATCH(O262,I$11:I$267,0))+IF(OR(TYPE(O262)&gt;1,TYPE(MATCH(O262,O263:O$267,0))&gt;1),0,MATCH(O262,O263:O$267,0))+IF(OR(TYPE(O262)&gt;1,TYPE(MATCH(O262,U$11:U$267,0))&gt;1),0,MATCH(O262,U$11:U$267,0))+IF(OR(TYPE(O262)&gt;1,TYPE(MATCH(O262,AA$11:AA$267,0))&gt;1),0,MATCH(O262,AA$11:AA$267,0))</f>
        <v>0</v>
      </c>
      <c r="AP262" s="408">
        <f ca="1">IF(OR(TYPE(U262)&gt;1,TYPE(MATCH(U262,I$11:I$267,0))&gt;1),0,MATCH(U262,I$11:I$267,0))+IF(OR(TYPE(U262)&gt;1,TYPE(MATCH(U262,O$11:O$267,0))&gt;1),0,MATCH(U262,O$11:O$267,0))+IF(OR(TYPE(U262)&gt;1,TYPE(MATCH(U262,U263:U$267,0))&gt;1),0,MATCH(U262,U263:U$267,0))+IF(OR(TYPE(U262)&gt;1,TYPE(MATCH(U262,AA$11:AA$267,0))&gt;1),0,MATCH(U262,AA$11:AA$267,0))</f>
        <v>0</v>
      </c>
      <c r="AQ262" s="408">
        <f ca="1">IF(OR(TYPE(AA262)&gt;1,TYPE(MATCH(AA262,I$11:I$267,0))&gt;1),0,MATCH(AA262,I$11:I$267,0))+IF(OR(TYPE(AA262)&gt;1,TYPE(MATCH(AA262,O$11:O$267,0))&gt;1),0,MATCH(AA262,O$11:O$267,0))+IF(OR(TYPE(AA262)&gt;1,TYPE(MATCH(AA262,U$11:U$267,0))&gt;1),0,MATCH(U262,U$11:U$267,0))+IF(OR(TYPE(AA262)&gt;1,TYPE(MATCH(AA262,AA263:AA$267,0))&gt;1),0,MATCH(AA262,AA263:AA$267,0))</f>
        <v>0</v>
      </c>
      <c r="AR262" s="408">
        <f t="shared" ca="1" si="91"/>
        <v>0</v>
      </c>
      <c r="BF262" s="408">
        <f t="shared" si="92"/>
        <v>252</v>
      </c>
    </row>
    <row r="263" spans="1:58" ht="14.25">
      <c r="A263" s="430">
        <f t="shared" ca="1" si="81"/>
        <v>0</v>
      </c>
      <c r="B263" s="430">
        <f t="shared" ca="1" si="82"/>
        <v>0</v>
      </c>
      <c r="C263" s="430">
        <f t="shared" ca="1" si="83"/>
        <v>0</v>
      </c>
      <c r="D263" s="430">
        <f t="shared" ca="1" si="84"/>
        <v>99999</v>
      </c>
      <c r="E263" s="430">
        <f t="shared" ca="1" si="85"/>
        <v>9999</v>
      </c>
      <c r="F263" s="431" t="str">
        <f t="shared" ca="1" si="80"/>
        <v>00000000000000000000117478</v>
      </c>
      <c r="G263" s="467" t="b">
        <f t="shared" ca="1" si="86"/>
        <v>1</v>
      </c>
      <c r="H263" s="468">
        <f t="shared" si="77"/>
        <v>253</v>
      </c>
      <c r="I263" s="469" t="str">
        <f t="shared" ca="1" si="87"/>
        <v/>
      </c>
      <c r="J263" s="470" t="str">
        <f ca="1">IF(N(I263)&gt;0,VLOOKUP(I263,Hraci!$A$1:$I$1500,2,0),IF(TYPE(INDIRECT(ADDRESS(ROW() + $A$9-9 + (ROW()-11)*4,2,1,1,"Internet")))&gt;1,INDIRECT(ADDRESS(ROW() + $A$9-9 + (ROW()-11)*4,2,1,1,"Internet"))," "))</f>
        <v xml:space="preserve"> </v>
      </c>
      <c r="K263" s="471" t="str">
        <f ca="1">IF(N(I263)&gt;0,VLOOKUP(I263,Hraci!$A$1:$I$1500,3,0)," ")</f>
        <v xml:space="preserve"> </v>
      </c>
      <c r="L263" s="471" t="str">
        <f ca="1">IF(N(I263)&gt;0,VLOOKUP(I263,Hraci!$A$1:$I$1500,5,0),IF(TYPE(INDIRECT(ADDRESS(ROW() + $A$9-9 + (ROW()-11)*4,3,1,1,"Internet")))&gt;1,INDIRECT(ADDRESS(ROW() + $A$9-9 + (ROW()-11)*4,3,1,1,"Internet"))," "))</f>
        <v xml:space="preserve"> </v>
      </c>
      <c r="M263" s="472">
        <f ca="1">IF(N(I263)=0,9999,VLOOKUP(I263,Hraci!$A$1:$I$1500,8,0))</f>
        <v>9999</v>
      </c>
      <c r="N263" s="473">
        <f ca="1">IF(N(I263)=0,0,VLOOKUP(I263,Hraci!$A$1:$I$1500,9,0))</f>
        <v>0</v>
      </c>
      <c r="O263" s="469" t="str">
        <f t="shared" ca="1" si="88"/>
        <v/>
      </c>
      <c r="P263" s="470" t="str">
        <f ca="1">IF(N(O263)&gt;0,VLOOKUP(O263,Hraci!$A$1:$I$1500,2,0),IF(TYPE(INDIRECT(ADDRESS(ROW() + $A$9-8 + (ROW()-11)*4,2,1,1,"Internet")))&gt;1,INDIRECT(ADDRESS(ROW() + $A$9-8 + (ROW()-11)*4,2,1,1,"Internet"))," "))</f>
        <v xml:space="preserve"> </v>
      </c>
      <c r="Q263" s="471" t="str">
        <f ca="1">IF(N(O263)&gt;0,VLOOKUP(O263,Hraci!$A$1:$I$1500,3,0)," ")</f>
        <v xml:space="preserve"> </v>
      </c>
      <c r="R263" s="471" t="str">
        <f ca="1">IF(N(O263)&gt;0,VLOOKUP(O263,Hraci!$A$1:$I$1500,5,0),IF(TYPE(INDIRECT(ADDRESS(ROW() + $A$9-8 + (ROW()-11)*4,3,1,1,"Internet")))&gt;1,INDIRECT(ADDRESS(ROW() + $A$9-8 + (ROW()-11)*4,3,1,1,"Internet"))," "))</f>
        <v xml:space="preserve"> </v>
      </c>
      <c r="S263" s="472">
        <f ca="1">IF(N(O263)=0,9999,VLOOKUP(O263,Hraci!$A$1:$I$1500,8,0))</f>
        <v>9999</v>
      </c>
      <c r="T263" s="473">
        <f ca="1">IF(N(O263)=0,0,VLOOKUP(O263,Hraci!$A$1:$I$1500,9,0))</f>
        <v>0</v>
      </c>
      <c r="U263" s="469" t="str">
        <f t="shared" ca="1" si="89"/>
        <v/>
      </c>
      <c r="V263" s="470" t="str">
        <f ca="1">IF(N(U263)&gt;0,VLOOKUP(U263,Hraci!$A$1:$I$1500,2,0),IF(TYPE(INDIRECT(ADDRESS(ROW() + $A$9-7 + (ROW()-11)*4,2,1,1,"Internet")))&gt;1,INDIRECT(ADDRESS(ROW() + $A$9-7 + (ROW()-11)*4,2,1,1,"Internet"))," "))</f>
        <v xml:space="preserve"> </v>
      </c>
      <c r="W263" s="471" t="str">
        <f ca="1">IF(N(U263)&gt;0,VLOOKUP(U263,Hraci!$A$1:$I$1500,3,0)," ")</f>
        <v xml:space="preserve"> </v>
      </c>
      <c r="X263" s="471" t="str">
        <f ca="1">IF(N(U263)&gt;0,VLOOKUP(U263,Hraci!$A$1:$I$1500,5,0),IF(TYPE(INDIRECT(ADDRESS(ROW() + $A$9-7 + (ROW()-11)*4,3,1,1,"Internet")))&gt;1,INDIRECT(ADDRESS(ROW() + $A$9-7 + (ROW()-11)*4,3,1,1,"Internet"))," "))</f>
        <v xml:space="preserve"> </v>
      </c>
      <c r="Y263" s="472">
        <f ca="1">IF(N(U263)=0,9999,VLOOKUP(U263,Hraci!$A$1:$I$1500,8,0))</f>
        <v>9999</v>
      </c>
      <c r="Z263" s="473">
        <f ca="1">IF(N(U263)=0,0,VLOOKUP(U263,Hraci!$A$1:$I$1500,9,0))</f>
        <v>0</v>
      </c>
      <c r="AA263" s="469" t="str">
        <f t="shared" ca="1" si="90"/>
        <v/>
      </c>
      <c r="AB263" s="470" t="str">
        <f ca="1">IF(N(AA263)&gt;0,VLOOKUP(AA263,Hraci!$A$1:$I$1500,2,0)," ")</f>
        <v xml:space="preserve"> </v>
      </c>
      <c r="AC263" s="471" t="str">
        <f ca="1">IF(N(AA263)&gt;0,VLOOKUP(AA263,Hraci!$A$1:$I$1500,3,0)," ")</f>
        <v xml:space="preserve"> </v>
      </c>
      <c r="AD263" s="471" t="str">
        <f ca="1">IF(N(AA263)&gt;0,VLOOKUP(AA263,Hraci!$A$1:$I$1500,5,0)," ")</f>
        <v xml:space="preserve"> </v>
      </c>
      <c r="AE263" s="472">
        <f ca="1">IF(N(AA263)=0,9999,VLOOKUP(AA263,Hraci!$A$1:$I$1500,8,0))</f>
        <v>9999</v>
      </c>
      <c r="AF263" s="473">
        <f ca="1">IF(N(AA263)=0,0,VLOOKUP(AA263,Hraci!$A$1:$I$1500,9,0))</f>
        <v>0</v>
      </c>
      <c r="AG263" s="474"/>
      <c r="AH263" s="480">
        <f ca="1">IF(TYPE(VLOOKUP(H263,Nasazení!$A$3:$E$258,5,0))&lt;4,VLOOKUP(H263,Nasazení!$A$3:$E$258,5,0),0)</f>
        <v>0</v>
      </c>
      <c r="AI263" s="475" t="str">
        <f ca="1">IF(N($AH263)&gt;0,VLOOKUP($AH263,Body!$A$4:$F$259,5,0),"")</f>
        <v/>
      </c>
      <c r="AJ263" s="476" t="str">
        <f ca="1">IF(N($AH263)&gt;0,VLOOKUP($AH263,Body!$A$4:$F$259,6,0),"")</f>
        <v/>
      </c>
      <c r="AK263" s="475" t="str">
        <f ca="1">IF(N($AH263)&gt;0,VLOOKUP($AH263,Body!$A$4:$F$259,2,0),"")</f>
        <v/>
      </c>
      <c r="AL263" s="477" t="str">
        <f t="shared" ca="1" si="78"/>
        <v/>
      </c>
      <c r="AM263" s="478">
        <f t="shared" ca="1" si="79"/>
        <v>0</v>
      </c>
      <c r="AN263" s="408">
        <f ca="1">IF(OR(TYPE(I263)&gt;1,TYPE(MATCH(I263,I264:I$267,0))&gt;1),0,MATCH(I263,I264:I$267,0))+IF(OR(TYPE(I263)&gt;1,TYPE(MATCH(I263,O$11:O$267,0))&gt;1),0,MATCH(I263,O$11:O$267,0))+IF(OR(TYPE(I263)&gt;1,TYPE(MATCH(I263,U$11:U$267,0))&gt;1),0,MATCH(I263,U$11:U$267,0))+IF(OR(TYPE(I263)&gt;1,TYPE(MATCH(I263,AA$11:AA$267,0))&gt;1),0,MATCH(I263,AA$11:AA$267,0))</f>
        <v>0</v>
      </c>
      <c r="AO263" s="408">
        <f ca="1">IF(OR(TYPE(O263)&gt;1,TYPE(MATCH(O263,I$11:I$267,0))&gt;1),0,MATCH(O263,I$11:I$267,0))+IF(OR(TYPE(O263)&gt;1,TYPE(MATCH(O263,O264:O$267,0))&gt;1),0,MATCH(O263,O264:O$267,0))+IF(OR(TYPE(O263)&gt;1,TYPE(MATCH(O263,U$11:U$267,0))&gt;1),0,MATCH(O263,U$11:U$267,0))+IF(OR(TYPE(O263)&gt;1,TYPE(MATCH(O263,AA$11:AA$267,0))&gt;1),0,MATCH(O263,AA$11:AA$267,0))</f>
        <v>0</v>
      </c>
      <c r="AP263" s="408">
        <f ca="1">IF(OR(TYPE(U263)&gt;1,TYPE(MATCH(U263,I$11:I$267,0))&gt;1),0,MATCH(U263,I$11:I$267,0))+IF(OR(TYPE(U263)&gt;1,TYPE(MATCH(U263,O$11:O$267,0))&gt;1),0,MATCH(U263,O$11:O$267,0))+IF(OR(TYPE(U263)&gt;1,TYPE(MATCH(U263,U264:U$267,0))&gt;1),0,MATCH(U263,U264:U$267,0))+IF(OR(TYPE(U263)&gt;1,TYPE(MATCH(U263,AA$11:AA$267,0))&gt;1),0,MATCH(U263,AA$11:AA$267,0))</f>
        <v>0</v>
      </c>
      <c r="AQ263" s="408">
        <f ca="1">IF(OR(TYPE(AA263)&gt;1,TYPE(MATCH(AA263,I$11:I$267,0))&gt;1),0,MATCH(AA263,I$11:I$267,0))+IF(OR(TYPE(AA263)&gt;1,TYPE(MATCH(AA263,O$11:O$267,0))&gt;1),0,MATCH(AA263,O$11:O$267,0))+IF(OR(TYPE(AA263)&gt;1,TYPE(MATCH(AA263,U$11:U$267,0))&gt;1),0,MATCH(U263,U$11:U$267,0))+IF(OR(TYPE(AA263)&gt;1,TYPE(MATCH(AA263,AA264:AA$267,0))&gt;1),0,MATCH(AA263,AA264:AA$267,0))</f>
        <v>0</v>
      </c>
      <c r="AR263" s="408">
        <f t="shared" ca="1" si="91"/>
        <v>0</v>
      </c>
      <c r="BF263" s="408">
        <f t="shared" si="92"/>
        <v>253</v>
      </c>
    </row>
    <row r="264" spans="1:58" ht="14.25">
      <c r="A264" s="430">
        <f t="shared" ca="1" si="81"/>
        <v>0</v>
      </c>
      <c r="B264" s="430">
        <f t="shared" ca="1" si="82"/>
        <v>0</v>
      </c>
      <c r="C264" s="430">
        <f t="shared" ca="1" si="83"/>
        <v>0</v>
      </c>
      <c r="D264" s="430">
        <f t="shared" ca="1" si="84"/>
        <v>99999</v>
      </c>
      <c r="E264" s="430">
        <f t="shared" ca="1" si="85"/>
        <v>9999</v>
      </c>
      <c r="F264" s="431" t="str">
        <f t="shared" ca="1" si="80"/>
        <v>00000000000000000000211644</v>
      </c>
      <c r="G264" s="467" t="b">
        <f t="shared" ca="1" si="86"/>
        <v>1</v>
      </c>
      <c r="H264" s="468">
        <f t="shared" si="77"/>
        <v>254</v>
      </c>
      <c r="I264" s="469" t="str">
        <f t="shared" ca="1" si="87"/>
        <v/>
      </c>
      <c r="J264" s="470" t="str">
        <f ca="1">IF(N(I264)&gt;0,VLOOKUP(I264,Hraci!$A$1:$I$1500,2,0),IF(TYPE(INDIRECT(ADDRESS(ROW() + $A$9-9 + (ROW()-11)*4,2,1,1,"Internet")))&gt;1,INDIRECT(ADDRESS(ROW() + $A$9-9 + (ROW()-11)*4,2,1,1,"Internet"))," "))</f>
        <v xml:space="preserve"> </v>
      </c>
      <c r="K264" s="471" t="str">
        <f ca="1">IF(N(I264)&gt;0,VLOOKUP(I264,Hraci!$A$1:$I$1500,3,0)," ")</f>
        <v xml:space="preserve"> </v>
      </c>
      <c r="L264" s="471" t="str">
        <f ca="1">IF(N(I264)&gt;0,VLOOKUP(I264,Hraci!$A$1:$I$1500,5,0),IF(TYPE(INDIRECT(ADDRESS(ROW() + $A$9-9 + (ROW()-11)*4,3,1,1,"Internet")))&gt;1,INDIRECT(ADDRESS(ROW() + $A$9-9 + (ROW()-11)*4,3,1,1,"Internet"))," "))</f>
        <v xml:space="preserve"> </v>
      </c>
      <c r="M264" s="472">
        <f ca="1">IF(N(I264)=0,9999,VLOOKUP(I264,Hraci!$A$1:$I$1500,8,0))</f>
        <v>9999</v>
      </c>
      <c r="N264" s="473">
        <f ca="1">IF(N(I264)=0,0,VLOOKUP(I264,Hraci!$A$1:$I$1500,9,0))</f>
        <v>0</v>
      </c>
      <c r="O264" s="469" t="str">
        <f t="shared" ca="1" si="88"/>
        <v/>
      </c>
      <c r="P264" s="470" t="str">
        <f ca="1">IF(N(O264)&gt;0,VLOOKUP(O264,Hraci!$A$1:$I$1500,2,0),IF(TYPE(INDIRECT(ADDRESS(ROW() + $A$9-8 + (ROW()-11)*4,2,1,1,"Internet")))&gt;1,INDIRECT(ADDRESS(ROW() + $A$9-8 + (ROW()-11)*4,2,1,1,"Internet"))," "))</f>
        <v xml:space="preserve"> </v>
      </c>
      <c r="Q264" s="471" t="str">
        <f ca="1">IF(N(O264)&gt;0,VLOOKUP(O264,Hraci!$A$1:$I$1500,3,0)," ")</f>
        <v xml:space="preserve"> </v>
      </c>
      <c r="R264" s="471" t="str">
        <f ca="1">IF(N(O264)&gt;0,VLOOKUP(O264,Hraci!$A$1:$I$1500,5,0),IF(TYPE(INDIRECT(ADDRESS(ROW() + $A$9-8 + (ROW()-11)*4,3,1,1,"Internet")))&gt;1,INDIRECT(ADDRESS(ROW() + $A$9-8 + (ROW()-11)*4,3,1,1,"Internet"))," "))</f>
        <v xml:space="preserve"> </v>
      </c>
      <c r="S264" s="472">
        <f ca="1">IF(N(O264)=0,9999,VLOOKUP(O264,Hraci!$A$1:$I$1500,8,0))</f>
        <v>9999</v>
      </c>
      <c r="T264" s="473">
        <f ca="1">IF(N(O264)=0,0,VLOOKUP(O264,Hraci!$A$1:$I$1500,9,0))</f>
        <v>0</v>
      </c>
      <c r="U264" s="469" t="str">
        <f t="shared" ca="1" si="89"/>
        <v/>
      </c>
      <c r="V264" s="470" t="str">
        <f ca="1">IF(N(U264)&gt;0,VLOOKUP(U264,Hraci!$A$1:$I$1500,2,0),IF(TYPE(INDIRECT(ADDRESS(ROW() + $A$9-7 + (ROW()-11)*4,2,1,1,"Internet")))&gt;1,INDIRECT(ADDRESS(ROW() + $A$9-7 + (ROW()-11)*4,2,1,1,"Internet"))," "))</f>
        <v xml:space="preserve"> </v>
      </c>
      <c r="W264" s="471" t="str">
        <f ca="1">IF(N(U264)&gt;0,VLOOKUP(U264,Hraci!$A$1:$I$1500,3,0)," ")</f>
        <v xml:space="preserve"> </v>
      </c>
      <c r="X264" s="471" t="str">
        <f ca="1">IF(N(U264)&gt;0,VLOOKUP(U264,Hraci!$A$1:$I$1500,5,0),IF(TYPE(INDIRECT(ADDRESS(ROW() + $A$9-7 + (ROW()-11)*4,3,1,1,"Internet")))&gt;1,INDIRECT(ADDRESS(ROW() + $A$9-7 + (ROW()-11)*4,3,1,1,"Internet"))," "))</f>
        <v xml:space="preserve"> </v>
      </c>
      <c r="Y264" s="472">
        <f ca="1">IF(N(U264)=0,9999,VLOOKUP(U264,Hraci!$A$1:$I$1500,8,0))</f>
        <v>9999</v>
      </c>
      <c r="Z264" s="473">
        <f ca="1">IF(N(U264)=0,0,VLOOKUP(U264,Hraci!$A$1:$I$1500,9,0))</f>
        <v>0</v>
      </c>
      <c r="AA264" s="469" t="str">
        <f t="shared" ca="1" si="90"/>
        <v/>
      </c>
      <c r="AB264" s="470" t="str">
        <f ca="1">IF(N(AA264)&gt;0,VLOOKUP(AA264,Hraci!$A$1:$I$1500,2,0)," ")</f>
        <v xml:space="preserve"> </v>
      </c>
      <c r="AC264" s="471" t="str">
        <f ca="1">IF(N(AA264)&gt;0,VLOOKUP(AA264,Hraci!$A$1:$I$1500,3,0)," ")</f>
        <v xml:space="preserve"> </v>
      </c>
      <c r="AD264" s="471" t="str">
        <f ca="1">IF(N(AA264)&gt;0,VLOOKUP(AA264,Hraci!$A$1:$I$1500,5,0)," ")</f>
        <v xml:space="preserve"> </v>
      </c>
      <c r="AE264" s="472">
        <f ca="1">IF(N(AA264)=0,9999,VLOOKUP(AA264,Hraci!$A$1:$I$1500,8,0))</f>
        <v>9999</v>
      </c>
      <c r="AF264" s="473">
        <f ca="1">IF(N(AA264)=0,0,VLOOKUP(AA264,Hraci!$A$1:$I$1500,9,0))</f>
        <v>0</v>
      </c>
      <c r="AG264" s="474"/>
      <c r="AH264" s="480">
        <f ca="1">IF(TYPE(VLOOKUP(H264,Nasazení!$A$3:$E$258,5,0))&lt;4,VLOOKUP(H264,Nasazení!$A$3:$E$258,5,0),0)</f>
        <v>0</v>
      </c>
      <c r="AI264" s="475" t="str">
        <f ca="1">IF(N($AH264)&gt;0,VLOOKUP($AH264,Body!$A$4:$F$259,5,0),"")</f>
        <v/>
      </c>
      <c r="AJ264" s="476" t="str">
        <f ca="1">IF(N($AH264)&gt;0,VLOOKUP($AH264,Body!$A$4:$F$259,6,0),"")</f>
        <v/>
      </c>
      <c r="AK264" s="475" t="str">
        <f ca="1">IF(N($AH264)&gt;0,VLOOKUP($AH264,Body!$A$4:$F$259,2,0),"")</f>
        <v/>
      </c>
      <c r="AL264" s="477" t="str">
        <f t="shared" ca="1" si="78"/>
        <v/>
      </c>
      <c r="AM264" s="478">
        <f t="shared" ca="1" si="79"/>
        <v>0</v>
      </c>
      <c r="AN264" s="408">
        <f ca="1">IF(OR(TYPE(I264)&gt;1,TYPE(MATCH(I264,I265:I$267,0))&gt;1),0,MATCH(I264,I265:I$267,0))+IF(OR(TYPE(I264)&gt;1,TYPE(MATCH(I264,O$11:O$267,0))&gt;1),0,MATCH(I264,O$11:O$267,0))+IF(OR(TYPE(I264)&gt;1,TYPE(MATCH(I264,U$11:U$267,0))&gt;1),0,MATCH(I264,U$11:U$267,0))+IF(OR(TYPE(I264)&gt;1,TYPE(MATCH(I264,AA$11:AA$267,0))&gt;1),0,MATCH(I264,AA$11:AA$267,0))</f>
        <v>0</v>
      </c>
      <c r="AO264" s="408">
        <f ca="1">IF(OR(TYPE(O264)&gt;1,TYPE(MATCH(O264,I$11:I$267,0))&gt;1),0,MATCH(O264,I$11:I$267,0))+IF(OR(TYPE(O264)&gt;1,TYPE(MATCH(O264,O265:O$267,0))&gt;1),0,MATCH(O264,O265:O$267,0))+IF(OR(TYPE(O264)&gt;1,TYPE(MATCH(O264,U$11:U$267,0))&gt;1),0,MATCH(O264,U$11:U$267,0))+IF(OR(TYPE(O264)&gt;1,TYPE(MATCH(O264,AA$11:AA$267,0))&gt;1),0,MATCH(O264,AA$11:AA$267,0))</f>
        <v>0</v>
      </c>
      <c r="AP264" s="408">
        <f ca="1">IF(OR(TYPE(U264)&gt;1,TYPE(MATCH(U264,I$11:I$267,0))&gt;1),0,MATCH(U264,I$11:I$267,0))+IF(OR(TYPE(U264)&gt;1,TYPE(MATCH(U264,O$11:O$267,0))&gt;1),0,MATCH(U264,O$11:O$267,0))+IF(OR(TYPE(U264)&gt;1,TYPE(MATCH(U264,U265:U$267,0))&gt;1),0,MATCH(U264,U265:U$267,0))+IF(OR(TYPE(U264)&gt;1,TYPE(MATCH(U264,AA$11:AA$267,0))&gt;1),0,MATCH(U264,AA$11:AA$267,0))</f>
        <v>0</v>
      </c>
      <c r="AQ264" s="408">
        <f ca="1">IF(OR(TYPE(AA264)&gt;1,TYPE(MATCH(AA264,I$11:I$267,0))&gt;1),0,MATCH(AA264,I$11:I$267,0))+IF(OR(TYPE(AA264)&gt;1,TYPE(MATCH(AA264,O$11:O$267,0))&gt;1),0,MATCH(AA264,O$11:O$267,0))+IF(OR(TYPE(AA264)&gt;1,TYPE(MATCH(AA264,U$11:U$267,0))&gt;1),0,MATCH(U264,U$11:U$267,0))+IF(OR(TYPE(AA264)&gt;1,TYPE(MATCH(AA264,AA265:AA$267,0))&gt;1),0,MATCH(AA264,AA265:AA$267,0))</f>
        <v>0</v>
      </c>
      <c r="AR264" s="408">
        <f t="shared" ca="1" si="91"/>
        <v>0</v>
      </c>
      <c r="BF264" s="408">
        <f t="shared" si="92"/>
        <v>254</v>
      </c>
    </row>
    <row r="265" spans="1:58" ht="14.25">
      <c r="A265" s="430">
        <f t="shared" ca="1" si="81"/>
        <v>0</v>
      </c>
      <c r="B265" s="430">
        <f t="shared" ca="1" si="82"/>
        <v>0</v>
      </c>
      <c r="C265" s="430">
        <f t="shared" ca="1" si="83"/>
        <v>0</v>
      </c>
      <c r="D265" s="430">
        <f t="shared" ca="1" si="84"/>
        <v>99999</v>
      </c>
      <c r="E265" s="430">
        <f t="shared" ca="1" si="85"/>
        <v>9999</v>
      </c>
      <c r="F265" s="431" t="str">
        <f t="shared" ca="1" si="80"/>
        <v>00000000000000000000226698</v>
      </c>
      <c r="G265" s="467" t="b">
        <f t="shared" ca="1" si="86"/>
        <v>1</v>
      </c>
      <c r="H265" s="468">
        <f t="shared" si="77"/>
        <v>255</v>
      </c>
      <c r="I265" s="469" t="str">
        <f t="shared" ca="1" si="87"/>
        <v/>
      </c>
      <c r="J265" s="470" t="str">
        <f ca="1">IF(N(I265)&gt;0,VLOOKUP(I265,Hraci!$A$1:$I$1500,2,0),IF(TYPE(INDIRECT(ADDRESS(ROW() + $A$9-9 + (ROW()-11)*4,2,1,1,"Internet")))&gt;1,INDIRECT(ADDRESS(ROW() + $A$9-9 + (ROW()-11)*4,2,1,1,"Internet"))," "))</f>
        <v xml:space="preserve"> </v>
      </c>
      <c r="K265" s="471" t="str">
        <f ca="1">IF(N(I265)&gt;0,VLOOKUP(I265,Hraci!$A$1:$I$1500,3,0)," ")</f>
        <v xml:space="preserve"> </v>
      </c>
      <c r="L265" s="471" t="str">
        <f ca="1">IF(N(I265)&gt;0,VLOOKUP(I265,Hraci!$A$1:$I$1500,5,0),IF(TYPE(INDIRECT(ADDRESS(ROW() + $A$9-9 + (ROW()-11)*4,3,1,1,"Internet")))&gt;1,INDIRECT(ADDRESS(ROW() + $A$9-9 + (ROW()-11)*4,3,1,1,"Internet"))," "))</f>
        <v xml:space="preserve"> </v>
      </c>
      <c r="M265" s="472">
        <f ca="1">IF(N(I265)=0,9999,VLOOKUP(I265,Hraci!$A$1:$I$1500,8,0))</f>
        <v>9999</v>
      </c>
      <c r="N265" s="473">
        <f ca="1">IF(N(I265)=0,0,VLOOKUP(I265,Hraci!$A$1:$I$1500,9,0))</f>
        <v>0</v>
      </c>
      <c r="O265" s="469" t="str">
        <f t="shared" ca="1" si="88"/>
        <v/>
      </c>
      <c r="P265" s="470" t="str">
        <f ca="1">IF(N(O265)&gt;0,VLOOKUP(O265,Hraci!$A$1:$I$1500,2,0),IF(TYPE(INDIRECT(ADDRESS(ROW() + $A$9-8 + (ROW()-11)*4,2,1,1,"Internet")))&gt;1,INDIRECT(ADDRESS(ROW() + $A$9-8 + (ROW()-11)*4,2,1,1,"Internet"))," "))</f>
        <v xml:space="preserve"> </v>
      </c>
      <c r="Q265" s="471" t="str">
        <f ca="1">IF(N(O265)&gt;0,VLOOKUP(O265,Hraci!$A$1:$I$1500,3,0)," ")</f>
        <v xml:space="preserve"> </v>
      </c>
      <c r="R265" s="471" t="str">
        <f ca="1">IF(N(O265)&gt;0,VLOOKUP(O265,Hraci!$A$1:$I$1500,5,0),IF(TYPE(INDIRECT(ADDRESS(ROW() + $A$9-8 + (ROW()-11)*4,3,1,1,"Internet")))&gt;1,INDIRECT(ADDRESS(ROW() + $A$9-8 + (ROW()-11)*4,3,1,1,"Internet"))," "))</f>
        <v xml:space="preserve"> </v>
      </c>
      <c r="S265" s="472">
        <f ca="1">IF(N(O265)=0,9999,VLOOKUP(O265,Hraci!$A$1:$I$1500,8,0))</f>
        <v>9999</v>
      </c>
      <c r="T265" s="473">
        <f ca="1">IF(N(O265)=0,0,VLOOKUP(O265,Hraci!$A$1:$I$1500,9,0))</f>
        <v>0</v>
      </c>
      <c r="U265" s="469" t="str">
        <f t="shared" ca="1" si="89"/>
        <v/>
      </c>
      <c r="V265" s="470" t="str">
        <f ca="1">IF(N(U265)&gt;0,VLOOKUP(U265,Hraci!$A$1:$I$1500,2,0),IF(TYPE(INDIRECT(ADDRESS(ROW() + $A$9-7 + (ROW()-11)*4,2,1,1,"Internet")))&gt;1,INDIRECT(ADDRESS(ROW() + $A$9-7 + (ROW()-11)*4,2,1,1,"Internet"))," "))</f>
        <v xml:space="preserve"> </v>
      </c>
      <c r="W265" s="471" t="str">
        <f ca="1">IF(N(U265)&gt;0,VLOOKUP(U265,Hraci!$A$1:$I$1500,3,0)," ")</f>
        <v xml:space="preserve"> </v>
      </c>
      <c r="X265" s="471" t="str">
        <f ca="1">IF(N(U265)&gt;0,VLOOKUP(U265,Hraci!$A$1:$I$1500,5,0),IF(TYPE(INDIRECT(ADDRESS(ROW() + $A$9-7 + (ROW()-11)*4,3,1,1,"Internet")))&gt;1,INDIRECT(ADDRESS(ROW() + $A$9-7 + (ROW()-11)*4,3,1,1,"Internet"))," "))</f>
        <v xml:space="preserve"> </v>
      </c>
      <c r="Y265" s="472">
        <f ca="1">IF(N(U265)=0,9999,VLOOKUP(U265,Hraci!$A$1:$I$1500,8,0))</f>
        <v>9999</v>
      </c>
      <c r="Z265" s="473">
        <f ca="1">IF(N(U265)=0,0,VLOOKUP(U265,Hraci!$A$1:$I$1500,9,0))</f>
        <v>0</v>
      </c>
      <c r="AA265" s="469" t="str">
        <f t="shared" ca="1" si="90"/>
        <v/>
      </c>
      <c r="AB265" s="470" t="str">
        <f ca="1">IF(N(AA265)&gt;0,VLOOKUP(AA265,Hraci!$A$1:$I$1500,2,0)," ")</f>
        <v xml:space="preserve"> </v>
      </c>
      <c r="AC265" s="471" t="str">
        <f ca="1">IF(N(AA265)&gt;0,VLOOKUP(AA265,Hraci!$A$1:$I$1500,3,0)," ")</f>
        <v xml:space="preserve"> </v>
      </c>
      <c r="AD265" s="471" t="str">
        <f ca="1">IF(N(AA265)&gt;0,VLOOKUP(AA265,Hraci!$A$1:$I$1500,5,0)," ")</f>
        <v xml:space="preserve"> </v>
      </c>
      <c r="AE265" s="472">
        <f ca="1">IF(N(AA265)=0,9999,VLOOKUP(AA265,Hraci!$A$1:$I$1500,8,0))</f>
        <v>9999</v>
      </c>
      <c r="AF265" s="473">
        <f ca="1">IF(N(AA265)=0,0,VLOOKUP(AA265,Hraci!$A$1:$I$1500,9,0))</f>
        <v>0</v>
      </c>
      <c r="AG265" s="474"/>
      <c r="AH265" s="480">
        <f ca="1">IF(TYPE(VLOOKUP(H265,Nasazení!$A$3:$E$258,5,0))&lt;4,VLOOKUP(H265,Nasazení!$A$3:$E$258,5,0),0)</f>
        <v>0</v>
      </c>
      <c r="AI265" s="475" t="str">
        <f ca="1">IF(N($AH265)&gt;0,VLOOKUP($AH265,Body!$A$4:$F$259,5,0),"")</f>
        <v/>
      </c>
      <c r="AJ265" s="476" t="str">
        <f ca="1">IF(N($AH265)&gt;0,VLOOKUP($AH265,Body!$A$4:$F$259,6,0),"")</f>
        <v/>
      </c>
      <c r="AK265" s="475" t="str">
        <f ca="1">IF(N($AH265)&gt;0,VLOOKUP($AH265,Body!$A$4:$F$259,2,0),"")</f>
        <v/>
      </c>
      <c r="AL265" s="477" t="str">
        <f t="shared" ca="1" si="78"/>
        <v/>
      </c>
      <c r="AM265" s="478">
        <f t="shared" ca="1" si="79"/>
        <v>0</v>
      </c>
      <c r="AN265" s="408">
        <f ca="1">IF(OR(TYPE(I265)&gt;1,TYPE(MATCH(I265,I266:I$267,0))&gt;1),0,MATCH(I265,I266:I$267,0))+IF(OR(TYPE(I265)&gt;1,TYPE(MATCH(I265,O$11:O$267,0))&gt;1),0,MATCH(I265,O$11:O$267,0))+IF(OR(TYPE(I265)&gt;1,TYPE(MATCH(I265,U$11:U$267,0))&gt;1),0,MATCH(I265,U$11:U$267,0))+IF(OR(TYPE(I265)&gt;1,TYPE(MATCH(I265,AA$11:AA$267,0))&gt;1),0,MATCH(I265,AA$11:AA$267,0))</f>
        <v>0</v>
      </c>
      <c r="AO265" s="408">
        <f ca="1">IF(OR(TYPE(O265)&gt;1,TYPE(MATCH(O265,I$11:I$267,0))&gt;1),0,MATCH(O265,I$11:I$267,0))+IF(OR(TYPE(O265)&gt;1,TYPE(MATCH(O265,O266:O$267,0))&gt;1),0,MATCH(O265,O266:O$267,0))+IF(OR(TYPE(O265)&gt;1,TYPE(MATCH(O265,U$11:U$267,0))&gt;1),0,MATCH(O265,U$11:U$267,0))+IF(OR(TYPE(O265)&gt;1,TYPE(MATCH(O265,AA$11:AA$267,0))&gt;1),0,MATCH(O265,AA$11:AA$267,0))</f>
        <v>0</v>
      </c>
      <c r="AP265" s="408">
        <f ca="1">IF(OR(TYPE(U265)&gt;1,TYPE(MATCH(U265,I$11:I$267,0))&gt;1),0,MATCH(U265,I$11:I$267,0))+IF(OR(TYPE(U265)&gt;1,TYPE(MATCH(U265,O$11:O$267,0))&gt;1),0,MATCH(U265,O$11:O$267,0))+IF(OR(TYPE(U265)&gt;1,TYPE(MATCH(U265,U266:U$267,0))&gt;1),0,MATCH(U265,U266:U$267,0))+IF(OR(TYPE(U265)&gt;1,TYPE(MATCH(U265,AA$11:AA$267,0))&gt;1),0,MATCH(U265,AA$11:AA$267,0))</f>
        <v>0</v>
      </c>
      <c r="AQ265" s="408">
        <f ca="1">IF(OR(TYPE(AA265)&gt;1,TYPE(MATCH(AA265,I$11:I$267,0))&gt;1),0,MATCH(AA265,I$11:I$267,0))+IF(OR(TYPE(AA265)&gt;1,TYPE(MATCH(AA265,O$11:O$267,0))&gt;1),0,MATCH(AA265,O$11:O$267,0))+IF(OR(TYPE(AA265)&gt;1,TYPE(MATCH(AA265,U$11:U$267,0))&gt;1),0,MATCH(U265,U$11:U$267,0))+IF(OR(TYPE(AA265)&gt;1,TYPE(MATCH(AA265,AA266:AA$267,0))&gt;1),0,MATCH(AA265,AA266:AA$267,0))</f>
        <v>0</v>
      </c>
      <c r="AR265" s="408">
        <f t="shared" ca="1" si="91"/>
        <v>0</v>
      </c>
      <c r="BF265" s="408">
        <f t="shared" si="92"/>
        <v>255</v>
      </c>
    </row>
    <row r="266" spans="1:58" ht="14.25">
      <c r="A266" s="430">
        <f t="shared" ca="1" si="81"/>
        <v>0</v>
      </c>
      <c r="B266" s="430">
        <f t="shared" ca="1" si="82"/>
        <v>0</v>
      </c>
      <c r="C266" s="430">
        <f t="shared" ca="1" si="83"/>
        <v>0</v>
      </c>
      <c r="D266" s="430">
        <f t="shared" ca="1" si="84"/>
        <v>99999</v>
      </c>
      <c r="E266" s="430">
        <f t="shared" ca="1" si="85"/>
        <v>9999</v>
      </c>
      <c r="F266" s="431" t="str">
        <f t="shared" ca="1" si="80"/>
        <v>00000000000000000000451492</v>
      </c>
      <c r="G266" s="467" t="b">
        <f t="shared" ca="1" si="86"/>
        <v>1</v>
      </c>
      <c r="H266" s="468">
        <f t="shared" si="77"/>
        <v>256</v>
      </c>
      <c r="I266" s="469" t="str">
        <f t="shared" ca="1" si="87"/>
        <v/>
      </c>
      <c r="J266" s="470" t="str">
        <f ca="1">IF(N(I266)&gt;0,VLOOKUP(I266,Hraci!$A$1:$I$1500,2,0),IF(TYPE(INDIRECT(ADDRESS(ROW() + $A$9-9 + (ROW()-11)*4,2,1,1,"Internet")))&gt;1,INDIRECT(ADDRESS(ROW() + $A$9-9 + (ROW()-11)*4,2,1,1,"Internet"))," "))</f>
        <v xml:space="preserve"> </v>
      </c>
      <c r="K266" s="471" t="str">
        <f ca="1">IF(N(I266)&gt;0,VLOOKUP(I266,Hraci!$A$1:$I$1500,3,0)," ")</f>
        <v xml:space="preserve"> </v>
      </c>
      <c r="L266" s="471" t="str">
        <f ca="1">IF(N(I266)&gt;0,VLOOKUP(I266,Hraci!$A$1:$I$1500,5,0),IF(TYPE(INDIRECT(ADDRESS(ROW() + $A$9-9 + (ROW()-11)*4,3,1,1,"Internet")))&gt;1,INDIRECT(ADDRESS(ROW() + $A$9-9 + (ROW()-11)*4,3,1,1,"Internet"))," "))</f>
        <v xml:space="preserve"> </v>
      </c>
      <c r="M266" s="472">
        <f ca="1">IF(N(I266)=0,9999,VLOOKUP(I266,Hraci!$A$1:$I$1500,8,0))</f>
        <v>9999</v>
      </c>
      <c r="N266" s="473">
        <f ca="1">IF(N(I266)=0,0,VLOOKUP(I266,Hraci!$A$1:$I$1500,9,0))</f>
        <v>0</v>
      </c>
      <c r="O266" s="469" t="str">
        <f t="shared" ca="1" si="88"/>
        <v/>
      </c>
      <c r="P266" s="470" t="str">
        <f ca="1">IF(N(O266)&gt;0,VLOOKUP(O266,Hraci!$A$1:$I$1500,2,0),IF(TYPE(INDIRECT(ADDRESS(ROW() + $A$9-8 + (ROW()-11)*4,2,1,1,"Internet")))&gt;1,INDIRECT(ADDRESS(ROW() + $A$9-8 + (ROW()-11)*4,2,1,1,"Internet"))," "))</f>
        <v xml:space="preserve"> </v>
      </c>
      <c r="Q266" s="471" t="str">
        <f ca="1">IF(N(O266)&gt;0,VLOOKUP(O266,Hraci!$A$1:$I$1500,3,0)," ")</f>
        <v xml:space="preserve"> </v>
      </c>
      <c r="R266" s="471" t="str">
        <f ca="1">IF(N(O266)&gt;0,VLOOKUP(O266,Hraci!$A$1:$I$1500,5,0),IF(TYPE(INDIRECT(ADDRESS(ROW() + $A$9-8 + (ROW()-11)*4,3,1,1,"Internet")))&gt;1,INDIRECT(ADDRESS(ROW() + $A$9-8 + (ROW()-11)*4,3,1,1,"Internet"))," "))</f>
        <v xml:space="preserve"> </v>
      </c>
      <c r="S266" s="472">
        <f ca="1">IF(N(O266)=0,9999,VLOOKUP(O266,Hraci!$A$1:$I$1500,8,0))</f>
        <v>9999</v>
      </c>
      <c r="T266" s="473">
        <f ca="1">IF(N(O266)=0,0,VLOOKUP(O266,Hraci!$A$1:$I$1500,9,0))</f>
        <v>0</v>
      </c>
      <c r="U266" s="469" t="str">
        <f t="shared" ca="1" si="89"/>
        <v/>
      </c>
      <c r="V266" s="470" t="str">
        <f ca="1">IF(N(U266)&gt;0,VLOOKUP(U266,Hraci!$A$1:$I$1500,2,0),IF(TYPE(INDIRECT(ADDRESS(ROW() + $A$9-7 + (ROW()-11)*4,2,1,1,"Internet")))&gt;1,INDIRECT(ADDRESS(ROW() + $A$9-7 + (ROW()-11)*4,2,1,1,"Internet"))," "))</f>
        <v xml:space="preserve"> </v>
      </c>
      <c r="W266" s="471" t="str">
        <f ca="1">IF(N(U266)&gt;0,VLOOKUP(U266,Hraci!$A$1:$I$1500,3,0)," ")</f>
        <v xml:space="preserve"> </v>
      </c>
      <c r="X266" s="471" t="str">
        <f ca="1">IF(N(U266)&gt;0,VLOOKUP(U266,Hraci!$A$1:$I$1500,5,0),IF(TYPE(INDIRECT(ADDRESS(ROW() + $A$9-7 + (ROW()-11)*4,3,1,1,"Internet")))&gt;1,INDIRECT(ADDRESS(ROW() + $A$9-7 + (ROW()-11)*4,3,1,1,"Internet"))," "))</f>
        <v xml:space="preserve"> </v>
      </c>
      <c r="Y266" s="472">
        <f ca="1">IF(N(U266)=0,9999,VLOOKUP(U266,Hraci!$A$1:$I$1500,8,0))</f>
        <v>9999</v>
      </c>
      <c r="Z266" s="473">
        <f ca="1">IF(N(U266)=0,0,VLOOKUP(U266,Hraci!$A$1:$I$1500,9,0))</f>
        <v>0</v>
      </c>
      <c r="AA266" s="469" t="str">
        <f t="shared" ca="1" si="90"/>
        <v/>
      </c>
      <c r="AB266" s="470" t="str">
        <f ca="1">IF(N(AA266)&gt;0,VLOOKUP(AA266,Hraci!$A$1:$I$1500,2,0)," ")</f>
        <v xml:space="preserve"> </v>
      </c>
      <c r="AC266" s="471" t="str">
        <f ca="1">IF(N(AA266)&gt;0,VLOOKUP(AA266,Hraci!$A$1:$I$1500,3,0)," ")</f>
        <v xml:space="preserve"> </v>
      </c>
      <c r="AD266" s="471" t="str">
        <f ca="1">IF(N(AA266)&gt;0,VLOOKUP(AA266,Hraci!$A$1:$I$1500,5,0)," ")</f>
        <v xml:space="preserve"> </v>
      </c>
      <c r="AE266" s="472">
        <f ca="1">IF(N(AA266)=0,9999,VLOOKUP(AA266,Hraci!$A$1:$I$1500,8,0))</f>
        <v>9999</v>
      </c>
      <c r="AF266" s="473">
        <f ca="1">IF(N(AA266)=0,0,VLOOKUP(AA266,Hraci!$A$1:$I$1500,9,0))</f>
        <v>0</v>
      </c>
      <c r="AG266" s="474"/>
      <c r="AH266" s="480">
        <f ca="1">IF(TYPE(VLOOKUP(H266,Nasazení!$A$3:$E$258,5,0))&lt;4,VLOOKUP(H266,Nasazení!$A$3:$E$258,5,0),0)</f>
        <v>0</v>
      </c>
      <c r="AI266" s="475" t="str">
        <f ca="1">IF(N($AH266)&gt;0,VLOOKUP($AH266,Body!$A$4:$F$259,5,0),"")</f>
        <v/>
      </c>
      <c r="AJ266" s="476" t="str">
        <f ca="1">IF(N($AH266)&gt;0,VLOOKUP($AH266,Body!$A$4:$F$259,6,0),"")</f>
        <v/>
      </c>
      <c r="AK266" s="475" t="str">
        <f ca="1">IF(N($AH266)&gt;0,VLOOKUP($AH266,Body!$A$4:$F$259,2,0),"")</f>
        <v/>
      </c>
      <c r="AL266" s="477" t="str">
        <f t="shared" ca="1" si="78"/>
        <v/>
      </c>
      <c r="AM266" s="478">
        <f t="shared" ca="1" si="79"/>
        <v>0</v>
      </c>
      <c r="AN266" s="408">
        <f ca="1">IF(OR(TYPE(I266)&gt;1,TYPE(MATCH(I266,I266:I$267,0))&gt;1),0,MATCH(I266,I266:I$267,0))+IF(OR(TYPE(I266)&gt;1,TYPE(MATCH(I266,O$11:O$267,0))&gt;1),0,MATCH(I266,O$11:O$267,0))+IF(OR(TYPE(I266)&gt;1,TYPE(MATCH(I266,U$11:U$267,0))&gt;1),0,MATCH(I266,U$11:U$267,0))+IF(OR(TYPE(I266)&gt;1,TYPE(MATCH(I266,AA$11:AA$267,0))&gt;1),0,MATCH(I266,AA$11:AA$267,0))</f>
        <v>0</v>
      </c>
      <c r="AO266" s="408">
        <f ca="1">IF(OR(TYPE(O266)&gt;1,TYPE(MATCH(O266,I$11:I$267,0))&gt;1),0,MATCH(O266,I$11:I$267,0))+IF(OR(TYPE(O266)&gt;1,TYPE(MATCH(O266,O266:O$267,0))&gt;1),0,MATCH(O266,O266:O$267,0))+IF(OR(TYPE(O266)&gt;1,TYPE(MATCH(O266,U$11:U$267,0))&gt;1),0,MATCH(O266,U$11:U$267,0))+IF(OR(TYPE(O266)&gt;1,TYPE(MATCH(O266,AA$11:AA$267,0))&gt;1),0,MATCH(O266,AA$11:AA$267,0))</f>
        <v>0</v>
      </c>
      <c r="AP266" s="408">
        <f ca="1">IF(OR(TYPE(U266)&gt;1,TYPE(MATCH(U266,I$11:I$267,0))&gt;1),0,MATCH(U266,I$11:I$267,0))+IF(OR(TYPE(U266)&gt;1,TYPE(MATCH(U266,O$11:O$267,0))&gt;1),0,MATCH(U266,O$11:O$267,0))+IF(OR(TYPE(U266)&gt;1,TYPE(MATCH(U266,U266:U$267,0))&gt;1),0,MATCH(U266,U266:U$267,0))+IF(OR(TYPE(U266)&gt;1,TYPE(MATCH(U266,AA$11:AA$267,0))&gt;1),0,MATCH(U266,AA$11:AA$267,0))</f>
        <v>0</v>
      </c>
      <c r="AQ266" s="408">
        <f ca="1">IF(OR(TYPE(AA266)&gt;1,TYPE(MATCH(AA266,I$11:I$267,0))&gt;1),0,MATCH(AA266,I$11:I$267,0))+IF(OR(TYPE(AA266)&gt;1,TYPE(MATCH(AA266,O$11:O$267,0))&gt;1),0,MATCH(AA266,O$11:O$267,0))+IF(OR(TYPE(AA266)&gt;1,TYPE(MATCH(AA266,U$11:U$267,0))&gt;1),0,MATCH(U266,U$11:U$267,0))+IF(OR(TYPE(AA266)&gt;1,TYPE(MATCH(AA266,AA266:AA$267,0))&gt;1),0,MATCH(AA266,AA266:AA$267,0))</f>
        <v>0</v>
      </c>
      <c r="AR266" s="408">
        <f t="shared" ca="1" si="91"/>
        <v>0</v>
      </c>
      <c r="BF266" s="408">
        <f t="shared" si="92"/>
        <v>256</v>
      </c>
    </row>
  </sheetData>
  <sheetCalcPr fullCalcOnLoad="1"/>
  <sheetProtection password="CA1B" sheet="1" formatCells="0" formatColumns="0" formatRows="0"/>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legacyDrawing r:id="rId2"/>
</worksheet>
</file>

<file path=xl/worksheets/sheet60.xml><?xml version="1.0" encoding="utf-8"?>
<worksheet xmlns="http://schemas.openxmlformats.org/spreadsheetml/2006/main" xmlns:r="http://schemas.openxmlformats.org/officeDocument/2006/relationships">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58</v>
      </c>
      <c r="B1" s="71" t="s">
        <v>113</v>
      </c>
      <c r="C1" s="71" t="s">
        <v>1149</v>
      </c>
      <c r="D1" s="72"/>
      <c r="E1" s="70"/>
      <c r="F1">
        <f>VLOOKUP(A1,'Hra 2P'!I8:J390,2,0)</f>
        <v>350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2P'!E350=""),"",'Hra 2P'!E350)</f>
        <v/>
      </c>
      <c r="D8" s="74" t="str">
        <f>IF(('Hra 2P'!F350=""),"",'Hra 2P'!F350)</f>
        <v/>
      </c>
      <c r="E8" s="43" t="str">
        <f ca="1">B6</f>
        <v xml:space="preserve"> - </v>
      </c>
    </row>
    <row r="9" spans="1:20" ht="19.5">
      <c r="A9" s="70"/>
      <c r="B9" s="43" t="str">
        <f ca="1">B4</f>
        <v xml:space="preserve"> - </v>
      </c>
      <c r="C9" s="74" t="str">
        <f>IF(('Hra 2P'!E351=""),"",'Hra 2P'!E351)</f>
        <v/>
      </c>
      <c r="D9" s="74" t="str">
        <f>IF(('Hra 2P'!F351=""),"",'Hra 2P'!F351)</f>
        <v/>
      </c>
      <c r="E9" s="43" t="str">
        <f ca="1">B5</f>
        <v xml:space="preserve"> - </v>
      </c>
    </row>
    <row r="10" spans="1:20" ht="19.5">
      <c r="A10" s="75" t="s">
        <v>46</v>
      </c>
      <c r="B10" s="43" t="str">
        <f ca="1">IF(TRIM(E8)="-",B8,IF(AND(C8="",D8="")," ",IF(N(C8)&gt;N(D8),B8,E8)))</f>
        <v xml:space="preserve"> - </v>
      </c>
      <c r="C10" s="74" t="str">
        <f>IF(('Hra 2P'!E352=""),"",'Hra 2P'!E352)</f>
        <v/>
      </c>
      <c r="D10" s="74" t="str">
        <f>IF(('Hra 2P'!F352=""),"",'Hra 2P'!F352)</f>
        <v/>
      </c>
      <c r="E10" s="43" t="str">
        <f>IF(AND(C9="",D9="")," ",IF(N(C9)&gt;N(D9),B9,E9))</f>
        <v xml:space="preserve"> </v>
      </c>
    </row>
    <row r="11" spans="1:20" ht="19.5">
      <c r="A11" s="75" t="s">
        <v>47</v>
      </c>
      <c r="B11" s="43" t="str">
        <f ca="1">IF(TRIM(E8)="-",E8,IF(AND(C8="",D8="")," ",IF(N(C8)&gt;N(D8),E8,B8)))</f>
        <v xml:space="preserve"> - </v>
      </c>
      <c r="C11" s="74" t="str">
        <f>IF(('Hra 2P'!E353=""),"",'Hra 2P'!E353)</f>
        <v/>
      </c>
      <c r="D11" s="74" t="str">
        <f>IF(('Hra 2P'!F353=""),"",'Hra 2P'!F353)</f>
        <v/>
      </c>
      <c r="E11" s="43" t="str">
        <f ca="1">IF(TRIM(E9)="",E9,IF(AND(C9="",D9="")," ",IF(N(C9)&gt;N(D9),E9,B9)))</f>
        <v xml:space="preserve"> </v>
      </c>
    </row>
    <row r="12" spans="1:20" ht="19.5">
      <c r="A12" s="75" t="s">
        <v>48</v>
      </c>
      <c r="B12" s="43" t="str">
        <f>IF(TRIM(E10)="",E10,IF(AND(C10="",D10="")," ",IF(N(C10)&gt;N(D10),E10,B10)))</f>
        <v xml:space="preserve"> </v>
      </c>
      <c r="C12" s="74" t="str">
        <f>IF(('Hra 2P'!E354=""),"",'Hra 2P'!E354)</f>
        <v/>
      </c>
      <c r="D12" s="74" t="str">
        <f>IF(('Hra 2P'!F354=""),"",'Hra 2P'!F354)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BF1</v>
      </c>
      <c r="D14" s="70"/>
      <c r="E14" s="70"/>
    </row>
    <row r="15" spans="1:20" ht="19.5">
      <c r="A15" s="70" t="s">
        <v>32</v>
      </c>
      <c r="B15" s="43" t="str">
        <f>IF(N(C12)+N(D12)&gt;0,IF(N(C12)&gt;N(D12),B12,E12),"")</f>
        <v/>
      </c>
      <c r="C15" s="73" t="str">
        <f>CONCATENATE($C$1,A4)</f>
        <v>BF2</v>
      </c>
      <c r="D15" s="70"/>
      <c r="E15" s="70"/>
    </row>
    <row r="16" spans="1:20" ht="19.5">
      <c r="A16" s="70" t="s">
        <v>33</v>
      </c>
      <c r="B16" s="43" t="str">
        <f>IF(N(C12)+N(D12)&gt;0,IF(N(C12)&gt;N(D12),E12,B12),"")</f>
        <v/>
      </c>
      <c r="C16" s="73" t="str">
        <f>CONCATENATE($C$1,A5)</f>
        <v>BF3</v>
      </c>
      <c r="D16" s="70"/>
      <c r="E16" s="70"/>
    </row>
    <row r="17" spans="1:5" ht="19.5">
      <c r="A17" s="70" t="s">
        <v>34</v>
      </c>
      <c r="B17" s="78" t="str">
        <f>IF(N(C11)+N(D11)&gt;0,IF(N(C11)&gt;N(D11),E11,B11),"")</f>
        <v/>
      </c>
      <c r="C17" s="73" t="str">
        <f>CONCATENATE($C$1,A6)</f>
        <v>BF4</v>
      </c>
      <c r="D17" s="70"/>
      <c r="E17" s="70"/>
    </row>
    <row r="18" spans="1:5" ht="19.5">
      <c r="A18" s="1"/>
      <c r="B18" s="1"/>
      <c r="C18" s="1"/>
      <c r="D18" s="1"/>
      <c r="E18" s="1"/>
    </row>
  </sheetData>
  <sheetCalcPr fullCalcOnLoad="1"/>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57</v>
      </c>
      <c r="B1" s="71" t="s">
        <v>113</v>
      </c>
      <c r="C1" s="71" t="s">
        <v>1150</v>
      </c>
      <c r="D1" s="72"/>
      <c r="E1" s="70"/>
      <c r="F1">
        <f>VLOOKUP(A1,'Hra 2P'!I8:J390,2,0)</f>
        <v>344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2P'!E344=""),"",'Hra 2P'!E344)</f>
        <v/>
      </c>
      <c r="D8" s="74" t="str">
        <f>IF(('Hra 2P'!F344=""),"",'Hra 2P'!F344)</f>
        <v/>
      </c>
      <c r="E8" s="43" t="str">
        <f ca="1">B6</f>
        <v xml:space="preserve"> - </v>
      </c>
    </row>
    <row r="9" spans="1:20" ht="19.5">
      <c r="A9" s="70"/>
      <c r="B9" s="43" t="str">
        <f ca="1">B4</f>
        <v xml:space="preserve"> - </v>
      </c>
      <c r="C9" s="74" t="str">
        <f>IF(('Hra 2P'!E345=""),"",'Hra 2P'!E345)</f>
        <v/>
      </c>
      <c r="D9" s="74" t="str">
        <f>IF(('Hra 2P'!F345=""),"",'Hra 2P'!F345)</f>
        <v/>
      </c>
      <c r="E9" s="43" t="str">
        <f ca="1">B5</f>
        <v xml:space="preserve"> - </v>
      </c>
    </row>
    <row r="10" spans="1:20" ht="19.5">
      <c r="A10" s="75" t="s">
        <v>46</v>
      </c>
      <c r="B10" s="43" t="str">
        <f ca="1">IF(TRIM(E8)="-",B8,IF(AND(C8="",D8="")," ",IF(N(C8)&gt;N(D8),B8,E8)))</f>
        <v xml:space="preserve"> - </v>
      </c>
      <c r="C10" s="74" t="str">
        <f>IF(('Hra 2P'!E346=""),"",'Hra 2P'!E346)</f>
        <v/>
      </c>
      <c r="D10" s="74" t="str">
        <f>IF(('Hra 2P'!F346=""),"",'Hra 2P'!F346)</f>
        <v/>
      </c>
      <c r="E10" s="43" t="str">
        <f>IF(AND(C9="",D9="")," ",IF(N(C9)&gt;N(D9),B9,E9))</f>
        <v xml:space="preserve"> </v>
      </c>
    </row>
    <row r="11" spans="1:20" ht="19.5">
      <c r="A11" s="75" t="s">
        <v>47</v>
      </c>
      <c r="B11" s="43" t="str">
        <f ca="1">IF(TRIM(E8)="-",E8,IF(AND(C8="",D8="")," ",IF(N(C8)&gt;N(D8),E8,B8)))</f>
        <v xml:space="preserve"> - </v>
      </c>
      <c r="C11" s="74" t="str">
        <f>IF(('Hra 2P'!E347=""),"",'Hra 2P'!E347)</f>
        <v/>
      </c>
      <c r="D11" s="74" t="str">
        <f>IF(('Hra 2P'!F347=""),"",'Hra 2P'!F347)</f>
        <v/>
      </c>
      <c r="E11" s="43" t="str">
        <f ca="1">IF(TRIM(E9)="",E9,IF(AND(C9="",D9="")," ",IF(N(C9)&gt;N(D9),E9,B9)))</f>
        <v xml:space="preserve"> </v>
      </c>
    </row>
    <row r="12" spans="1:20" ht="19.5">
      <c r="A12" s="75" t="s">
        <v>48</v>
      </c>
      <c r="B12" s="43" t="str">
        <f>IF(TRIM(E10)="",E10,IF(AND(C10="",D10="")," ",IF(N(C10)&gt;N(D10),E10,B10)))</f>
        <v xml:space="preserve"> </v>
      </c>
      <c r="C12" s="74" t="str">
        <f>IF(('Hra 2P'!E348=""),"",'Hra 2P'!E348)</f>
        <v/>
      </c>
      <c r="D12" s="74" t="str">
        <f>IF(('Hra 2P'!F348=""),"",'Hra 2P'!F348)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BE1</v>
      </c>
      <c r="D14" s="70"/>
      <c r="E14" s="70"/>
    </row>
    <row r="15" spans="1:20" ht="19.5">
      <c r="A15" s="70" t="s">
        <v>32</v>
      </c>
      <c r="B15" s="43" t="str">
        <f>IF(N(C12)+N(D12)&gt;0,IF(N(C12)&gt;N(D12),B12,E12),"")</f>
        <v/>
      </c>
      <c r="C15" s="73" t="str">
        <f>CONCATENATE($C$1,A4)</f>
        <v>BE2</v>
      </c>
      <c r="D15" s="70"/>
      <c r="E15" s="70"/>
    </row>
    <row r="16" spans="1:20" ht="19.5">
      <c r="A16" s="70" t="s">
        <v>33</v>
      </c>
      <c r="B16" s="43" t="str">
        <f>IF(N(C12)+N(D12)&gt;0,IF(N(C12)&gt;N(D12),E12,B12),"")</f>
        <v/>
      </c>
      <c r="C16" s="73" t="str">
        <f>CONCATENATE($C$1,A5)</f>
        <v>BE3</v>
      </c>
      <c r="D16" s="70"/>
      <c r="E16" s="70"/>
    </row>
    <row r="17" spans="1:5" ht="19.5">
      <c r="A17" s="70" t="s">
        <v>34</v>
      </c>
      <c r="B17" s="78" t="str">
        <f>IF(N(C11)+N(D11)&gt;0,IF(N(C11)&gt;N(D11),E11,B11),"")</f>
        <v/>
      </c>
      <c r="C17" s="73" t="str">
        <f>CONCATENATE($C$1,A6)</f>
        <v>BE4</v>
      </c>
      <c r="D17" s="70"/>
      <c r="E17" s="70"/>
    </row>
    <row r="18" spans="1:5" ht="19.5">
      <c r="A18" s="1"/>
      <c r="B18" s="1"/>
      <c r="C18" s="1"/>
      <c r="D18" s="1"/>
      <c r="E18" s="1"/>
    </row>
  </sheetData>
  <sheetCalcPr fullCalcOnLoad="1"/>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56</v>
      </c>
      <c r="B1" s="71" t="s">
        <v>113</v>
      </c>
      <c r="C1" s="71" t="s">
        <v>1151</v>
      </c>
      <c r="D1" s="72"/>
      <c r="E1" s="70"/>
      <c r="F1">
        <f>VLOOKUP(A1,'Hra 2P'!I8:J390,2,0)</f>
        <v>338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2P'!E338=""),"",'Hra 2P'!E338)</f>
        <v/>
      </c>
      <c r="D8" s="74" t="str">
        <f>IF(('Hra 2P'!F338=""),"",'Hra 2P'!F338)</f>
        <v/>
      </c>
      <c r="E8" s="43" t="str">
        <f ca="1">B6</f>
        <v xml:space="preserve"> - </v>
      </c>
    </row>
    <row r="9" spans="1:20" ht="19.5">
      <c r="A9" s="70"/>
      <c r="B9" s="43" t="str">
        <f ca="1">B4</f>
        <v xml:space="preserve"> - </v>
      </c>
      <c r="C9" s="74" t="str">
        <f>IF(('Hra 2P'!E339=""),"",'Hra 2P'!E339)</f>
        <v/>
      </c>
      <c r="D9" s="74" t="str">
        <f>IF(('Hra 2P'!F339=""),"",'Hra 2P'!F339)</f>
        <v/>
      </c>
      <c r="E9" s="43" t="str">
        <f ca="1">B5</f>
        <v xml:space="preserve"> - </v>
      </c>
    </row>
    <row r="10" spans="1:20" ht="19.5">
      <c r="A10" s="75" t="s">
        <v>46</v>
      </c>
      <c r="B10" s="43" t="str">
        <f ca="1">IF(TRIM(E8)="-",B8,IF(AND(C8="",D8="")," ",IF(N(C8)&gt;N(D8),B8,E8)))</f>
        <v xml:space="preserve"> - </v>
      </c>
      <c r="C10" s="74" t="str">
        <f>IF(('Hra 2P'!E340=""),"",'Hra 2P'!E340)</f>
        <v/>
      </c>
      <c r="D10" s="74" t="str">
        <f>IF(('Hra 2P'!F340=""),"",'Hra 2P'!F340)</f>
        <v/>
      </c>
      <c r="E10" s="43" t="str">
        <f>IF(AND(C9="",D9="")," ",IF(N(C9)&gt;N(D9),B9,E9))</f>
        <v xml:space="preserve"> </v>
      </c>
    </row>
    <row r="11" spans="1:20" ht="19.5">
      <c r="A11" s="75" t="s">
        <v>47</v>
      </c>
      <c r="B11" s="43" t="str">
        <f ca="1">IF(TRIM(E8)="-",E8,IF(AND(C8="",D8="")," ",IF(N(C8)&gt;N(D8),E8,B8)))</f>
        <v xml:space="preserve"> - </v>
      </c>
      <c r="C11" s="74" t="str">
        <f>IF(('Hra 2P'!E341=""),"",'Hra 2P'!E341)</f>
        <v/>
      </c>
      <c r="D11" s="74" t="str">
        <f>IF(('Hra 2P'!F341=""),"",'Hra 2P'!F341)</f>
        <v/>
      </c>
      <c r="E11" s="43" t="str">
        <f ca="1">IF(TRIM(E9)="",E9,IF(AND(C9="",D9="")," ",IF(N(C9)&gt;N(D9),E9,B9)))</f>
        <v xml:space="preserve"> </v>
      </c>
    </row>
    <row r="12" spans="1:20" ht="19.5">
      <c r="A12" s="75" t="s">
        <v>48</v>
      </c>
      <c r="B12" s="43" t="str">
        <f>IF(TRIM(E10)="",E10,IF(AND(C10="",D10="")," ",IF(N(C10)&gt;N(D10),E10,B10)))</f>
        <v xml:space="preserve"> </v>
      </c>
      <c r="C12" s="74" t="str">
        <f>IF(('Hra 2P'!E342=""),"",'Hra 2P'!E342)</f>
        <v/>
      </c>
      <c r="D12" s="74" t="str">
        <f>IF(('Hra 2P'!F342=""),"",'Hra 2P'!F342)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BD1</v>
      </c>
      <c r="D14" s="70"/>
      <c r="E14" s="70"/>
    </row>
    <row r="15" spans="1:20" ht="19.5">
      <c r="A15" s="70" t="s">
        <v>32</v>
      </c>
      <c r="B15" s="43" t="str">
        <f>IF(N(C12)+N(D12)&gt;0,IF(N(C12)&gt;N(D12),B12,E12),"")</f>
        <v/>
      </c>
      <c r="C15" s="73" t="str">
        <f>CONCATENATE($C$1,A4)</f>
        <v>BD2</v>
      </c>
      <c r="D15" s="70"/>
      <c r="E15" s="70"/>
    </row>
    <row r="16" spans="1:20" ht="19.5">
      <c r="A16" s="70" t="s">
        <v>33</v>
      </c>
      <c r="B16" s="43" t="str">
        <f>IF(N(C12)+N(D12)&gt;0,IF(N(C12)&gt;N(D12),E12,B12),"")</f>
        <v/>
      </c>
      <c r="C16" s="73" t="str">
        <f>CONCATENATE($C$1,A5)</f>
        <v>BD3</v>
      </c>
      <c r="D16" s="70"/>
      <c r="E16" s="70"/>
    </row>
    <row r="17" spans="1:5" ht="19.5">
      <c r="A17" s="70" t="s">
        <v>34</v>
      </c>
      <c r="B17" s="78" t="str">
        <f>IF(N(C11)+N(D11)&gt;0,IF(N(C11)&gt;N(D11),E11,B11),"")</f>
        <v/>
      </c>
      <c r="C17" s="73" t="str">
        <f>CONCATENATE($C$1,A6)</f>
        <v>BD4</v>
      </c>
      <c r="D17" s="70"/>
      <c r="E17" s="70"/>
    </row>
    <row r="18" spans="1:5" ht="19.5">
      <c r="A18" s="1"/>
      <c r="B18" s="1"/>
      <c r="C18" s="1"/>
      <c r="D18" s="1"/>
      <c r="E18" s="1"/>
    </row>
  </sheetData>
  <sheetCalcPr fullCalcOnLoad="1"/>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55</v>
      </c>
      <c r="B1" s="71" t="s">
        <v>113</v>
      </c>
      <c r="C1" s="71" t="s">
        <v>1152</v>
      </c>
      <c r="D1" s="72"/>
      <c r="E1" s="70"/>
      <c r="F1">
        <f>VLOOKUP(A1,'Hra 2P'!I8:J390,2,0)</f>
        <v>332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2P'!E332=""),"",'Hra 2P'!E332)</f>
        <v/>
      </c>
      <c r="D8" s="74" t="str">
        <f>IF(('Hra 2P'!F332=""),"",'Hra 2P'!F332)</f>
        <v/>
      </c>
      <c r="E8" s="43" t="str">
        <f ca="1">B6</f>
        <v xml:space="preserve"> - </v>
      </c>
    </row>
    <row r="9" spans="1:20" ht="19.5">
      <c r="A9" s="70"/>
      <c r="B9" s="43" t="str">
        <f ca="1">B4</f>
        <v xml:space="preserve"> - </v>
      </c>
      <c r="C9" s="74" t="str">
        <f>IF(('Hra 2P'!E333=""),"",'Hra 2P'!E333)</f>
        <v/>
      </c>
      <c r="D9" s="74" t="str">
        <f>IF(('Hra 2P'!F333=""),"",'Hra 2P'!F333)</f>
        <v/>
      </c>
      <c r="E9" s="43" t="str">
        <f ca="1">B5</f>
        <v xml:space="preserve"> - </v>
      </c>
    </row>
    <row r="10" spans="1:20" ht="19.5">
      <c r="A10" s="75" t="s">
        <v>46</v>
      </c>
      <c r="B10" s="43" t="str">
        <f ca="1">IF(TRIM(E8)="-",B8,IF(AND(C8="",D8="")," ",IF(N(C8)&gt;N(D8),B8,E8)))</f>
        <v xml:space="preserve"> - </v>
      </c>
      <c r="C10" s="74" t="str">
        <f>IF(('Hra 2P'!E334=""),"",'Hra 2P'!E334)</f>
        <v/>
      </c>
      <c r="D10" s="74" t="str">
        <f>IF(('Hra 2P'!F334=""),"",'Hra 2P'!F334)</f>
        <v/>
      </c>
      <c r="E10" s="43" t="str">
        <f>IF(AND(C9="",D9="")," ",IF(N(C9)&gt;N(D9),B9,E9))</f>
        <v xml:space="preserve"> </v>
      </c>
    </row>
    <row r="11" spans="1:20" ht="19.5">
      <c r="A11" s="75" t="s">
        <v>47</v>
      </c>
      <c r="B11" s="43" t="str">
        <f ca="1">IF(TRIM(E8)="-",E8,IF(AND(C8="",D8="")," ",IF(N(C8)&gt;N(D8),E8,B8)))</f>
        <v xml:space="preserve"> - </v>
      </c>
      <c r="C11" s="74" t="str">
        <f>IF(('Hra 2P'!E335=""),"",'Hra 2P'!E335)</f>
        <v/>
      </c>
      <c r="D11" s="74" t="str">
        <f>IF(('Hra 2P'!F335=""),"",'Hra 2P'!F335)</f>
        <v/>
      </c>
      <c r="E11" s="43" t="str">
        <f ca="1">IF(TRIM(E9)="",E9,IF(AND(C9="",D9="")," ",IF(N(C9)&gt;N(D9),E9,B9)))</f>
        <v xml:space="preserve"> </v>
      </c>
    </row>
    <row r="12" spans="1:20" ht="19.5">
      <c r="A12" s="75" t="s">
        <v>48</v>
      </c>
      <c r="B12" s="43" t="str">
        <f>IF(TRIM(E10)="",E10,IF(AND(C10="",D10="")," ",IF(N(C10)&gt;N(D10),E10,B10)))</f>
        <v xml:space="preserve"> </v>
      </c>
      <c r="C12" s="74" t="str">
        <f>IF(('Hra 2P'!E336=""),"",'Hra 2P'!E336)</f>
        <v/>
      </c>
      <c r="D12" s="74" t="str">
        <f>IF(('Hra 2P'!F336=""),"",'Hra 2P'!F336)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BC1</v>
      </c>
      <c r="D14" s="70"/>
      <c r="E14" s="70"/>
    </row>
    <row r="15" spans="1:20" ht="19.5">
      <c r="A15" s="70" t="s">
        <v>32</v>
      </c>
      <c r="B15" s="43" t="str">
        <f>IF(N(C12)+N(D12)&gt;0,IF(N(C12)&gt;N(D12),B12,E12),"")</f>
        <v/>
      </c>
      <c r="C15" s="73" t="str">
        <f>CONCATENATE($C$1,A4)</f>
        <v>BC2</v>
      </c>
      <c r="D15" s="70"/>
      <c r="E15" s="70"/>
    </row>
    <row r="16" spans="1:20" ht="19.5">
      <c r="A16" s="70" t="s">
        <v>33</v>
      </c>
      <c r="B16" s="43" t="str">
        <f>IF(N(C12)+N(D12)&gt;0,IF(N(C12)&gt;N(D12),E12,B12),"")</f>
        <v/>
      </c>
      <c r="C16" s="73" t="str">
        <f>CONCATENATE($C$1,A5)</f>
        <v>BC3</v>
      </c>
      <c r="D16" s="70"/>
      <c r="E16" s="70"/>
    </row>
    <row r="17" spans="1:5" ht="19.5">
      <c r="A17" s="70" t="s">
        <v>34</v>
      </c>
      <c r="B17" s="78" t="str">
        <f>IF(N(C11)+N(D11)&gt;0,IF(N(C11)&gt;N(D11),E11,B11),"")</f>
        <v/>
      </c>
      <c r="C17" s="73" t="str">
        <f>CONCATENATE($C$1,A6)</f>
        <v>BC4</v>
      </c>
      <c r="D17" s="70"/>
      <c r="E17" s="70"/>
    </row>
    <row r="18" spans="1:5" ht="19.5">
      <c r="A18" s="1"/>
      <c r="B18" s="1"/>
      <c r="C18" s="1"/>
      <c r="D18" s="1"/>
      <c r="E18" s="1"/>
    </row>
  </sheetData>
  <sheetCalcPr fullCalcOnLoad="1"/>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54</v>
      </c>
      <c r="B1" s="71" t="s">
        <v>113</v>
      </c>
      <c r="C1" s="71" t="s">
        <v>1153</v>
      </c>
      <c r="D1" s="72"/>
      <c r="E1" s="70"/>
      <c r="F1">
        <f>VLOOKUP(A1,'Hra 2P'!I8:J390,2,0)</f>
        <v>326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2P'!E326=""),"",'Hra 2P'!E326)</f>
        <v/>
      </c>
      <c r="D8" s="74" t="str">
        <f>IF(('Hra 2P'!F326=""),"",'Hra 2P'!F326)</f>
        <v/>
      </c>
      <c r="E8" s="43" t="str">
        <f ca="1">B6</f>
        <v xml:space="preserve"> - </v>
      </c>
    </row>
    <row r="9" spans="1:20" ht="19.5">
      <c r="A9" s="70"/>
      <c r="B9" s="43" t="str">
        <f ca="1">B4</f>
        <v xml:space="preserve"> - </v>
      </c>
      <c r="C9" s="74" t="str">
        <f>IF(('Hra 2P'!E327=""),"",'Hra 2P'!E327)</f>
        <v/>
      </c>
      <c r="D9" s="74" t="str">
        <f>IF(('Hra 2P'!F327=""),"",'Hra 2P'!F327)</f>
        <v/>
      </c>
      <c r="E9" s="43" t="str">
        <f ca="1">B5</f>
        <v xml:space="preserve"> - </v>
      </c>
    </row>
    <row r="10" spans="1:20" ht="19.5">
      <c r="A10" s="75" t="s">
        <v>46</v>
      </c>
      <c r="B10" s="43" t="str">
        <f ca="1">IF(TRIM(E8)="-",B8,IF(AND(C8="",D8="")," ",IF(N(C8)&gt;N(D8),B8,E8)))</f>
        <v xml:space="preserve"> - </v>
      </c>
      <c r="C10" s="74" t="str">
        <f>IF(('Hra 2P'!E328=""),"",'Hra 2P'!E328)</f>
        <v/>
      </c>
      <c r="D10" s="74" t="str">
        <f>IF(('Hra 2P'!F328=""),"",'Hra 2P'!F328)</f>
        <v/>
      </c>
      <c r="E10" s="43" t="str">
        <f>IF(AND(C9="",D9="")," ",IF(N(C9)&gt;N(D9),B9,E9))</f>
        <v xml:space="preserve"> </v>
      </c>
    </row>
    <row r="11" spans="1:20" ht="19.5">
      <c r="A11" s="75" t="s">
        <v>47</v>
      </c>
      <c r="B11" s="43" t="str">
        <f ca="1">IF(TRIM(E8)="-",E8,IF(AND(C8="",D8="")," ",IF(N(C8)&gt;N(D8),E8,B8)))</f>
        <v xml:space="preserve"> - </v>
      </c>
      <c r="C11" s="74" t="str">
        <f>IF(('Hra 2P'!E329=""),"",'Hra 2P'!E329)</f>
        <v/>
      </c>
      <c r="D11" s="74" t="str">
        <f>IF(('Hra 2P'!F329=""),"",'Hra 2P'!F329)</f>
        <v/>
      </c>
      <c r="E11" s="43" t="str">
        <f ca="1">IF(TRIM(E9)="",E9,IF(AND(C9="",D9="")," ",IF(N(C9)&gt;N(D9),E9,B9)))</f>
        <v xml:space="preserve"> </v>
      </c>
    </row>
    <row r="12" spans="1:20" ht="19.5">
      <c r="A12" s="75" t="s">
        <v>48</v>
      </c>
      <c r="B12" s="43" t="str">
        <f>IF(TRIM(E10)="",E10,IF(AND(C10="",D10="")," ",IF(N(C10)&gt;N(D10),E10,B10)))</f>
        <v xml:space="preserve"> </v>
      </c>
      <c r="C12" s="74" t="str">
        <f>IF(('Hra 2P'!E330=""),"",'Hra 2P'!E330)</f>
        <v/>
      </c>
      <c r="D12" s="74" t="str">
        <f>IF(('Hra 2P'!F330=""),"",'Hra 2P'!F330)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BB1</v>
      </c>
      <c r="D14" s="70"/>
      <c r="E14" s="70"/>
    </row>
    <row r="15" spans="1:20" ht="19.5">
      <c r="A15" s="70" t="s">
        <v>32</v>
      </c>
      <c r="B15" s="43" t="str">
        <f>IF(N(C12)+N(D12)&gt;0,IF(N(C12)&gt;N(D12),B12,E12),"")</f>
        <v/>
      </c>
      <c r="C15" s="73" t="str">
        <f>CONCATENATE($C$1,A4)</f>
        <v>BB2</v>
      </c>
      <c r="D15" s="70"/>
      <c r="E15" s="70"/>
    </row>
    <row r="16" spans="1:20" ht="19.5">
      <c r="A16" s="70" t="s">
        <v>33</v>
      </c>
      <c r="B16" s="43" t="str">
        <f>IF(N(C12)+N(D12)&gt;0,IF(N(C12)&gt;N(D12),E12,B12),"")</f>
        <v/>
      </c>
      <c r="C16" s="73" t="str">
        <f>CONCATENATE($C$1,A5)</f>
        <v>BB3</v>
      </c>
      <c r="D16" s="70"/>
      <c r="E16" s="70"/>
    </row>
    <row r="17" spans="1:5" ht="19.5">
      <c r="A17" s="70" t="s">
        <v>34</v>
      </c>
      <c r="B17" s="78" t="str">
        <f>IF(N(C11)+N(D11)&gt;0,IF(N(C11)&gt;N(D11),E11,B11),"")</f>
        <v/>
      </c>
      <c r="C17" s="73" t="str">
        <f>CONCATENATE($C$1,A6)</f>
        <v>BB4</v>
      </c>
      <c r="D17" s="70"/>
      <c r="E17" s="70"/>
    </row>
    <row r="18" spans="1:5" ht="19.5">
      <c r="A18" s="1"/>
      <c r="B18" s="1"/>
      <c r="C18" s="1"/>
      <c r="D18" s="1"/>
      <c r="E18" s="1"/>
    </row>
  </sheetData>
  <sheetCalcPr fullCalcOnLoad="1"/>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53</v>
      </c>
      <c r="B1" s="71" t="s">
        <v>113</v>
      </c>
      <c r="C1" s="71" t="s">
        <v>1154</v>
      </c>
      <c r="D1" s="72"/>
      <c r="E1" s="70"/>
      <c r="F1">
        <f>VLOOKUP(A1,'Hra 2P'!I8:J390,2,0)</f>
        <v>320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2P'!E320=""),"",'Hra 2P'!E320)</f>
        <v/>
      </c>
      <c r="D8" s="74" t="str">
        <f>IF(('Hra 2P'!F320=""),"",'Hra 2P'!F320)</f>
        <v/>
      </c>
      <c r="E8" s="43" t="str">
        <f ca="1">B6</f>
        <v xml:space="preserve"> - </v>
      </c>
    </row>
    <row r="9" spans="1:20" ht="19.5">
      <c r="A9" s="70"/>
      <c r="B9" s="43" t="str">
        <f ca="1">B4</f>
        <v xml:space="preserve"> - </v>
      </c>
      <c r="C9" s="74" t="str">
        <f>IF(('Hra 2P'!E321=""),"",'Hra 2P'!E321)</f>
        <v/>
      </c>
      <c r="D9" s="74" t="str">
        <f>IF(('Hra 2P'!F321=""),"",'Hra 2P'!F321)</f>
        <v/>
      </c>
      <c r="E9" s="43" t="str">
        <f ca="1">B5</f>
        <v xml:space="preserve"> - </v>
      </c>
    </row>
    <row r="10" spans="1:20" ht="19.5">
      <c r="A10" s="75" t="s">
        <v>46</v>
      </c>
      <c r="B10" s="43" t="str">
        <f ca="1">IF(TRIM(E8)="-",B8,IF(AND(C8="",D8="")," ",IF(N(C8)&gt;N(D8),B8,E8)))</f>
        <v xml:space="preserve"> - </v>
      </c>
      <c r="C10" s="74" t="str">
        <f>IF(('Hra 2P'!E322=""),"",'Hra 2P'!E322)</f>
        <v/>
      </c>
      <c r="D10" s="74" t="str">
        <f>IF(('Hra 2P'!F322=""),"",'Hra 2P'!F322)</f>
        <v/>
      </c>
      <c r="E10" s="43" t="str">
        <f>IF(AND(C9="",D9="")," ",IF(N(C9)&gt;N(D9),B9,E9))</f>
        <v xml:space="preserve"> </v>
      </c>
    </row>
    <row r="11" spans="1:20" ht="19.5">
      <c r="A11" s="75" t="s">
        <v>47</v>
      </c>
      <c r="B11" s="43" t="str">
        <f ca="1">IF(TRIM(E8)="-",E8,IF(AND(C8="",D8="")," ",IF(N(C8)&gt;N(D8),E8,B8)))</f>
        <v xml:space="preserve"> - </v>
      </c>
      <c r="C11" s="74" t="str">
        <f>IF(('Hra 2P'!E323=""),"",'Hra 2P'!E323)</f>
        <v/>
      </c>
      <c r="D11" s="74" t="str">
        <f>IF(('Hra 2P'!F323=""),"",'Hra 2P'!F323)</f>
        <v/>
      </c>
      <c r="E11" s="43" t="str">
        <f ca="1">IF(TRIM(E9)="",E9,IF(AND(C9="",D9="")," ",IF(N(C9)&gt;N(D9),E9,B9)))</f>
        <v xml:space="preserve"> </v>
      </c>
    </row>
    <row r="12" spans="1:20" ht="19.5">
      <c r="A12" s="75" t="s">
        <v>48</v>
      </c>
      <c r="B12" s="43" t="str">
        <f>IF(TRIM(E10)="",E10,IF(AND(C10="",D10="")," ",IF(N(C10)&gt;N(D10),E10,B10)))</f>
        <v xml:space="preserve"> </v>
      </c>
      <c r="C12" s="74" t="str">
        <f>IF(('Hra 2P'!E324=""),"",'Hra 2P'!E324)</f>
        <v/>
      </c>
      <c r="D12" s="74" t="str">
        <f>IF(('Hra 2P'!F324=""),"",'Hra 2P'!F324)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BA1</v>
      </c>
      <c r="D14" s="70"/>
      <c r="E14" s="70"/>
    </row>
    <row r="15" spans="1:20" ht="19.5">
      <c r="A15" s="70" t="s">
        <v>32</v>
      </c>
      <c r="B15" s="43" t="str">
        <f>IF(N(C12)+N(D12)&gt;0,IF(N(C12)&gt;N(D12),B12,E12),"")</f>
        <v/>
      </c>
      <c r="C15" s="73" t="str">
        <f>CONCATENATE($C$1,A4)</f>
        <v>BA2</v>
      </c>
      <c r="D15" s="70"/>
      <c r="E15" s="70"/>
    </row>
    <row r="16" spans="1:20" ht="19.5">
      <c r="A16" s="70" t="s">
        <v>33</v>
      </c>
      <c r="B16" s="43" t="str">
        <f>IF(N(C12)+N(D12)&gt;0,IF(N(C12)&gt;N(D12),E12,B12),"")</f>
        <v/>
      </c>
      <c r="C16" s="73" t="str">
        <f>CONCATENATE($C$1,A5)</f>
        <v>BA3</v>
      </c>
      <c r="D16" s="70"/>
      <c r="E16" s="70"/>
    </row>
    <row r="17" spans="1:5" ht="19.5">
      <c r="A17" s="70" t="s">
        <v>34</v>
      </c>
      <c r="B17" s="78" t="str">
        <f>IF(N(C11)+N(D11)&gt;0,IF(N(C11)&gt;N(D11),E11,B11),"")</f>
        <v/>
      </c>
      <c r="C17" s="73" t="str">
        <f>CONCATENATE($C$1,A6)</f>
        <v>BA4</v>
      </c>
      <c r="D17" s="70"/>
      <c r="E17" s="70"/>
    </row>
    <row r="18" spans="1:5" ht="19.5">
      <c r="A18" s="1"/>
      <c r="B18" s="1"/>
      <c r="C18" s="1"/>
      <c r="D18" s="1"/>
      <c r="E18" s="1"/>
    </row>
  </sheetData>
  <sheetCalcPr fullCalcOnLoad="1"/>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52</v>
      </c>
      <c r="B1" s="71" t="s">
        <v>113</v>
      </c>
      <c r="C1" s="71" t="s">
        <v>1155</v>
      </c>
      <c r="D1" s="72"/>
      <c r="E1" s="70"/>
      <c r="F1">
        <f>VLOOKUP(A1,'Hra 2P'!I8:J390,2,0)</f>
        <v>314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2P'!E314=""),"",'Hra 2P'!E314)</f>
        <v/>
      </c>
      <c r="D8" s="74" t="str">
        <f>IF(('Hra 2P'!F314=""),"",'Hra 2P'!F314)</f>
        <v/>
      </c>
      <c r="E8" s="43" t="str">
        <f ca="1">B6</f>
        <v xml:space="preserve"> - </v>
      </c>
    </row>
    <row r="9" spans="1:20" ht="19.5">
      <c r="A9" s="70"/>
      <c r="B9" s="43" t="str">
        <f ca="1">B4</f>
        <v xml:space="preserve"> - </v>
      </c>
      <c r="C9" s="74" t="str">
        <f>IF(('Hra 2P'!E315=""),"",'Hra 2P'!E315)</f>
        <v/>
      </c>
      <c r="D9" s="74" t="str">
        <f>IF(('Hra 2P'!F315=""),"",'Hra 2P'!F315)</f>
        <v/>
      </c>
      <c r="E9" s="43" t="str">
        <f ca="1">B5</f>
        <v xml:space="preserve"> - </v>
      </c>
    </row>
    <row r="10" spans="1:20" ht="19.5">
      <c r="A10" s="75" t="s">
        <v>46</v>
      </c>
      <c r="B10" s="43" t="str">
        <f ca="1">IF(TRIM(E8)="-",B8,IF(AND(C8="",D8="")," ",IF(N(C8)&gt;N(D8),B8,E8)))</f>
        <v xml:space="preserve"> - </v>
      </c>
      <c r="C10" s="74" t="str">
        <f>IF(('Hra 2P'!E316=""),"",'Hra 2P'!E316)</f>
        <v/>
      </c>
      <c r="D10" s="74" t="str">
        <f>IF(('Hra 2P'!F316=""),"",'Hra 2P'!F316)</f>
        <v/>
      </c>
      <c r="E10" s="43" t="str">
        <f>IF(AND(C9="",D9="")," ",IF(N(C9)&gt;N(D9),B9,E9))</f>
        <v xml:space="preserve"> </v>
      </c>
    </row>
    <row r="11" spans="1:20" ht="19.5">
      <c r="A11" s="75" t="s">
        <v>47</v>
      </c>
      <c r="B11" s="43" t="str">
        <f ca="1">IF(TRIM(E8)="-",E8,IF(AND(C8="",D8="")," ",IF(N(C8)&gt;N(D8),E8,B8)))</f>
        <v xml:space="preserve"> - </v>
      </c>
      <c r="C11" s="74" t="str">
        <f>IF(('Hra 2P'!E317=""),"",'Hra 2P'!E317)</f>
        <v/>
      </c>
      <c r="D11" s="74" t="str">
        <f>IF(('Hra 2P'!F317=""),"",'Hra 2P'!F317)</f>
        <v/>
      </c>
      <c r="E11" s="43" t="str">
        <f ca="1">IF(TRIM(E9)="",E9,IF(AND(C9="",D9="")," ",IF(N(C9)&gt;N(D9),E9,B9)))</f>
        <v xml:space="preserve"> </v>
      </c>
    </row>
    <row r="12" spans="1:20" ht="19.5">
      <c r="A12" s="75" t="s">
        <v>48</v>
      </c>
      <c r="B12" s="43" t="str">
        <f>IF(TRIM(E10)="",E10,IF(AND(C10="",D10="")," ",IF(N(C10)&gt;N(D10),E10,B10)))</f>
        <v xml:space="preserve"> </v>
      </c>
      <c r="C12" s="74" t="str">
        <f>IF(('Hra 2P'!E318=""),"",'Hra 2P'!E318)</f>
        <v/>
      </c>
      <c r="D12" s="74" t="str">
        <f>IF(('Hra 2P'!F318=""),"",'Hra 2P'!F318)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AZ1</v>
      </c>
      <c r="D14" s="70"/>
      <c r="E14" s="70"/>
    </row>
    <row r="15" spans="1:20" ht="19.5">
      <c r="A15" s="70" t="s">
        <v>32</v>
      </c>
      <c r="B15" s="43" t="str">
        <f>IF(N(C12)+N(D12)&gt;0,IF(N(C12)&gt;N(D12),B12,E12),"")</f>
        <v/>
      </c>
      <c r="C15" s="73" t="str">
        <f>CONCATENATE($C$1,A4)</f>
        <v>AZ2</v>
      </c>
      <c r="D15" s="70"/>
      <c r="E15" s="70"/>
    </row>
    <row r="16" spans="1:20" ht="19.5">
      <c r="A16" s="70" t="s">
        <v>33</v>
      </c>
      <c r="B16" s="43" t="str">
        <f>IF(N(C12)+N(D12)&gt;0,IF(N(C12)&gt;N(D12),E12,B12),"")</f>
        <v/>
      </c>
      <c r="C16" s="73" t="str">
        <f>CONCATENATE($C$1,A5)</f>
        <v>AZ3</v>
      </c>
      <c r="D16" s="70"/>
      <c r="E16" s="70"/>
    </row>
    <row r="17" spans="1:5" ht="19.5">
      <c r="A17" s="70" t="s">
        <v>34</v>
      </c>
      <c r="B17" s="78" t="str">
        <f>IF(N(C11)+N(D11)&gt;0,IF(N(C11)&gt;N(D11),E11,B11),"")</f>
        <v/>
      </c>
      <c r="C17" s="73" t="str">
        <f>CONCATENATE($C$1,A6)</f>
        <v>AZ4</v>
      </c>
      <c r="D17" s="70"/>
      <c r="E17" s="70"/>
    </row>
    <row r="18" spans="1:5" ht="19.5">
      <c r="A18" s="1"/>
      <c r="B18" s="1"/>
      <c r="C18" s="1"/>
      <c r="D18" s="1"/>
      <c r="E18" s="1"/>
    </row>
  </sheetData>
  <sheetCalcPr fullCalcOnLoad="1"/>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51</v>
      </c>
      <c r="B1" s="71" t="s">
        <v>113</v>
      </c>
      <c r="C1" s="71" t="s">
        <v>1156</v>
      </c>
      <c r="D1" s="72"/>
      <c r="E1" s="70"/>
      <c r="F1">
        <f>VLOOKUP(A1,'Hra 2P'!I8:J390,2,0)</f>
        <v>308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2P'!E308=""),"",'Hra 2P'!E308)</f>
        <v/>
      </c>
      <c r="D8" s="74" t="str">
        <f>IF(('Hra 2P'!F308=""),"",'Hra 2P'!F308)</f>
        <v/>
      </c>
      <c r="E8" s="43" t="str">
        <f ca="1">B6</f>
        <v xml:space="preserve"> - </v>
      </c>
    </row>
    <row r="9" spans="1:20" ht="19.5">
      <c r="A9" s="70"/>
      <c r="B9" s="43" t="str">
        <f ca="1">B4</f>
        <v xml:space="preserve"> - </v>
      </c>
      <c r="C9" s="74" t="str">
        <f>IF(('Hra 2P'!E309=""),"",'Hra 2P'!E309)</f>
        <v/>
      </c>
      <c r="D9" s="74" t="str">
        <f>IF(('Hra 2P'!F309=""),"",'Hra 2P'!F309)</f>
        <v/>
      </c>
      <c r="E9" s="43" t="str">
        <f ca="1">B5</f>
        <v xml:space="preserve"> - </v>
      </c>
    </row>
    <row r="10" spans="1:20" ht="19.5">
      <c r="A10" s="75" t="s">
        <v>46</v>
      </c>
      <c r="B10" s="43" t="str">
        <f ca="1">IF(TRIM(E8)="-",B8,IF(AND(C8="",D8="")," ",IF(N(C8)&gt;N(D8),B8,E8)))</f>
        <v xml:space="preserve"> - </v>
      </c>
      <c r="C10" s="74" t="str">
        <f>IF(('Hra 2P'!E310=""),"",'Hra 2P'!E310)</f>
        <v/>
      </c>
      <c r="D10" s="74" t="str">
        <f>IF(('Hra 2P'!F310=""),"",'Hra 2P'!F310)</f>
        <v/>
      </c>
      <c r="E10" s="43" t="str">
        <f>IF(AND(C9="",D9="")," ",IF(N(C9)&gt;N(D9),B9,E9))</f>
        <v xml:space="preserve"> </v>
      </c>
    </row>
    <row r="11" spans="1:20" ht="19.5">
      <c r="A11" s="75" t="s">
        <v>47</v>
      </c>
      <c r="B11" s="43" t="str">
        <f ca="1">IF(TRIM(E8)="-",E8,IF(AND(C8="",D8="")," ",IF(N(C8)&gt;N(D8),E8,B8)))</f>
        <v xml:space="preserve"> - </v>
      </c>
      <c r="C11" s="74" t="str">
        <f>IF(('Hra 2P'!E311=""),"",'Hra 2P'!E311)</f>
        <v/>
      </c>
      <c r="D11" s="74" t="str">
        <f>IF(('Hra 2P'!F311=""),"",'Hra 2P'!F311)</f>
        <v/>
      </c>
      <c r="E11" s="43" t="str">
        <f ca="1">IF(TRIM(E9)="",E9,IF(AND(C9="",D9="")," ",IF(N(C9)&gt;N(D9),E9,B9)))</f>
        <v xml:space="preserve"> </v>
      </c>
    </row>
    <row r="12" spans="1:20" ht="19.5">
      <c r="A12" s="75" t="s">
        <v>48</v>
      </c>
      <c r="B12" s="43" t="str">
        <f>IF(TRIM(E10)="",E10,IF(AND(C10="",D10="")," ",IF(N(C10)&gt;N(D10),E10,B10)))</f>
        <v xml:space="preserve"> </v>
      </c>
      <c r="C12" s="74" t="str">
        <f>IF(('Hra 2P'!E312=""),"",'Hra 2P'!E312)</f>
        <v/>
      </c>
      <c r="D12" s="74" t="str">
        <f>IF(('Hra 2P'!F312=""),"",'Hra 2P'!F312)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AY1</v>
      </c>
      <c r="D14" s="70"/>
      <c r="E14" s="70"/>
    </row>
    <row r="15" spans="1:20" ht="19.5">
      <c r="A15" s="70" t="s">
        <v>32</v>
      </c>
      <c r="B15" s="43" t="str">
        <f>IF(N(C12)+N(D12)&gt;0,IF(N(C12)&gt;N(D12),B12,E12),"")</f>
        <v/>
      </c>
      <c r="C15" s="73" t="str">
        <f>CONCATENATE($C$1,A4)</f>
        <v>AY2</v>
      </c>
      <c r="D15" s="70"/>
      <c r="E15" s="70"/>
    </row>
    <row r="16" spans="1:20" ht="19.5">
      <c r="A16" s="70" t="s">
        <v>33</v>
      </c>
      <c r="B16" s="43" t="str">
        <f>IF(N(C12)+N(D12)&gt;0,IF(N(C12)&gt;N(D12),E12,B12),"")</f>
        <v/>
      </c>
      <c r="C16" s="73" t="str">
        <f>CONCATENATE($C$1,A5)</f>
        <v>AY3</v>
      </c>
      <c r="D16" s="70"/>
      <c r="E16" s="70"/>
    </row>
    <row r="17" spans="1:5" ht="19.5">
      <c r="A17" s="70" t="s">
        <v>34</v>
      </c>
      <c r="B17" s="78" t="str">
        <f>IF(N(C11)+N(D11)&gt;0,IF(N(C11)&gt;N(D11),E11,B11),"")</f>
        <v/>
      </c>
      <c r="C17" s="73" t="str">
        <f>CONCATENATE($C$1,A6)</f>
        <v>AY4</v>
      </c>
      <c r="D17" s="70"/>
      <c r="E17" s="70"/>
    </row>
    <row r="18" spans="1:5" ht="19.5">
      <c r="A18" s="1"/>
      <c r="B18" s="1"/>
      <c r="C18" s="1"/>
      <c r="D18" s="1"/>
      <c r="E18" s="1"/>
    </row>
  </sheetData>
  <sheetCalcPr fullCalcOnLoad="1"/>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50</v>
      </c>
      <c r="B1" s="71" t="s">
        <v>113</v>
      </c>
      <c r="C1" s="71" t="s">
        <v>1157</v>
      </c>
      <c r="D1" s="72"/>
      <c r="E1" s="70"/>
      <c r="F1">
        <f>VLOOKUP(A1,'Hra 2P'!I8:J390,2,0)</f>
        <v>302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2P'!E302=""),"",'Hra 2P'!E302)</f>
        <v/>
      </c>
      <c r="D8" s="74" t="str">
        <f>IF(('Hra 2P'!F302=""),"",'Hra 2P'!F302)</f>
        <v/>
      </c>
      <c r="E8" s="43" t="str">
        <f ca="1">B6</f>
        <v xml:space="preserve"> - </v>
      </c>
    </row>
    <row r="9" spans="1:20" ht="19.5">
      <c r="A9" s="70"/>
      <c r="B9" s="43" t="str">
        <f ca="1">B4</f>
        <v xml:space="preserve"> - </v>
      </c>
      <c r="C9" s="74" t="str">
        <f>IF(('Hra 2P'!E303=""),"",'Hra 2P'!E303)</f>
        <v/>
      </c>
      <c r="D9" s="74" t="str">
        <f>IF(('Hra 2P'!F303=""),"",'Hra 2P'!F303)</f>
        <v/>
      </c>
      <c r="E9" s="43" t="str">
        <f ca="1">B5</f>
        <v xml:space="preserve"> - </v>
      </c>
    </row>
    <row r="10" spans="1:20" ht="19.5">
      <c r="A10" s="75" t="s">
        <v>46</v>
      </c>
      <c r="B10" s="43" t="str">
        <f ca="1">IF(TRIM(E8)="-",B8,IF(AND(C8="",D8="")," ",IF(N(C8)&gt;N(D8),B8,E8)))</f>
        <v xml:space="preserve"> - </v>
      </c>
      <c r="C10" s="74" t="str">
        <f>IF(('Hra 2P'!E304=""),"",'Hra 2P'!E304)</f>
        <v/>
      </c>
      <c r="D10" s="74" t="str">
        <f>IF(('Hra 2P'!F304=""),"",'Hra 2P'!F304)</f>
        <v/>
      </c>
      <c r="E10" s="43" t="str">
        <f>IF(AND(C9="",D9="")," ",IF(N(C9)&gt;N(D9),B9,E9))</f>
        <v xml:space="preserve"> </v>
      </c>
    </row>
    <row r="11" spans="1:20" ht="19.5">
      <c r="A11" s="75" t="s">
        <v>47</v>
      </c>
      <c r="B11" s="43" t="str">
        <f ca="1">IF(TRIM(E8)="-",E8,IF(AND(C8="",D8="")," ",IF(N(C8)&gt;N(D8),E8,B8)))</f>
        <v xml:space="preserve"> - </v>
      </c>
      <c r="C11" s="74" t="str">
        <f>IF(('Hra 2P'!E305=""),"",'Hra 2P'!E305)</f>
        <v/>
      </c>
      <c r="D11" s="74" t="str">
        <f>IF(('Hra 2P'!F305=""),"",'Hra 2P'!F305)</f>
        <v/>
      </c>
      <c r="E11" s="43" t="str">
        <f ca="1">IF(TRIM(E9)="",E9,IF(AND(C9="",D9="")," ",IF(N(C9)&gt;N(D9),E9,B9)))</f>
        <v xml:space="preserve"> </v>
      </c>
    </row>
    <row r="12" spans="1:20" ht="19.5">
      <c r="A12" s="75" t="s">
        <v>48</v>
      </c>
      <c r="B12" s="43" t="str">
        <f>IF(TRIM(E10)="",E10,IF(AND(C10="",D10="")," ",IF(N(C10)&gt;N(D10),E10,B10)))</f>
        <v xml:space="preserve"> </v>
      </c>
      <c r="C12" s="74" t="str">
        <f>IF(('Hra 2P'!E306=""),"",'Hra 2P'!E306)</f>
        <v/>
      </c>
      <c r="D12" s="74" t="str">
        <f>IF(('Hra 2P'!F306=""),"",'Hra 2P'!F306)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AX1</v>
      </c>
      <c r="D14" s="70"/>
      <c r="E14" s="70"/>
    </row>
    <row r="15" spans="1:20" ht="19.5">
      <c r="A15" s="70" t="s">
        <v>32</v>
      </c>
      <c r="B15" s="43" t="str">
        <f>IF(N(C12)+N(D12)&gt;0,IF(N(C12)&gt;N(D12),B12,E12),"")</f>
        <v/>
      </c>
      <c r="C15" s="73" t="str">
        <f>CONCATENATE($C$1,A4)</f>
        <v>AX2</v>
      </c>
      <c r="D15" s="70"/>
      <c r="E15" s="70"/>
    </row>
    <row r="16" spans="1:20" ht="19.5">
      <c r="A16" s="70" t="s">
        <v>33</v>
      </c>
      <c r="B16" s="43" t="str">
        <f>IF(N(C12)+N(D12)&gt;0,IF(N(C12)&gt;N(D12),E12,B12),"")</f>
        <v/>
      </c>
      <c r="C16" s="73" t="str">
        <f>CONCATENATE($C$1,A5)</f>
        <v>AX3</v>
      </c>
      <c r="D16" s="70"/>
      <c r="E16" s="70"/>
    </row>
    <row r="17" spans="1:5" ht="19.5">
      <c r="A17" s="70" t="s">
        <v>34</v>
      </c>
      <c r="B17" s="78" t="str">
        <f>IF(N(C11)+N(D11)&gt;0,IF(N(C11)&gt;N(D11),E11,B11),"")</f>
        <v/>
      </c>
      <c r="C17" s="73" t="str">
        <f>CONCATENATE($C$1,A6)</f>
        <v>AX4</v>
      </c>
      <c r="D17" s="70"/>
      <c r="E17" s="70"/>
    </row>
    <row r="18" spans="1:5" ht="19.5">
      <c r="A18" s="1"/>
      <c r="B18" s="1"/>
      <c r="C18" s="1"/>
      <c r="D18" s="1"/>
      <c r="E18" s="1"/>
    </row>
  </sheetData>
  <sheetCalcPr fullCalcOnLoad="1"/>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49</v>
      </c>
      <c r="B1" s="71" t="s">
        <v>113</v>
      </c>
      <c r="C1" s="71" t="s">
        <v>1158</v>
      </c>
      <c r="D1" s="72"/>
      <c r="E1" s="70"/>
      <c r="F1">
        <f>VLOOKUP(A1,'Hra 2P'!I8:J390,2,0)</f>
        <v>296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2P'!E296=""),"",'Hra 2P'!E296)</f>
        <v/>
      </c>
      <c r="D8" s="74" t="str">
        <f>IF(('Hra 2P'!F296=""),"",'Hra 2P'!F296)</f>
        <v/>
      </c>
      <c r="E8" s="43" t="str">
        <f ca="1">B6</f>
        <v xml:space="preserve"> - </v>
      </c>
    </row>
    <row r="9" spans="1:20" ht="19.5">
      <c r="A9" s="70"/>
      <c r="B9" s="43" t="str">
        <f ca="1">B4</f>
        <v xml:space="preserve"> - </v>
      </c>
      <c r="C9" s="74" t="str">
        <f>IF(('Hra 2P'!E297=""),"",'Hra 2P'!E297)</f>
        <v/>
      </c>
      <c r="D9" s="74" t="str">
        <f>IF(('Hra 2P'!F297=""),"",'Hra 2P'!F297)</f>
        <v/>
      </c>
      <c r="E9" s="43" t="str">
        <f ca="1">B5</f>
        <v xml:space="preserve"> - </v>
      </c>
    </row>
    <row r="10" spans="1:20" ht="19.5">
      <c r="A10" s="75" t="s">
        <v>46</v>
      </c>
      <c r="B10" s="43" t="str">
        <f ca="1">IF(TRIM(E8)="-",B8,IF(AND(C8="",D8="")," ",IF(N(C8)&gt;N(D8),B8,E8)))</f>
        <v xml:space="preserve"> - </v>
      </c>
      <c r="C10" s="74" t="str">
        <f>IF(('Hra 2P'!E298=""),"",'Hra 2P'!E298)</f>
        <v/>
      </c>
      <c r="D10" s="74" t="str">
        <f>IF(('Hra 2P'!F298=""),"",'Hra 2P'!F298)</f>
        <v/>
      </c>
      <c r="E10" s="43" t="str">
        <f>IF(AND(C9="",D9="")," ",IF(N(C9)&gt;N(D9),B9,E9))</f>
        <v xml:space="preserve"> </v>
      </c>
    </row>
    <row r="11" spans="1:20" ht="19.5">
      <c r="A11" s="75" t="s">
        <v>47</v>
      </c>
      <c r="B11" s="43" t="str">
        <f ca="1">IF(TRIM(E8)="-",E8,IF(AND(C8="",D8="")," ",IF(N(C8)&gt;N(D8),E8,B8)))</f>
        <v xml:space="preserve"> - </v>
      </c>
      <c r="C11" s="74" t="str">
        <f>IF(('Hra 2P'!E299=""),"",'Hra 2P'!E299)</f>
        <v/>
      </c>
      <c r="D11" s="74" t="str">
        <f>IF(('Hra 2P'!F299=""),"",'Hra 2P'!F299)</f>
        <v/>
      </c>
      <c r="E11" s="43" t="str">
        <f ca="1">IF(TRIM(E9)="",E9,IF(AND(C9="",D9="")," ",IF(N(C9)&gt;N(D9),E9,B9)))</f>
        <v xml:space="preserve"> </v>
      </c>
    </row>
    <row r="12" spans="1:20" ht="19.5">
      <c r="A12" s="75" t="s">
        <v>48</v>
      </c>
      <c r="B12" s="43" t="str">
        <f>IF(TRIM(E10)="",E10,IF(AND(C10="",D10="")," ",IF(N(C10)&gt;N(D10),E10,B10)))</f>
        <v xml:space="preserve"> </v>
      </c>
      <c r="C12" s="74" t="str">
        <f>IF(('Hra 2P'!E300=""),"",'Hra 2P'!E300)</f>
        <v/>
      </c>
      <c r="D12" s="74" t="str">
        <f>IF(('Hra 2P'!F300=""),"",'Hra 2P'!F300)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AW1</v>
      </c>
      <c r="D14" s="70"/>
      <c r="E14" s="70"/>
    </row>
    <row r="15" spans="1:20" ht="19.5">
      <c r="A15" s="70" t="s">
        <v>32</v>
      </c>
      <c r="B15" s="43" t="str">
        <f>IF(N(C12)+N(D12)&gt;0,IF(N(C12)&gt;N(D12),B12,E12),"")</f>
        <v/>
      </c>
      <c r="C15" s="73" t="str">
        <f>CONCATENATE($C$1,A4)</f>
        <v>AW2</v>
      </c>
      <c r="D15" s="70"/>
      <c r="E15" s="70"/>
    </row>
    <row r="16" spans="1:20" ht="19.5">
      <c r="A16" s="70" t="s">
        <v>33</v>
      </c>
      <c r="B16" s="43" t="str">
        <f>IF(N(C12)+N(D12)&gt;0,IF(N(C12)&gt;N(D12),E12,B12),"")</f>
        <v/>
      </c>
      <c r="C16" s="73" t="str">
        <f>CONCATENATE($C$1,A5)</f>
        <v>AW3</v>
      </c>
      <c r="D16" s="70"/>
      <c r="E16" s="70"/>
    </row>
    <row r="17" spans="1:5" ht="19.5">
      <c r="A17" s="70" t="s">
        <v>34</v>
      </c>
      <c r="B17" s="78" t="str">
        <f>IF(N(C11)+N(D11)&gt;0,IF(N(C11)&gt;N(D11),E11,B11),"")</f>
        <v/>
      </c>
      <c r="C17" s="73" t="str">
        <f>CONCATENATE($C$1,A6)</f>
        <v>AW4</v>
      </c>
      <c r="D17" s="70"/>
      <c r="E17" s="70"/>
    </row>
    <row r="18" spans="1:5" ht="19.5">
      <c r="A18" s="1"/>
      <c r="B18" s="1"/>
      <c r="C18" s="1"/>
      <c r="D18" s="1"/>
      <c r="E18" s="1"/>
    </row>
  </sheetData>
  <sheetCalcPr fullCalcOnLoad="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sheetPr codeName="List62">
    <tabColor rgb="FFFF0000"/>
  </sheetPr>
  <dimension ref="A1:E30"/>
  <sheetViews>
    <sheetView workbookViewId="0">
      <pane xSplit="4" ySplit="2" topLeftCell="E9" activePane="bottomRight" state="frozen"/>
      <selection pane="topRight" activeCell="E1" sqref="E1"/>
      <selection pane="bottomLeft" activeCell="A3" sqref="A3"/>
      <selection pane="bottomRight" activeCell="M21" sqref="M21"/>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1" t="s">
        <v>1019</v>
      </c>
      <c r="C2" s="492"/>
      <c r="D2" s="492"/>
      <c r="E2" s="493"/>
    </row>
    <row r="3" spans="1:5">
      <c r="C3" s="163" t="s">
        <v>1020</v>
      </c>
      <c r="E3" t="s">
        <v>2272</v>
      </c>
    </row>
    <row r="5" spans="1:5" ht="15.75">
      <c r="B5" s="494" t="s">
        <v>1021</v>
      </c>
    </row>
    <row r="6" spans="1:5">
      <c r="C6" s="163" t="s">
        <v>1022</v>
      </c>
      <c r="E6" s="327" t="s">
        <v>2273</v>
      </c>
    </row>
    <row r="7" spans="1:5" ht="15.75">
      <c r="A7" s="163"/>
      <c r="C7" s="163" t="s">
        <v>1023</v>
      </c>
      <c r="E7" s="495" t="s">
        <v>2274</v>
      </c>
    </row>
    <row r="8" spans="1:5" ht="15.75">
      <c r="A8" s="163"/>
      <c r="C8" s="163" t="s">
        <v>1024</v>
      </c>
      <c r="E8" s="496" t="s">
        <v>2275</v>
      </c>
    </row>
    <row r="9" spans="1:5">
      <c r="C9" s="163" t="s">
        <v>1025</v>
      </c>
      <c r="E9" s="327" t="s">
        <v>2276</v>
      </c>
    </row>
    <row r="10" spans="1:5" ht="15.75">
      <c r="C10" s="163" t="s">
        <v>1026</v>
      </c>
      <c r="E10" s="497" t="s">
        <v>2277</v>
      </c>
    </row>
    <row r="11" spans="1:5">
      <c r="C11" s="163" t="s">
        <v>1027</v>
      </c>
      <c r="E11" s="327" t="s">
        <v>2278</v>
      </c>
    </row>
    <row r="12" spans="1:5">
      <c r="C12" s="163" t="s">
        <v>1028</v>
      </c>
      <c r="E12" s="327" t="s">
        <v>2279</v>
      </c>
    </row>
    <row r="13" spans="1:5">
      <c r="C13" s="163" t="s">
        <v>1029</v>
      </c>
      <c r="E13" s="506">
        <v>0.33333333333333331</v>
      </c>
    </row>
    <row r="14" spans="1:5">
      <c r="C14" s="163" t="s">
        <v>1030</v>
      </c>
      <c r="E14" s="506">
        <v>0.36805555555555558</v>
      </c>
    </row>
    <row r="15" spans="1:5">
      <c r="C15" s="163" t="s">
        <v>1031</v>
      </c>
      <c r="E15" s="506">
        <v>0.3888888888888889</v>
      </c>
    </row>
    <row r="16" spans="1:5">
      <c r="C16" s="163" t="s">
        <v>1032</v>
      </c>
      <c r="E16" s="506">
        <v>0.81597222222222221</v>
      </c>
    </row>
    <row r="17" spans="3:5">
      <c r="C17" s="163" t="s">
        <v>1033</v>
      </c>
      <c r="E17" s="327">
        <v>57</v>
      </c>
    </row>
    <row r="18" spans="3:5">
      <c r="C18" s="163" t="s">
        <v>1034</v>
      </c>
      <c r="E18" s="327" t="s">
        <v>2280</v>
      </c>
    </row>
    <row r="19" spans="3:5">
      <c r="C19" s="163" t="s">
        <v>1035</v>
      </c>
      <c r="E19" s="327" t="s">
        <v>450</v>
      </c>
    </row>
    <row r="20" spans="3:5">
      <c r="C20" s="163" t="s">
        <v>1042</v>
      </c>
      <c r="E20" s="327" t="s">
        <v>2281</v>
      </c>
    </row>
    <row r="21" spans="3:5">
      <c r="C21" s="163"/>
      <c r="E21" s="327"/>
    </row>
    <row r="22" spans="3:5">
      <c r="C22" s="163" t="s">
        <v>1036</v>
      </c>
      <c r="E22" s="327" t="s">
        <v>2282</v>
      </c>
    </row>
    <row r="23" spans="3:5">
      <c r="C23" s="163"/>
      <c r="E23" s="327"/>
    </row>
    <row r="24" spans="3:5">
      <c r="C24" s="163" t="s">
        <v>1037</v>
      </c>
      <c r="E24" s="327" t="s">
        <v>2282</v>
      </c>
    </row>
    <row r="25" spans="3:5">
      <c r="C25" s="163"/>
      <c r="E25" s="327"/>
    </row>
    <row r="26" spans="3:5">
      <c r="C26" s="163" t="s">
        <v>1038</v>
      </c>
      <c r="E26" s="507" t="s">
        <v>2285</v>
      </c>
    </row>
    <row r="27" spans="3:5">
      <c r="C27" s="163"/>
      <c r="E27" s="327"/>
    </row>
    <row r="28" spans="3:5">
      <c r="C28" s="163" t="s">
        <v>1039</v>
      </c>
      <c r="E28" s="327" t="s">
        <v>2283</v>
      </c>
    </row>
    <row r="29" spans="3:5">
      <c r="C29" s="163"/>
      <c r="E29" s="327"/>
    </row>
    <row r="30" spans="3:5">
      <c r="C30" s="163" t="s">
        <v>1040</v>
      </c>
      <c r="E30" s="327" t="s">
        <v>2284</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48</v>
      </c>
      <c r="B1" s="71" t="s">
        <v>113</v>
      </c>
      <c r="C1" s="71" t="s">
        <v>1159</v>
      </c>
      <c r="D1" s="72"/>
      <c r="E1" s="70"/>
      <c r="F1">
        <f>VLOOKUP(A1,'Hra 2P'!I8:J390,2,0)</f>
        <v>290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2P'!E290=""),"",'Hra 2P'!E290)</f>
        <v/>
      </c>
      <c r="D8" s="74" t="str">
        <f>IF(('Hra 2P'!F290=""),"",'Hra 2P'!F290)</f>
        <v/>
      </c>
      <c r="E8" s="43" t="str">
        <f ca="1">B6</f>
        <v xml:space="preserve"> - </v>
      </c>
    </row>
    <row r="9" spans="1:20" ht="19.5">
      <c r="A9" s="70"/>
      <c r="B9" s="43" t="str">
        <f ca="1">B4</f>
        <v xml:space="preserve"> - </v>
      </c>
      <c r="C9" s="74" t="str">
        <f>IF(('Hra 2P'!E291=""),"",'Hra 2P'!E291)</f>
        <v/>
      </c>
      <c r="D9" s="74" t="str">
        <f>IF(('Hra 2P'!F291=""),"",'Hra 2P'!F291)</f>
        <v/>
      </c>
      <c r="E9" s="43" t="str">
        <f ca="1">B5</f>
        <v xml:space="preserve"> - </v>
      </c>
    </row>
    <row r="10" spans="1:20" ht="19.5">
      <c r="A10" s="75" t="s">
        <v>46</v>
      </c>
      <c r="B10" s="43" t="str">
        <f ca="1">IF(TRIM(E8)="-",B8,IF(AND(C8="",D8="")," ",IF(N(C8)&gt;N(D8),B8,E8)))</f>
        <v xml:space="preserve"> - </v>
      </c>
      <c r="C10" s="74" t="str">
        <f>IF(('Hra 2P'!E292=""),"",'Hra 2P'!E292)</f>
        <v/>
      </c>
      <c r="D10" s="74" t="str">
        <f>IF(('Hra 2P'!F292=""),"",'Hra 2P'!F292)</f>
        <v/>
      </c>
      <c r="E10" s="43" t="str">
        <f>IF(AND(C9="",D9="")," ",IF(N(C9)&gt;N(D9),B9,E9))</f>
        <v xml:space="preserve"> </v>
      </c>
    </row>
    <row r="11" spans="1:20" ht="19.5">
      <c r="A11" s="75" t="s">
        <v>47</v>
      </c>
      <c r="B11" s="43" t="str">
        <f ca="1">IF(TRIM(E8)="-",E8,IF(AND(C8="",D8="")," ",IF(N(C8)&gt;N(D8),E8,B8)))</f>
        <v xml:space="preserve"> - </v>
      </c>
      <c r="C11" s="74" t="str">
        <f>IF(('Hra 2P'!E293=""),"",'Hra 2P'!E293)</f>
        <v/>
      </c>
      <c r="D11" s="74" t="str">
        <f>IF(('Hra 2P'!F293=""),"",'Hra 2P'!F293)</f>
        <v/>
      </c>
      <c r="E11" s="43" t="str">
        <f ca="1">IF(TRIM(E9)="",E9,IF(AND(C9="",D9="")," ",IF(N(C9)&gt;N(D9),E9,B9)))</f>
        <v xml:space="preserve"> </v>
      </c>
    </row>
    <row r="12" spans="1:20" ht="19.5">
      <c r="A12" s="75" t="s">
        <v>48</v>
      </c>
      <c r="B12" s="43" t="str">
        <f>IF(TRIM(E10)="",E10,IF(AND(C10="",D10="")," ",IF(N(C10)&gt;N(D10),E10,B10)))</f>
        <v xml:space="preserve"> </v>
      </c>
      <c r="C12" s="74" t="str">
        <f>IF(('Hra 2P'!E294=""),"",'Hra 2P'!E294)</f>
        <v/>
      </c>
      <c r="D12" s="74" t="str">
        <f>IF(('Hra 2P'!F294=""),"",'Hra 2P'!F294)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AV1</v>
      </c>
      <c r="D14" s="70"/>
      <c r="E14" s="70"/>
    </row>
    <row r="15" spans="1:20" ht="19.5">
      <c r="A15" s="70" t="s">
        <v>32</v>
      </c>
      <c r="B15" s="43" t="str">
        <f>IF(N(C12)+N(D12)&gt;0,IF(N(C12)&gt;N(D12),B12,E12),"")</f>
        <v/>
      </c>
      <c r="C15" s="73" t="str">
        <f>CONCATENATE($C$1,A4)</f>
        <v>AV2</v>
      </c>
      <c r="D15" s="70"/>
      <c r="E15" s="70"/>
    </row>
    <row r="16" spans="1:20" ht="19.5">
      <c r="A16" s="70" t="s">
        <v>33</v>
      </c>
      <c r="B16" s="43" t="str">
        <f>IF(N(C12)+N(D12)&gt;0,IF(N(C12)&gt;N(D12),E12,B12),"")</f>
        <v/>
      </c>
      <c r="C16" s="73" t="str">
        <f>CONCATENATE($C$1,A5)</f>
        <v>AV3</v>
      </c>
      <c r="D16" s="70"/>
      <c r="E16" s="70"/>
    </row>
    <row r="17" spans="1:5" ht="19.5">
      <c r="A17" s="70" t="s">
        <v>34</v>
      </c>
      <c r="B17" s="78" t="str">
        <f>IF(N(C11)+N(D11)&gt;0,IF(N(C11)&gt;N(D11),E11,B11),"")</f>
        <v/>
      </c>
      <c r="C17" s="73" t="str">
        <f>CONCATENATE($C$1,A6)</f>
        <v>AV4</v>
      </c>
      <c r="D17" s="70"/>
      <c r="E17" s="70"/>
    </row>
    <row r="18" spans="1:5" ht="19.5">
      <c r="A18" s="1"/>
      <c r="B18" s="1"/>
      <c r="C18" s="1"/>
      <c r="D18" s="1"/>
      <c r="E18" s="1"/>
    </row>
  </sheetData>
  <sheetCalcPr fullCalcOnLoad="1"/>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47</v>
      </c>
      <c r="B1" s="71" t="s">
        <v>113</v>
      </c>
      <c r="C1" s="71" t="s">
        <v>1160</v>
      </c>
      <c r="D1" s="72"/>
      <c r="E1" s="70"/>
      <c r="F1">
        <f>VLOOKUP(A1,'Hra 2P'!I8:J390,2,0)</f>
        <v>284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2P'!E284=""),"",'Hra 2P'!E284)</f>
        <v/>
      </c>
      <c r="D8" s="74" t="str">
        <f>IF(('Hra 2P'!F284=""),"",'Hra 2P'!F284)</f>
        <v/>
      </c>
      <c r="E8" s="43" t="str">
        <f ca="1">B6</f>
        <v xml:space="preserve"> - </v>
      </c>
    </row>
    <row r="9" spans="1:20" ht="19.5">
      <c r="A9" s="70"/>
      <c r="B9" s="43" t="str">
        <f ca="1">B4</f>
        <v xml:space="preserve"> - </v>
      </c>
      <c r="C9" s="74" t="str">
        <f>IF(('Hra 2P'!E285=""),"",'Hra 2P'!E285)</f>
        <v/>
      </c>
      <c r="D9" s="74" t="str">
        <f>IF(('Hra 2P'!F285=""),"",'Hra 2P'!F285)</f>
        <v/>
      </c>
      <c r="E9" s="43" t="str">
        <f ca="1">B5</f>
        <v xml:space="preserve"> - </v>
      </c>
    </row>
    <row r="10" spans="1:20" ht="19.5">
      <c r="A10" s="75" t="s">
        <v>46</v>
      </c>
      <c r="B10" s="43" t="str">
        <f ca="1">IF(TRIM(E8)="-",B8,IF(AND(C8="",D8="")," ",IF(N(C8)&gt;N(D8),B8,E8)))</f>
        <v xml:space="preserve"> - </v>
      </c>
      <c r="C10" s="74" t="str">
        <f>IF(('Hra 2P'!E286=""),"",'Hra 2P'!E286)</f>
        <v/>
      </c>
      <c r="D10" s="74" t="str">
        <f>IF(('Hra 2P'!F286=""),"",'Hra 2P'!F286)</f>
        <v/>
      </c>
      <c r="E10" s="43" t="str">
        <f>IF(AND(C9="",D9="")," ",IF(N(C9)&gt;N(D9),B9,E9))</f>
        <v xml:space="preserve"> </v>
      </c>
    </row>
    <row r="11" spans="1:20" ht="19.5">
      <c r="A11" s="75" t="s">
        <v>47</v>
      </c>
      <c r="B11" s="43" t="str">
        <f ca="1">IF(TRIM(E8)="-",E8,IF(AND(C8="",D8="")," ",IF(N(C8)&gt;N(D8),E8,B8)))</f>
        <v xml:space="preserve"> - </v>
      </c>
      <c r="C11" s="74" t="str">
        <f>IF(('Hra 2P'!E287=""),"",'Hra 2P'!E287)</f>
        <v/>
      </c>
      <c r="D11" s="74" t="str">
        <f>IF(('Hra 2P'!F287=""),"",'Hra 2P'!F287)</f>
        <v/>
      </c>
      <c r="E11" s="43" t="str">
        <f ca="1">IF(TRIM(E9)="",E9,IF(AND(C9="",D9="")," ",IF(N(C9)&gt;N(D9),E9,B9)))</f>
        <v xml:space="preserve"> </v>
      </c>
    </row>
    <row r="12" spans="1:20" ht="19.5">
      <c r="A12" s="75" t="s">
        <v>48</v>
      </c>
      <c r="B12" s="43" t="str">
        <f>IF(TRIM(E10)="",E10,IF(AND(C10="",D10="")," ",IF(N(C10)&gt;N(D10),E10,B10)))</f>
        <v xml:space="preserve"> </v>
      </c>
      <c r="C12" s="74" t="str">
        <f>IF(('Hra 2P'!E288=""),"",'Hra 2P'!E288)</f>
        <v/>
      </c>
      <c r="D12" s="74" t="str">
        <f>IF(('Hra 2P'!F288=""),"",'Hra 2P'!F288)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AU1</v>
      </c>
      <c r="D14" s="70"/>
      <c r="E14" s="70"/>
    </row>
    <row r="15" spans="1:20" ht="19.5">
      <c r="A15" s="70" t="s">
        <v>32</v>
      </c>
      <c r="B15" s="43" t="str">
        <f>IF(N(C12)+N(D12)&gt;0,IF(N(C12)&gt;N(D12),B12,E12),"")</f>
        <v/>
      </c>
      <c r="C15" s="73" t="str">
        <f>CONCATENATE($C$1,A4)</f>
        <v>AU2</v>
      </c>
      <c r="D15" s="70"/>
      <c r="E15" s="70"/>
    </row>
    <row r="16" spans="1:20" ht="19.5">
      <c r="A16" s="70" t="s">
        <v>33</v>
      </c>
      <c r="B16" s="43" t="str">
        <f>IF(N(C12)+N(D12)&gt;0,IF(N(C12)&gt;N(D12),E12,B12),"")</f>
        <v/>
      </c>
      <c r="C16" s="73" t="str">
        <f>CONCATENATE($C$1,A5)</f>
        <v>AU3</v>
      </c>
      <c r="D16" s="70"/>
      <c r="E16" s="70"/>
    </row>
    <row r="17" spans="1:5" ht="19.5">
      <c r="A17" s="70" t="s">
        <v>34</v>
      </c>
      <c r="B17" s="78" t="str">
        <f>IF(N(C11)+N(D11)&gt;0,IF(N(C11)&gt;N(D11),E11,B11),"")</f>
        <v/>
      </c>
      <c r="C17" s="73" t="str">
        <f>CONCATENATE($C$1,A6)</f>
        <v>AU4</v>
      </c>
      <c r="D17" s="70"/>
      <c r="E17" s="70"/>
    </row>
    <row r="18" spans="1:5" ht="19.5">
      <c r="A18" s="1"/>
      <c r="B18" s="1"/>
      <c r="C18" s="1"/>
      <c r="D18" s="1"/>
      <c r="E18" s="1"/>
    </row>
  </sheetData>
  <sheetCalcPr fullCalcOnLoad="1"/>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46</v>
      </c>
      <c r="B1" s="71" t="s">
        <v>113</v>
      </c>
      <c r="C1" s="71" t="s">
        <v>1161</v>
      </c>
      <c r="D1" s="72"/>
      <c r="E1" s="70"/>
      <c r="F1">
        <f>VLOOKUP(A1,'Hra 2P'!I8:J390,2,0)</f>
        <v>278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2P'!E278=""),"",'Hra 2P'!E278)</f>
        <v/>
      </c>
      <c r="D8" s="74" t="str">
        <f>IF(('Hra 2P'!F278=""),"",'Hra 2P'!F278)</f>
        <v/>
      </c>
      <c r="E8" s="43" t="str">
        <f ca="1">B6</f>
        <v xml:space="preserve"> - </v>
      </c>
    </row>
    <row r="9" spans="1:20" ht="19.5">
      <c r="A9" s="70"/>
      <c r="B9" s="43" t="str">
        <f ca="1">B4</f>
        <v xml:space="preserve"> - </v>
      </c>
      <c r="C9" s="74" t="str">
        <f>IF(('Hra 2P'!E279=""),"",'Hra 2P'!E279)</f>
        <v/>
      </c>
      <c r="D9" s="74" t="str">
        <f>IF(('Hra 2P'!F279=""),"",'Hra 2P'!F279)</f>
        <v/>
      </c>
      <c r="E9" s="43" t="str">
        <f ca="1">B5</f>
        <v xml:space="preserve"> - </v>
      </c>
    </row>
    <row r="10" spans="1:20" ht="19.5">
      <c r="A10" s="75" t="s">
        <v>46</v>
      </c>
      <c r="B10" s="43" t="str">
        <f ca="1">IF(TRIM(E8)="-",B8,IF(AND(C8="",D8="")," ",IF(N(C8)&gt;N(D8),B8,E8)))</f>
        <v xml:space="preserve"> - </v>
      </c>
      <c r="C10" s="74" t="str">
        <f>IF(('Hra 2P'!E280=""),"",'Hra 2P'!E280)</f>
        <v/>
      </c>
      <c r="D10" s="74" t="str">
        <f>IF(('Hra 2P'!F280=""),"",'Hra 2P'!F280)</f>
        <v/>
      </c>
      <c r="E10" s="43" t="str">
        <f>IF(AND(C9="",D9="")," ",IF(N(C9)&gt;N(D9),B9,E9))</f>
        <v xml:space="preserve"> </v>
      </c>
    </row>
    <row r="11" spans="1:20" ht="19.5">
      <c r="A11" s="75" t="s">
        <v>47</v>
      </c>
      <c r="B11" s="43" t="str">
        <f ca="1">IF(TRIM(E8)="-",E8,IF(AND(C8="",D8="")," ",IF(N(C8)&gt;N(D8),E8,B8)))</f>
        <v xml:space="preserve"> - </v>
      </c>
      <c r="C11" s="74" t="str">
        <f>IF(('Hra 2P'!E281=""),"",'Hra 2P'!E281)</f>
        <v/>
      </c>
      <c r="D11" s="74" t="str">
        <f>IF(('Hra 2P'!F281=""),"",'Hra 2P'!F281)</f>
        <v/>
      </c>
      <c r="E11" s="43" t="str">
        <f ca="1">IF(TRIM(E9)="",E9,IF(AND(C9="",D9="")," ",IF(N(C9)&gt;N(D9),E9,B9)))</f>
        <v xml:space="preserve"> </v>
      </c>
    </row>
    <row r="12" spans="1:20" ht="19.5">
      <c r="A12" s="75" t="s">
        <v>48</v>
      </c>
      <c r="B12" s="43" t="str">
        <f>IF(TRIM(E10)="",E10,IF(AND(C10="",D10="")," ",IF(N(C10)&gt;N(D10),E10,B10)))</f>
        <v xml:space="preserve"> </v>
      </c>
      <c r="C12" s="74" t="str">
        <f>IF(('Hra 2P'!E282=""),"",'Hra 2P'!E282)</f>
        <v/>
      </c>
      <c r="D12" s="74" t="str">
        <f>IF(('Hra 2P'!F282=""),"",'Hra 2P'!F282)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AT1</v>
      </c>
      <c r="D14" s="70"/>
      <c r="E14" s="70"/>
    </row>
    <row r="15" spans="1:20" ht="19.5">
      <c r="A15" s="70" t="s">
        <v>32</v>
      </c>
      <c r="B15" s="43" t="str">
        <f>IF(N(C12)+N(D12)&gt;0,IF(N(C12)&gt;N(D12),B12,E12),"")</f>
        <v/>
      </c>
      <c r="C15" s="73" t="str">
        <f>CONCATENATE($C$1,A4)</f>
        <v>AT2</v>
      </c>
      <c r="D15" s="70"/>
      <c r="E15" s="70"/>
    </row>
    <row r="16" spans="1:20" ht="19.5">
      <c r="A16" s="70" t="s">
        <v>33</v>
      </c>
      <c r="B16" s="43" t="str">
        <f>IF(N(C12)+N(D12)&gt;0,IF(N(C12)&gt;N(D12),E12,B12),"")</f>
        <v/>
      </c>
      <c r="C16" s="73" t="str">
        <f>CONCATENATE($C$1,A5)</f>
        <v>AT3</v>
      </c>
      <c r="D16" s="70"/>
      <c r="E16" s="70"/>
    </row>
    <row r="17" spans="1:5" ht="19.5">
      <c r="A17" s="70" t="s">
        <v>34</v>
      </c>
      <c r="B17" s="78" t="str">
        <f>IF(N(C11)+N(D11)&gt;0,IF(N(C11)&gt;N(D11),E11,B11),"")</f>
        <v/>
      </c>
      <c r="C17" s="73" t="str">
        <f>CONCATENATE($C$1,A6)</f>
        <v>AT4</v>
      </c>
      <c r="D17" s="70"/>
      <c r="E17" s="70"/>
    </row>
    <row r="18" spans="1:5" ht="19.5">
      <c r="A18" s="1"/>
      <c r="B18" s="1"/>
      <c r="C18" s="1"/>
      <c r="D18" s="1"/>
      <c r="E18" s="1"/>
    </row>
  </sheetData>
  <sheetCalcPr fullCalcOnLoad="1"/>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45</v>
      </c>
      <c r="B1" s="71" t="s">
        <v>113</v>
      </c>
      <c r="C1" s="71" t="s">
        <v>1162</v>
      </c>
      <c r="D1" s="72"/>
      <c r="E1" s="70"/>
      <c r="F1">
        <f>VLOOKUP(A1,'Hra 2P'!I8:J390,2,0)</f>
        <v>272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2P'!E272=""),"",'Hra 2P'!E272)</f>
        <v/>
      </c>
      <c r="D8" s="74" t="str">
        <f>IF(('Hra 2P'!F272=""),"",'Hra 2P'!F272)</f>
        <v/>
      </c>
      <c r="E8" s="43" t="str">
        <f ca="1">B6</f>
        <v xml:space="preserve"> - </v>
      </c>
    </row>
    <row r="9" spans="1:20" ht="19.5">
      <c r="A9" s="70"/>
      <c r="B9" s="43" t="str">
        <f ca="1">B4</f>
        <v xml:space="preserve"> - </v>
      </c>
      <c r="C9" s="74" t="str">
        <f>IF(('Hra 2P'!E273=""),"",'Hra 2P'!E273)</f>
        <v/>
      </c>
      <c r="D9" s="74" t="str">
        <f>IF(('Hra 2P'!F273=""),"",'Hra 2P'!F273)</f>
        <v/>
      </c>
      <c r="E9" s="43" t="str">
        <f ca="1">B5</f>
        <v xml:space="preserve"> - </v>
      </c>
    </row>
    <row r="10" spans="1:20" ht="19.5">
      <c r="A10" s="75" t="s">
        <v>46</v>
      </c>
      <c r="B10" s="43" t="str">
        <f ca="1">IF(TRIM(E8)="-",B8,IF(AND(C8="",D8="")," ",IF(N(C8)&gt;N(D8),B8,E8)))</f>
        <v xml:space="preserve"> - </v>
      </c>
      <c r="C10" s="74" t="str">
        <f>IF(('Hra 2P'!E274=""),"",'Hra 2P'!E274)</f>
        <v/>
      </c>
      <c r="D10" s="74" t="str">
        <f>IF(('Hra 2P'!F274=""),"",'Hra 2P'!F274)</f>
        <v/>
      </c>
      <c r="E10" s="43" t="str">
        <f>IF(AND(C9="",D9="")," ",IF(N(C9)&gt;N(D9),B9,E9))</f>
        <v xml:space="preserve"> </v>
      </c>
    </row>
    <row r="11" spans="1:20" ht="19.5">
      <c r="A11" s="75" t="s">
        <v>47</v>
      </c>
      <c r="B11" s="43" t="str">
        <f ca="1">IF(TRIM(E8)="-",E8,IF(AND(C8="",D8="")," ",IF(N(C8)&gt;N(D8),E8,B8)))</f>
        <v xml:space="preserve"> - </v>
      </c>
      <c r="C11" s="74" t="str">
        <f>IF(('Hra 2P'!E275=""),"",'Hra 2P'!E275)</f>
        <v/>
      </c>
      <c r="D11" s="74" t="str">
        <f>IF(('Hra 2P'!F275=""),"",'Hra 2P'!F275)</f>
        <v/>
      </c>
      <c r="E11" s="43" t="str">
        <f ca="1">IF(TRIM(E9)="",E9,IF(AND(C9="",D9="")," ",IF(N(C9)&gt;N(D9),E9,B9)))</f>
        <v xml:space="preserve"> </v>
      </c>
    </row>
    <row r="12" spans="1:20" ht="19.5">
      <c r="A12" s="75" t="s">
        <v>48</v>
      </c>
      <c r="B12" s="43" t="str">
        <f>IF(TRIM(E10)="",E10,IF(AND(C10="",D10="")," ",IF(N(C10)&gt;N(D10),E10,B10)))</f>
        <v xml:space="preserve"> </v>
      </c>
      <c r="C12" s="74" t="str">
        <f>IF(('Hra 2P'!E276=""),"",'Hra 2P'!E276)</f>
        <v/>
      </c>
      <c r="D12" s="74" t="str">
        <f>IF(('Hra 2P'!F276=""),"",'Hra 2P'!F276)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AS1</v>
      </c>
      <c r="D14" s="70"/>
      <c r="E14" s="70"/>
    </row>
    <row r="15" spans="1:20" ht="19.5">
      <c r="A15" s="70" t="s">
        <v>32</v>
      </c>
      <c r="B15" s="43" t="str">
        <f>IF(N(C12)+N(D12)&gt;0,IF(N(C12)&gt;N(D12),B12,E12),"")</f>
        <v/>
      </c>
      <c r="C15" s="73" t="str">
        <f>CONCATENATE($C$1,A4)</f>
        <v>AS2</v>
      </c>
      <c r="D15" s="70"/>
      <c r="E15" s="70"/>
    </row>
    <row r="16" spans="1:20" ht="19.5">
      <c r="A16" s="70" t="s">
        <v>33</v>
      </c>
      <c r="B16" s="43" t="str">
        <f>IF(N(C12)+N(D12)&gt;0,IF(N(C12)&gt;N(D12),E12,B12),"")</f>
        <v/>
      </c>
      <c r="C16" s="73" t="str">
        <f>CONCATENATE($C$1,A5)</f>
        <v>AS3</v>
      </c>
      <c r="D16" s="70"/>
      <c r="E16" s="70"/>
    </row>
    <row r="17" spans="1:5" ht="19.5">
      <c r="A17" s="70" t="s">
        <v>34</v>
      </c>
      <c r="B17" s="78" t="str">
        <f>IF(N(C11)+N(D11)&gt;0,IF(N(C11)&gt;N(D11),E11,B11),"")</f>
        <v/>
      </c>
      <c r="C17" s="73" t="str">
        <f>CONCATENATE($C$1,A6)</f>
        <v>AS4</v>
      </c>
      <c r="D17" s="70"/>
      <c r="E17" s="70"/>
    </row>
    <row r="18" spans="1:5" ht="19.5">
      <c r="A18" s="1"/>
      <c r="B18" s="1"/>
      <c r="C18" s="1"/>
      <c r="D18" s="1"/>
      <c r="E18" s="1"/>
    </row>
  </sheetData>
  <sheetCalcPr fullCalcOnLoad="1"/>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44</v>
      </c>
      <c r="B1" s="71" t="s">
        <v>113</v>
      </c>
      <c r="C1" s="71" t="s">
        <v>1163</v>
      </c>
      <c r="D1" s="72"/>
      <c r="E1" s="70"/>
      <c r="F1">
        <f>VLOOKUP(A1,'Hra 2P'!I8:J390,2,0)</f>
        <v>266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2P'!E266=""),"",'Hra 2P'!E266)</f>
        <v/>
      </c>
      <c r="D8" s="74" t="str">
        <f>IF(('Hra 2P'!F266=""),"",'Hra 2P'!F266)</f>
        <v/>
      </c>
      <c r="E8" s="43" t="str">
        <f ca="1">B6</f>
        <v xml:space="preserve"> - </v>
      </c>
    </row>
    <row r="9" spans="1:20" ht="19.5">
      <c r="A9" s="70"/>
      <c r="B9" s="43" t="str">
        <f ca="1">B4</f>
        <v xml:space="preserve"> - </v>
      </c>
      <c r="C9" s="74" t="str">
        <f>IF(('Hra 2P'!E267=""),"",'Hra 2P'!E267)</f>
        <v/>
      </c>
      <c r="D9" s="74" t="str">
        <f>IF(('Hra 2P'!F267=""),"",'Hra 2P'!F267)</f>
        <v/>
      </c>
      <c r="E9" s="43" t="str">
        <f ca="1">B5</f>
        <v xml:space="preserve"> - </v>
      </c>
    </row>
    <row r="10" spans="1:20" ht="19.5">
      <c r="A10" s="75" t="s">
        <v>46</v>
      </c>
      <c r="B10" s="43" t="str">
        <f ca="1">IF(TRIM(E8)="-",B8,IF(AND(C8="",D8="")," ",IF(N(C8)&gt;N(D8),B8,E8)))</f>
        <v xml:space="preserve"> - </v>
      </c>
      <c r="C10" s="74" t="str">
        <f>IF(('Hra 2P'!E268=""),"",'Hra 2P'!E268)</f>
        <v/>
      </c>
      <c r="D10" s="74" t="str">
        <f>IF(('Hra 2P'!F268=""),"",'Hra 2P'!F268)</f>
        <v/>
      </c>
      <c r="E10" s="43" t="str">
        <f>IF(AND(C9="",D9="")," ",IF(N(C9)&gt;N(D9),B9,E9))</f>
        <v xml:space="preserve"> </v>
      </c>
    </row>
    <row r="11" spans="1:20" ht="19.5">
      <c r="A11" s="75" t="s">
        <v>47</v>
      </c>
      <c r="B11" s="43" t="str">
        <f ca="1">IF(TRIM(E8)="-",E8,IF(AND(C8="",D8="")," ",IF(N(C8)&gt;N(D8),E8,B8)))</f>
        <v xml:space="preserve"> - </v>
      </c>
      <c r="C11" s="74" t="str">
        <f>IF(('Hra 2P'!E269=""),"",'Hra 2P'!E269)</f>
        <v/>
      </c>
      <c r="D11" s="74" t="str">
        <f>IF(('Hra 2P'!F269=""),"",'Hra 2P'!F269)</f>
        <v/>
      </c>
      <c r="E11" s="43" t="str">
        <f ca="1">IF(TRIM(E9)="",E9,IF(AND(C9="",D9="")," ",IF(N(C9)&gt;N(D9),E9,B9)))</f>
        <v xml:space="preserve"> </v>
      </c>
    </row>
    <row r="12" spans="1:20" ht="19.5">
      <c r="A12" s="75" t="s">
        <v>48</v>
      </c>
      <c r="B12" s="43" t="str">
        <f>IF(TRIM(E10)="",E10,IF(AND(C10="",D10="")," ",IF(N(C10)&gt;N(D10),E10,B10)))</f>
        <v xml:space="preserve"> </v>
      </c>
      <c r="C12" s="74" t="str">
        <f>IF(('Hra 2P'!E270=""),"",'Hra 2P'!E270)</f>
        <v/>
      </c>
      <c r="D12" s="74" t="str">
        <f>IF(('Hra 2P'!F270=""),"",'Hra 2P'!F270)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AR1</v>
      </c>
      <c r="D14" s="70"/>
      <c r="E14" s="70"/>
    </row>
    <row r="15" spans="1:20" ht="19.5">
      <c r="A15" s="70" t="s">
        <v>32</v>
      </c>
      <c r="B15" s="43" t="str">
        <f>IF(N(C12)+N(D12)&gt;0,IF(N(C12)&gt;N(D12),B12,E12),"")</f>
        <v/>
      </c>
      <c r="C15" s="73" t="str">
        <f>CONCATENATE($C$1,A4)</f>
        <v>AR2</v>
      </c>
      <c r="D15" s="70"/>
      <c r="E15" s="70"/>
    </row>
    <row r="16" spans="1:20" ht="19.5">
      <c r="A16" s="70" t="s">
        <v>33</v>
      </c>
      <c r="B16" s="43" t="str">
        <f>IF(N(C12)+N(D12)&gt;0,IF(N(C12)&gt;N(D12),E12,B12),"")</f>
        <v/>
      </c>
      <c r="C16" s="73" t="str">
        <f>CONCATENATE($C$1,A5)</f>
        <v>AR3</v>
      </c>
      <c r="D16" s="70"/>
      <c r="E16" s="70"/>
    </row>
    <row r="17" spans="1:5" ht="19.5">
      <c r="A17" s="70" t="s">
        <v>34</v>
      </c>
      <c r="B17" s="78" t="str">
        <f>IF(N(C11)+N(D11)&gt;0,IF(N(C11)&gt;N(D11),E11,B11),"")</f>
        <v/>
      </c>
      <c r="C17" s="73" t="str">
        <f>CONCATENATE($C$1,A6)</f>
        <v>AR4</v>
      </c>
      <c r="D17" s="70"/>
      <c r="E17" s="70"/>
    </row>
    <row r="18" spans="1:5" ht="19.5">
      <c r="A18" s="1"/>
      <c r="B18" s="1"/>
      <c r="C18" s="1"/>
      <c r="D18" s="1"/>
      <c r="E18" s="1"/>
    </row>
  </sheetData>
  <sheetCalcPr fullCalcOnLoad="1"/>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43</v>
      </c>
      <c r="B1" s="71" t="s">
        <v>113</v>
      </c>
      <c r="C1" s="71" t="s">
        <v>1164</v>
      </c>
      <c r="D1" s="72"/>
      <c r="E1" s="70"/>
      <c r="F1">
        <f>VLOOKUP(A1,'Hra 2P'!I8:J390,2,0)</f>
        <v>260</v>
      </c>
      <c r="L1">
        <f ca="1">IF(TRIM(B3)="-",0,1) + IF(TRIM(B4)="-",0,1) + IF(TRIM(B5)="-",0,1) + IF(TRIM(B6)="-",0,1)</f>
        <v>4</v>
      </c>
      <c r="R1">
        <f ca="1">INDIRECT(ADDRESS(4,A1,1,1,"Hřiště"))</f>
        <v>56</v>
      </c>
      <c r="S1">
        <f ca="1">INDIRECT(ADDRESS(5,A1,1,1,"Hřiště"))</f>
        <v>57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43 SK Sahara Vědomice - Přibyl Miloš</v>
      </c>
      <c r="C3" s="70"/>
      <c r="D3" s="70"/>
      <c r="E3" s="70"/>
    </row>
    <row r="4" spans="1:20" ht="19.5">
      <c r="A4" s="70">
        <v>2</v>
      </c>
      <c r="B4" s="43" t="str">
        <f ca="1">IF(TYPE(VLOOKUP(CONCATENATE($C$1,A4),Skupiny!$A$3:$B$258,2,0))&gt;4," - ",VLOOKUP(CONCATENATE($C$1,A4),Skupiny!$A$3:$B$258,2,0))</f>
        <v>44 Petank Club Praha - Vorel Jan</v>
      </c>
      <c r="C4" s="70"/>
      <c r="D4" s="70"/>
      <c r="E4" s="70"/>
    </row>
    <row r="5" spans="1:20" ht="19.5">
      <c r="A5" s="70">
        <v>3</v>
      </c>
      <c r="B5" s="43" t="str">
        <f ca="1">IF(TYPE(VLOOKUP(CONCATENATE($C$1,A5),Skupiny!$A$3:$B$258,2,0))&gt;4," - ",VLOOKUP(CONCATENATE($C$1,A5),Skupiny!$A$3:$B$258,2,0))</f>
        <v>129 SK Pétanque Řepy - Gazdíková Jiřina</v>
      </c>
      <c r="C5" s="70"/>
      <c r="D5" s="70"/>
      <c r="E5" s="70"/>
    </row>
    <row r="6" spans="1:20" ht="19.5">
      <c r="A6" s="70">
        <v>4</v>
      </c>
      <c r="B6" s="43" t="str">
        <f ca="1">IF(TYPE(VLOOKUP(CONCATENATE($C$1,A6),Skupiny!$A$3:$B$258,2,0))&gt;4," - ",VLOOKUP(CONCATENATE($C$1,A6),Skupiny!$A$3:$B$258,2,0))</f>
        <v>130 PEK Stolín - Rousková Nina</v>
      </c>
      <c r="C6" s="70"/>
      <c r="D6" s="70"/>
      <c r="E6" s="70"/>
    </row>
    <row r="7" spans="1:20" ht="36.6" customHeight="1">
      <c r="A7" s="70"/>
      <c r="B7" s="70" t="s">
        <v>50</v>
      </c>
      <c r="C7" s="73" t="s">
        <v>51</v>
      </c>
      <c r="D7" s="70" t="s">
        <v>51</v>
      </c>
      <c r="E7" s="70"/>
    </row>
    <row r="8" spans="1:20" ht="19.5">
      <c r="A8" s="70"/>
      <c r="B8" s="43" t="str">
        <f ca="1">B3</f>
        <v>43 SK Sahara Vědomice - Přibyl Miloš</v>
      </c>
      <c r="C8" s="74">
        <f>IF(('Hra 2P'!E260=""),"",'Hra 2P'!E260)</f>
        <v>13</v>
      </c>
      <c r="D8" s="74">
        <f>IF(('Hra 2P'!F260=""),"",'Hra 2P'!F260)</f>
        <v>6</v>
      </c>
      <c r="E8" s="43" t="str">
        <f ca="1">B6</f>
        <v>130 PEK Stolín - Rousková Nina</v>
      </c>
    </row>
    <row r="9" spans="1:20" ht="19.5">
      <c r="A9" s="70"/>
      <c r="B9" s="43" t="str">
        <f ca="1">B4</f>
        <v>44 Petank Club Praha - Vorel Jan</v>
      </c>
      <c r="C9" s="74">
        <f>IF(('Hra 2P'!E261=""),"",'Hra 2P'!E261)</f>
        <v>13</v>
      </c>
      <c r="D9" s="74">
        <f>IF(('Hra 2P'!F261=""),"",'Hra 2P'!F261)</f>
        <v>3</v>
      </c>
      <c r="E9" s="43" t="str">
        <f ca="1">B5</f>
        <v>129 SK Pétanque Řepy - Gazdíková Jiřina</v>
      </c>
    </row>
    <row r="10" spans="1:20" ht="19.5">
      <c r="A10" s="75" t="s">
        <v>46</v>
      </c>
      <c r="B10" s="43" t="str">
        <f ca="1">IF(TRIM(E8)="-",B8,IF(AND(C8="",D8="")," ",IF(N(C8)&gt;N(D8),B8,E8)))</f>
        <v>43 SK Sahara Vědomice - Přibyl Miloš</v>
      </c>
      <c r="C10" s="74">
        <f>IF(('Hra 2P'!E262=""),"",'Hra 2P'!E262)</f>
        <v>13</v>
      </c>
      <c r="D10" s="74">
        <f>IF(('Hra 2P'!F262=""),"",'Hra 2P'!F262)</f>
        <v>9</v>
      </c>
      <c r="E10" s="43" t="str">
        <f ca="1">IF(AND(C9="",D9="")," ",IF(N(C9)&gt;N(D9),B9,E9))</f>
        <v>44 Petank Club Praha - Vorel Jan</v>
      </c>
    </row>
    <row r="11" spans="1:20" ht="19.5">
      <c r="A11" s="75" t="s">
        <v>47</v>
      </c>
      <c r="B11" s="43" t="str">
        <f ca="1">IF(TRIM(E8)="-",E8,IF(AND(C8="",D8="")," ",IF(N(C8)&gt;N(D8),E8,B8)))</f>
        <v>130 PEK Stolín - Rousková Nina</v>
      </c>
      <c r="C11" s="74">
        <f>IF(('Hra 2P'!E263=""),"",'Hra 2P'!E263)</f>
        <v>7</v>
      </c>
      <c r="D11" s="74">
        <f>IF(('Hra 2P'!F263=""),"",'Hra 2P'!F263)</f>
        <v>13</v>
      </c>
      <c r="E11" s="43" t="str">
        <f ca="1">IF(TRIM(E9)="",E9,IF(AND(C9="",D9="")," ",IF(N(C9)&gt;N(D9),E9,B9)))</f>
        <v>129 SK Pétanque Řepy - Gazdíková Jiřina</v>
      </c>
    </row>
    <row r="12" spans="1:20" ht="19.5">
      <c r="A12" s="75" t="s">
        <v>48</v>
      </c>
      <c r="B12" s="43" t="str">
        <f ca="1">IF(TRIM(E10)="",E10,IF(AND(C10="",D10="")," ",IF(N(C10)&gt;N(D10),E10,B10)))</f>
        <v>44 Petank Club Praha - Vorel Jan</v>
      </c>
      <c r="C12" s="74">
        <f>IF(('Hra 2P'!E264=""),"",'Hra 2P'!E264)</f>
        <v>13</v>
      </c>
      <c r="D12" s="74">
        <f>IF(('Hra 2P'!F264=""),"",'Hra 2P'!F264)</f>
        <v>6</v>
      </c>
      <c r="E12" s="43" t="str">
        <f ca="1">IF(AND(TRIM(B11)="",TRIM(E8)=""),E11,IF(AND(C11="",D11="")," ",IF(N(C11)&gt;N(D11),B11,E11)))</f>
        <v>129 SK Pétanque Řepy - Gazdíková Jiřina</v>
      </c>
    </row>
    <row r="13" spans="1:20" ht="37.15" customHeight="1">
      <c r="A13" s="70"/>
      <c r="B13" s="76" t="s">
        <v>52</v>
      </c>
      <c r="C13" s="77" t="s">
        <v>116</v>
      </c>
      <c r="D13" s="70"/>
      <c r="E13" s="70"/>
    </row>
    <row r="14" spans="1:20" ht="19.5">
      <c r="A14" s="70" t="s">
        <v>31</v>
      </c>
      <c r="B14" s="43" t="str">
        <f ca="1">IF(N(C10)+N(D10)&gt;0,IF(N(C10)&gt;N(D10),B10,E10),"")</f>
        <v>43 SK Sahara Vědomice - Přibyl Miloš</v>
      </c>
      <c r="C14" s="73" t="str">
        <f>CONCATENATE($C$1,A3)</f>
        <v>AQ1</v>
      </c>
      <c r="D14" s="70"/>
      <c r="E14" s="70"/>
    </row>
    <row r="15" spans="1:20" ht="19.5">
      <c r="A15" s="70" t="s">
        <v>32</v>
      </c>
      <c r="B15" s="43" t="str">
        <f ca="1">IF(N(C12)+N(D12)&gt;0,IF(N(C12)&gt;N(D12),B12,E12),"")</f>
        <v>44 Petank Club Praha - Vorel Jan</v>
      </c>
      <c r="C15" s="73" t="str">
        <f>CONCATENATE($C$1,A4)</f>
        <v>AQ2</v>
      </c>
      <c r="D15" s="70"/>
      <c r="E15" s="70"/>
    </row>
    <row r="16" spans="1:20" ht="19.5">
      <c r="A16" s="70" t="s">
        <v>33</v>
      </c>
      <c r="B16" s="43" t="str">
        <f ca="1">IF(N(C12)+N(D12)&gt;0,IF(N(C12)&gt;N(D12),E12,B12),"")</f>
        <v>129 SK Pétanque Řepy - Gazdíková Jiřina</v>
      </c>
      <c r="C16" s="73" t="str">
        <f>CONCATENATE($C$1,A5)</f>
        <v>AQ3</v>
      </c>
      <c r="D16" s="70"/>
      <c r="E16" s="70"/>
    </row>
    <row r="17" spans="1:5" ht="19.5">
      <c r="A17" s="70" t="s">
        <v>34</v>
      </c>
      <c r="B17" s="78" t="str">
        <f ca="1">IF(N(C11)+N(D11)&gt;0,IF(N(C11)&gt;N(D11),E11,B11),"")</f>
        <v>130 PEK Stolín - Rousková Nina</v>
      </c>
      <c r="C17" s="73" t="str">
        <f>CONCATENATE($C$1,A6)</f>
        <v>AQ4</v>
      </c>
      <c r="D17" s="70"/>
      <c r="E17" s="70"/>
    </row>
    <row r="18" spans="1:5" ht="19.5">
      <c r="A18" s="1"/>
      <c r="B18" s="1"/>
      <c r="C18" s="1"/>
      <c r="D18" s="1"/>
      <c r="E18" s="1"/>
    </row>
  </sheetData>
  <sheetCalcPr fullCalcOnLoad="1"/>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42</v>
      </c>
      <c r="B1" s="71" t="s">
        <v>113</v>
      </c>
      <c r="C1" s="71" t="s">
        <v>1165</v>
      </c>
      <c r="D1" s="72"/>
      <c r="E1" s="70"/>
      <c r="F1">
        <f>VLOOKUP(A1,'Hra 2P'!I8:J390,2,0)</f>
        <v>254</v>
      </c>
      <c r="L1">
        <f ca="1">IF(TRIM(B3)="-",0,1) + IF(TRIM(B4)="-",0,1) + IF(TRIM(B5)="-",0,1) + IF(TRIM(B6)="-",0,1)</f>
        <v>4</v>
      </c>
      <c r="R1">
        <f ca="1">INDIRECT(ADDRESS(4,A1,1,1,"Hřiště"))</f>
        <v>54</v>
      </c>
      <c r="S1">
        <f ca="1">INDIRECT(ADDRESS(5,A1,1,1,"Hřiště"))</f>
        <v>55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42 FRAPECO - Šedivý Zdeněk</v>
      </c>
      <c r="C3" s="70"/>
      <c r="D3" s="70"/>
      <c r="E3" s="70"/>
    </row>
    <row r="4" spans="1:20" ht="19.5">
      <c r="A4" s="70">
        <v>2</v>
      </c>
      <c r="B4" s="43" t="str">
        <f ca="1">IF(TYPE(VLOOKUP(CONCATENATE($C$1,A4),Skupiny!$A$3:$B$258,2,0))&gt;4," - ",VLOOKUP(CONCATENATE($C$1,A4),Skupiny!$A$3:$B$258,2,0))</f>
        <v>45 SKP Hranice VI-Valšovice - Tománek Petr</v>
      </c>
      <c r="C4" s="70"/>
      <c r="D4" s="70"/>
      <c r="E4" s="70"/>
    </row>
    <row r="5" spans="1:20" ht="19.5">
      <c r="A5" s="70">
        <v>3</v>
      </c>
      <c r="B5" s="43" t="str">
        <f ca="1">IF(TYPE(VLOOKUP(CONCATENATE($C$1,A5),Skupiny!$A$3:$B$258,2,0))&gt;4," - ",VLOOKUP(CONCATENATE($C$1,A5),Skupiny!$A$3:$B$258,2,0))</f>
        <v>128 PC Mimo Done - Duška Miloš</v>
      </c>
      <c r="C5" s="70"/>
      <c r="D5" s="70"/>
      <c r="E5" s="70"/>
    </row>
    <row r="6" spans="1:20" ht="19.5">
      <c r="A6" s="70">
        <v>4</v>
      </c>
      <c r="B6" s="43" t="str">
        <f ca="1">IF(TYPE(VLOOKUP(CONCATENATE($C$1,A6),Skupiny!$A$3:$B$258,2,0))&gt;4," - ",VLOOKUP(CONCATENATE($C$1,A6),Skupiny!$A$3:$B$258,2,0))</f>
        <v>131 PKT Velký Šanc - Sedláčková Hedvika</v>
      </c>
      <c r="C6" s="70"/>
      <c r="D6" s="70"/>
      <c r="E6" s="70"/>
    </row>
    <row r="7" spans="1:20" ht="36.6" customHeight="1">
      <c r="A7" s="70"/>
      <c r="B7" s="70" t="s">
        <v>50</v>
      </c>
      <c r="C7" s="73" t="s">
        <v>51</v>
      </c>
      <c r="D7" s="70" t="s">
        <v>51</v>
      </c>
      <c r="E7" s="70"/>
    </row>
    <row r="8" spans="1:20" ht="19.5">
      <c r="A8" s="70"/>
      <c r="B8" s="43" t="str">
        <f ca="1">B3</f>
        <v>42 FRAPECO - Šedivý Zdeněk</v>
      </c>
      <c r="C8" s="74">
        <f>IF(('Hra 2P'!E254=""),"",'Hra 2P'!E254)</f>
        <v>8</v>
      </c>
      <c r="D8" s="74">
        <f>IF(('Hra 2P'!F254=""),"",'Hra 2P'!F254)</f>
        <v>13</v>
      </c>
      <c r="E8" s="43" t="str">
        <f ca="1">B6</f>
        <v>131 PKT Velký Šanc - Sedláčková Hedvika</v>
      </c>
    </row>
    <row r="9" spans="1:20" ht="19.5">
      <c r="A9" s="70"/>
      <c r="B9" s="43" t="str">
        <f ca="1">B4</f>
        <v>45 SKP Hranice VI-Valšovice - Tománek Petr</v>
      </c>
      <c r="C9" s="74">
        <f>IF(('Hra 2P'!E255=""),"",'Hra 2P'!E255)</f>
        <v>13</v>
      </c>
      <c r="D9" s="74">
        <f>IF(('Hra 2P'!F255=""),"",'Hra 2P'!F255)</f>
        <v>3</v>
      </c>
      <c r="E9" s="43" t="str">
        <f ca="1">B5</f>
        <v>128 PC Mimo Done - Duška Miloš</v>
      </c>
    </row>
    <row r="10" spans="1:20" ht="19.5">
      <c r="A10" s="75" t="s">
        <v>46</v>
      </c>
      <c r="B10" s="43" t="str">
        <f ca="1">IF(TRIM(E8)="-",B8,IF(AND(C8="",D8="")," ",IF(N(C8)&gt;N(D8),B8,E8)))</f>
        <v>131 PKT Velký Šanc - Sedláčková Hedvika</v>
      </c>
      <c r="C10" s="74">
        <f>IF(('Hra 2P'!E256=""),"",'Hra 2P'!E256)</f>
        <v>13</v>
      </c>
      <c r="D10" s="74">
        <f>IF(('Hra 2P'!F256=""),"",'Hra 2P'!F256)</f>
        <v>6</v>
      </c>
      <c r="E10" s="43" t="str">
        <f ca="1">IF(AND(C9="",D9="")," ",IF(N(C9)&gt;N(D9),B9,E9))</f>
        <v>45 SKP Hranice VI-Valšovice - Tománek Petr</v>
      </c>
    </row>
    <row r="11" spans="1:20" ht="19.5">
      <c r="A11" s="75" t="s">
        <v>47</v>
      </c>
      <c r="B11" s="43" t="str">
        <f ca="1">IF(TRIM(E8)="-",E8,IF(AND(C8="",D8="")," ",IF(N(C8)&gt;N(D8),E8,B8)))</f>
        <v>42 FRAPECO - Šedivý Zdeněk</v>
      </c>
      <c r="C11" s="74">
        <f>IF(('Hra 2P'!E257=""),"",'Hra 2P'!E257)</f>
        <v>13</v>
      </c>
      <c r="D11" s="74">
        <f>IF(('Hra 2P'!F257=""),"",'Hra 2P'!F257)</f>
        <v>8</v>
      </c>
      <c r="E11" s="43" t="str">
        <f ca="1">IF(TRIM(E9)="",E9,IF(AND(C9="",D9="")," ",IF(N(C9)&gt;N(D9),E9,B9)))</f>
        <v>128 PC Mimo Done - Duška Miloš</v>
      </c>
    </row>
    <row r="12" spans="1:20" ht="19.5">
      <c r="A12" s="75" t="s">
        <v>48</v>
      </c>
      <c r="B12" s="43" t="str">
        <f ca="1">IF(TRIM(E10)="",E10,IF(AND(C10="",D10="")," ",IF(N(C10)&gt;N(D10),E10,B10)))</f>
        <v>45 SKP Hranice VI-Valšovice - Tománek Petr</v>
      </c>
      <c r="C12" s="74">
        <f>IF(('Hra 2P'!E258=""),"",'Hra 2P'!E258)</f>
        <v>13</v>
      </c>
      <c r="D12" s="74">
        <f>IF(('Hra 2P'!F258=""),"",'Hra 2P'!F258)</f>
        <v>10</v>
      </c>
      <c r="E12" s="43" t="str">
        <f ca="1">IF(AND(TRIM(B11)="",TRIM(E8)=""),E11,IF(AND(C11="",D11="")," ",IF(N(C11)&gt;N(D11),B11,E11)))</f>
        <v>42 FRAPECO - Šedivý Zdeněk</v>
      </c>
    </row>
    <row r="13" spans="1:20" ht="37.15" customHeight="1">
      <c r="A13" s="70"/>
      <c r="B13" s="76" t="s">
        <v>52</v>
      </c>
      <c r="C13" s="77" t="s">
        <v>116</v>
      </c>
      <c r="D13" s="70"/>
      <c r="E13" s="70"/>
    </row>
    <row r="14" spans="1:20" ht="19.5">
      <c r="A14" s="70" t="s">
        <v>31</v>
      </c>
      <c r="B14" s="43" t="str">
        <f ca="1">IF(N(C10)+N(D10)&gt;0,IF(N(C10)&gt;N(D10),B10,E10),"")</f>
        <v>131 PKT Velký Šanc - Sedláčková Hedvika</v>
      </c>
      <c r="C14" s="73" t="str">
        <f>CONCATENATE($C$1,A3)</f>
        <v>AP1</v>
      </c>
      <c r="D14" s="70"/>
      <c r="E14" s="70"/>
    </row>
    <row r="15" spans="1:20" ht="19.5">
      <c r="A15" s="70" t="s">
        <v>32</v>
      </c>
      <c r="B15" s="43" t="str">
        <f ca="1">IF(N(C12)+N(D12)&gt;0,IF(N(C12)&gt;N(D12),B12,E12),"")</f>
        <v>45 SKP Hranice VI-Valšovice - Tománek Petr</v>
      </c>
      <c r="C15" s="73" t="str">
        <f>CONCATENATE($C$1,A4)</f>
        <v>AP2</v>
      </c>
      <c r="D15" s="70"/>
      <c r="E15" s="70"/>
    </row>
    <row r="16" spans="1:20" ht="19.5">
      <c r="A16" s="70" t="s">
        <v>33</v>
      </c>
      <c r="B16" s="43" t="str">
        <f ca="1">IF(N(C12)+N(D12)&gt;0,IF(N(C12)&gt;N(D12),E12,B12),"")</f>
        <v>42 FRAPECO - Šedivý Zdeněk</v>
      </c>
      <c r="C16" s="73" t="str">
        <f>CONCATENATE($C$1,A5)</f>
        <v>AP3</v>
      </c>
      <c r="D16" s="70"/>
      <c r="E16" s="70"/>
    </row>
    <row r="17" spans="1:5" ht="19.5">
      <c r="A17" s="70" t="s">
        <v>34</v>
      </c>
      <c r="B17" s="78" t="str">
        <f ca="1">IF(N(C11)+N(D11)&gt;0,IF(N(C11)&gt;N(D11),E11,B11),"")</f>
        <v>128 PC Mimo Done - Duška Miloš</v>
      </c>
      <c r="C17" s="73" t="str">
        <f>CONCATENATE($C$1,A6)</f>
        <v>AP4</v>
      </c>
      <c r="D17" s="70"/>
      <c r="E17" s="70"/>
    </row>
    <row r="18" spans="1:5" ht="19.5">
      <c r="A18" s="1"/>
      <c r="B18" s="1"/>
      <c r="C18" s="1"/>
      <c r="D18" s="1"/>
      <c r="E18" s="1"/>
    </row>
  </sheetData>
  <sheetCalcPr fullCalcOnLoad="1"/>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41</v>
      </c>
      <c r="B1" s="71" t="s">
        <v>113</v>
      </c>
      <c r="C1" s="71" t="s">
        <v>1166</v>
      </c>
      <c r="D1" s="72"/>
      <c r="E1" s="70"/>
      <c r="F1">
        <f>VLOOKUP(A1,'Hra 2P'!I8:J390,2,0)</f>
        <v>248</v>
      </c>
      <c r="L1">
        <f ca="1">IF(TRIM(B3)="-",0,1) + IF(TRIM(B4)="-",0,1) + IF(TRIM(B5)="-",0,1) + IF(TRIM(B6)="-",0,1)</f>
        <v>4</v>
      </c>
      <c r="R1">
        <f ca="1">INDIRECT(ADDRESS(4,A1,1,1,"Hřiště"))</f>
        <v>52</v>
      </c>
      <c r="S1">
        <f ca="1">INDIRECT(ADDRESS(5,A1,1,1,"Hřiště"))</f>
        <v>53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41 SKP Kulová osma - Pilát Petr</v>
      </c>
      <c r="C3" s="70"/>
      <c r="D3" s="70"/>
      <c r="E3" s="70"/>
    </row>
    <row r="4" spans="1:20" ht="19.5">
      <c r="A4" s="70">
        <v>2</v>
      </c>
      <c r="B4" s="43" t="str">
        <f ca="1">IF(TYPE(VLOOKUP(CONCATENATE($C$1,A4),Skupiny!$A$3:$B$258,2,0))&gt;4," - ",VLOOKUP(CONCATENATE($C$1,A4),Skupiny!$A$3:$B$258,2,0))</f>
        <v>46 PK Osika Plzeň - Radoušová Jana</v>
      </c>
      <c r="C4" s="70"/>
      <c r="D4" s="70"/>
      <c r="E4" s="70"/>
    </row>
    <row r="5" spans="1:20" ht="19.5">
      <c r="A5" s="70">
        <v>3</v>
      </c>
      <c r="B5" s="43" t="str">
        <f ca="1">IF(TYPE(VLOOKUP(CONCATENATE($C$1,A5),Skupiny!$A$3:$B$258,2,0))&gt;4," - ",VLOOKUP(CONCATENATE($C$1,A5),Skupiny!$A$3:$B$258,2,0))</f>
        <v>127 JAPKO - Fukal Milan</v>
      </c>
      <c r="C5" s="70"/>
      <c r="D5" s="70"/>
      <c r="E5" s="70"/>
    </row>
    <row r="6" spans="1:20" ht="19.5">
      <c r="A6" s="70">
        <v>4</v>
      </c>
      <c r="B6" s="43" t="str">
        <f ca="1">IF(TYPE(VLOOKUP(CONCATENATE($C$1,A6),Skupiny!$A$3:$B$258,2,0))&gt;4," - ",VLOOKUP(CONCATENATE($C$1,A6),Skupiny!$A$3:$B$258,2,0))</f>
        <v>132 SK Pétanque Řepy - Čapková Věra</v>
      </c>
      <c r="C6" s="70"/>
      <c r="D6" s="70"/>
      <c r="E6" s="70"/>
    </row>
    <row r="7" spans="1:20" ht="36.6" customHeight="1">
      <c r="A7" s="70"/>
      <c r="B7" s="70" t="s">
        <v>50</v>
      </c>
      <c r="C7" s="73" t="s">
        <v>51</v>
      </c>
      <c r="D7" s="70" t="s">
        <v>51</v>
      </c>
      <c r="E7" s="70"/>
    </row>
    <row r="8" spans="1:20" ht="19.5">
      <c r="A8" s="70"/>
      <c r="B8" s="43" t="str">
        <f ca="1">B3</f>
        <v>41 SKP Kulová osma - Pilát Petr</v>
      </c>
      <c r="C8" s="74">
        <f>IF(('Hra 2P'!E248=""),"",'Hra 2P'!E248)</f>
        <v>13</v>
      </c>
      <c r="D8" s="74">
        <f>IF(('Hra 2P'!F248=""),"",'Hra 2P'!F248)</f>
        <v>4</v>
      </c>
      <c r="E8" s="43" t="str">
        <f ca="1">B6</f>
        <v>132 SK Pétanque Řepy - Čapková Věra</v>
      </c>
    </row>
    <row r="9" spans="1:20" ht="19.5">
      <c r="A9" s="70"/>
      <c r="B9" s="43" t="str">
        <f ca="1">B4</f>
        <v>46 PK Osika Plzeň - Radoušová Jana</v>
      </c>
      <c r="C9" s="74">
        <f>IF(('Hra 2P'!E249=""),"",'Hra 2P'!E249)</f>
        <v>10</v>
      </c>
      <c r="D9" s="74">
        <f>IF(('Hra 2P'!F249=""),"",'Hra 2P'!F249)</f>
        <v>13</v>
      </c>
      <c r="E9" s="43" t="str">
        <f ca="1">B5</f>
        <v>127 JAPKO - Fukal Milan</v>
      </c>
    </row>
    <row r="10" spans="1:20" ht="19.5">
      <c r="A10" s="75" t="s">
        <v>46</v>
      </c>
      <c r="B10" s="43" t="str">
        <f ca="1">IF(TRIM(E8)="-",B8,IF(AND(C8="",D8="")," ",IF(N(C8)&gt;N(D8),B8,E8)))</f>
        <v>41 SKP Kulová osma - Pilát Petr</v>
      </c>
      <c r="C10" s="74">
        <f>IF(('Hra 2P'!E250=""),"",'Hra 2P'!E250)</f>
        <v>13</v>
      </c>
      <c r="D10" s="74">
        <f>IF(('Hra 2P'!F250=""),"",'Hra 2P'!F250)</f>
        <v>8</v>
      </c>
      <c r="E10" s="43" t="str">
        <f ca="1">IF(AND(C9="",D9="")," ",IF(N(C9)&gt;N(D9),B9,E9))</f>
        <v>127 JAPKO - Fukal Milan</v>
      </c>
    </row>
    <row r="11" spans="1:20" ht="19.5">
      <c r="A11" s="75" t="s">
        <v>47</v>
      </c>
      <c r="B11" s="43" t="str">
        <f ca="1">IF(TRIM(E8)="-",E8,IF(AND(C8="",D8="")," ",IF(N(C8)&gt;N(D8),E8,B8)))</f>
        <v>132 SK Pétanque Řepy - Čapková Věra</v>
      </c>
      <c r="C11" s="74">
        <f>IF(('Hra 2P'!E251=""),"",'Hra 2P'!E251)</f>
        <v>2</v>
      </c>
      <c r="D11" s="74">
        <f>IF(('Hra 2P'!F251=""),"",'Hra 2P'!F251)</f>
        <v>13</v>
      </c>
      <c r="E11" s="43" t="str">
        <f ca="1">IF(TRIM(E9)="",E9,IF(AND(C9="",D9="")," ",IF(N(C9)&gt;N(D9),E9,B9)))</f>
        <v>46 PK Osika Plzeň - Radoušová Jana</v>
      </c>
    </row>
    <row r="12" spans="1:20" ht="19.5">
      <c r="A12" s="75" t="s">
        <v>48</v>
      </c>
      <c r="B12" s="43" t="str">
        <f ca="1">IF(TRIM(E10)="",E10,IF(AND(C10="",D10="")," ",IF(N(C10)&gt;N(D10),E10,B10)))</f>
        <v>127 JAPKO - Fukal Milan</v>
      </c>
      <c r="C12" s="74">
        <f>IF(('Hra 2P'!E252=""),"",'Hra 2P'!E252)</f>
        <v>13</v>
      </c>
      <c r="D12" s="74">
        <f>IF(('Hra 2P'!F252=""),"",'Hra 2P'!F252)</f>
        <v>8</v>
      </c>
      <c r="E12" s="43" t="str">
        <f ca="1">IF(AND(TRIM(B11)="",TRIM(E8)=""),E11,IF(AND(C11="",D11="")," ",IF(N(C11)&gt;N(D11),B11,E11)))</f>
        <v>46 PK Osika Plzeň - Radoušová Jana</v>
      </c>
    </row>
    <row r="13" spans="1:20" ht="37.15" customHeight="1">
      <c r="A13" s="70"/>
      <c r="B13" s="76" t="s">
        <v>52</v>
      </c>
      <c r="C13" s="77" t="s">
        <v>116</v>
      </c>
      <c r="D13" s="70"/>
      <c r="E13" s="70"/>
    </row>
    <row r="14" spans="1:20" ht="19.5">
      <c r="A14" s="70" t="s">
        <v>31</v>
      </c>
      <c r="B14" s="43" t="str">
        <f ca="1">IF(N(C10)+N(D10)&gt;0,IF(N(C10)&gt;N(D10),B10,E10),"")</f>
        <v>41 SKP Kulová osma - Pilát Petr</v>
      </c>
      <c r="C14" s="73" t="str">
        <f>CONCATENATE($C$1,A3)</f>
        <v>AO1</v>
      </c>
      <c r="D14" s="70"/>
      <c r="E14" s="70"/>
    </row>
    <row r="15" spans="1:20" ht="19.5">
      <c r="A15" s="70" t="s">
        <v>32</v>
      </c>
      <c r="B15" s="43" t="str">
        <f ca="1">IF(N(C12)+N(D12)&gt;0,IF(N(C12)&gt;N(D12),B12,E12),"")</f>
        <v>127 JAPKO - Fukal Milan</v>
      </c>
      <c r="C15" s="73" t="str">
        <f>CONCATENATE($C$1,A4)</f>
        <v>AO2</v>
      </c>
      <c r="D15" s="70"/>
      <c r="E15" s="70"/>
    </row>
    <row r="16" spans="1:20" ht="19.5">
      <c r="A16" s="70" t="s">
        <v>33</v>
      </c>
      <c r="B16" s="43" t="str">
        <f ca="1">IF(N(C12)+N(D12)&gt;0,IF(N(C12)&gt;N(D12),E12,B12),"")</f>
        <v>46 PK Osika Plzeň - Radoušová Jana</v>
      </c>
      <c r="C16" s="73" t="str">
        <f>CONCATENATE($C$1,A5)</f>
        <v>AO3</v>
      </c>
      <c r="D16" s="70"/>
      <c r="E16" s="70"/>
    </row>
    <row r="17" spans="1:5" ht="19.5">
      <c r="A17" s="70" t="s">
        <v>34</v>
      </c>
      <c r="B17" s="78" t="str">
        <f ca="1">IF(N(C11)+N(D11)&gt;0,IF(N(C11)&gt;N(D11),E11,B11),"")</f>
        <v>132 SK Pétanque Řepy - Čapková Věra</v>
      </c>
      <c r="C17" s="73" t="str">
        <f>CONCATENATE($C$1,A6)</f>
        <v>AO4</v>
      </c>
      <c r="D17" s="70"/>
      <c r="E17" s="70"/>
    </row>
    <row r="18" spans="1:5" ht="19.5">
      <c r="A18" s="1"/>
      <c r="B18" s="1"/>
      <c r="C18" s="1"/>
      <c r="D18" s="1"/>
      <c r="E18" s="1"/>
    </row>
  </sheetData>
  <sheetCalcPr fullCalcOnLoad="1"/>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40</v>
      </c>
      <c r="B1" s="71" t="s">
        <v>113</v>
      </c>
      <c r="C1" s="71" t="s">
        <v>1167</v>
      </c>
      <c r="D1" s="72"/>
      <c r="E1" s="70"/>
      <c r="F1">
        <f>VLOOKUP(A1,'Hra 2P'!I8:J390,2,0)</f>
        <v>242</v>
      </c>
      <c r="L1">
        <f ca="1">IF(TRIM(B3)="-",0,1) + IF(TRIM(B4)="-",0,1) + IF(TRIM(B5)="-",0,1) + IF(TRIM(B6)="-",0,1)</f>
        <v>4</v>
      </c>
      <c r="R1">
        <f ca="1">INDIRECT(ADDRESS(4,A1,1,1,"Hřiště"))</f>
        <v>50</v>
      </c>
      <c r="S1">
        <f ca="1">INDIRECT(ADDRESS(5,A1,1,1,"Hřiště"))</f>
        <v>51</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40 HAPEK - Bureš Pavel st.</v>
      </c>
      <c r="C3" s="70"/>
      <c r="D3" s="70"/>
      <c r="E3" s="70"/>
    </row>
    <row r="4" spans="1:20" ht="19.5">
      <c r="A4" s="70">
        <v>2</v>
      </c>
      <c r="B4" s="43" t="str">
        <f ca="1">IF(TYPE(VLOOKUP(CONCATENATE($C$1,A4),Skupiny!$A$3:$B$258,2,0))&gt;4," - ",VLOOKUP(CONCATENATE($C$1,A4),Skupiny!$A$3:$B$258,2,0))</f>
        <v>47 SK Sahara Vědomice - Kulhánek Milan</v>
      </c>
      <c r="C4" s="70"/>
      <c r="D4" s="70"/>
      <c r="E4" s="70"/>
    </row>
    <row r="5" spans="1:20" ht="19.5">
      <c r="A5" s="70">
        <v>3</v>
      </c>
      <c r="B5" s="43" t="str">
        <f ca="1">IF(TYPE(VLOOKUP(CONCATENATE($C$1,A5),Skupiny!$A$3:$B$258,2,0))&gt;4," - ",VLOOKUP(CONCATENATE($C$1,A5),Skupiny!$A$3:$B$258,2,0))</f>
        <v>126 1. KPK Vrchlabí - Lukeš Jakub</v>
      </c>
      <c r="C5" s="70"/>
      <c r="D5" s="70"/>
      <c r="E5" s="70"/>
    </row>
    <row r="6" spans="1:20" ht="19.5">
      <c r="A6" s="70">
        <v>4</v>
      </c>
      <c r="B6" s="43" t="str">
        <f ca="1">IF(TYPE(VLOOKUP(CONCATENATE($C$1,A6),Skupiny!$A$3:$B$258,2,0))&gt;4," - ",VLOOKUP(CONCATENATE($C$1,A6),Skupiny!$A$3:$B$258,2,0))</f>
        <v>133 FRAPECO - Husáková Petra</v>
      </c>
      <c r="C6" s="70"/>
      <c r="D6" s="70"/>
      <c r="E6" s="70"/>
    </row>
    <row r="7" spans="1:20" ht="36.6" customHeight="1">
      <c r="A7" s="70"/>
      <c r="B7" s="70" t="s">
        <v>50</v>
      </c>
      <c r="C7" s="73" t="s">
        <v>51</v>
      </c>
      <c r="D7" s="70" t="s">
        <v>51</v>
      </c>
      <c r="E7" s="70"/>
    </row>
    <row r="8" spans="1:20" ht="19.5">
      <c r="A8" s="70"/>
      <c r="B8" s="43" t="str">
        <f ca="1">B3</f>
        <v>40 HAPEK - Bureš Pavel st.</v>
      </c>
      <c r="C8" s="74">
        <f>IF(('Hra 2P'!E242=""),"",'Hra 2P'!E242)</f>
        <v>13</v>
      </c>
      <c r="D8" s="74">
        <f>IF(('Hra 2P'!F242=""),"",'Hra 2P'!F242)</f>
        <v>8</v>
      </c>
      <c r="E8" s="43" t="str">
        <f ca="1">B6</f>
        <v>133 FRAPECO - Husáková Petra</v>
      </c>
    </row>
    <row r="9" spans="1:20" ht="19.5">
      <c r="A9" s="70"/>
      <c r="B9" s="43" t="str">
        <f ca="1">B4</f>
        <v>47 SK Sahara Vědomice - Kulhánek Milan</v>
      </c>
      <c r="C9" s="74">
        <f>IF(('Hra 2P'!E243=""),"",'Hra 2P'!E243)</f>
        <v>11</v>
      </c>
      <c r="D9" s="74">
        <f>IF(('Hra 2P'!F243=""),"",'Hra 2P'!F243)</f>
        <v>13</v>
      </c>
      <c r="E9" s="43" t="str">
        <f ca="1">B5</f>
        <v>126 1. KPK Vrchlabí - Lukeš Jakub</v>
      </c>
    </row>
    <row r="10" spans="1:20" ht="19.5">
      <c r="A10" s="75" t="s">
        <v>46</v>
      </c>
      <c r="B10" s="43" t="str">
        <f ca="1">IF(TRIM(E8)="-",B8,IF(AND(C8="",D8="")," ",IF(N(C8)&gt;N(D8),B8,E8)))</f>
        <v>40 HAPEK - Bureš Pavel st.</v>
      </c>
      <c r="C10" s="74">
        <f>IF(('Hra 2P'!E244=""),"",'Hra 2P'!E244)</f>
        <v>13</v>
      </c>
      <c r="D10" s="74">
        <f>IF(('Hra 2P'!F244=""),"",'Hra 2P'!F244)</f>
        <v>11</v>
      </c>
      <c r="E10" s="43" t="str">
        <f ca="1">IF(AND(C9="",D9="")," ",IF(N(C9)&gt;N(D9),B9,E9))</f>
        <v>126 1. KPK Vrchlabí - Lukeš Jakub</v>
      </c>
    </row>
    <row r="11" spans="1:20" ht="19.5">
      <c r="A11" s="75" t="s">
        <v>47</v>
      </c>
      <c r="B11" s="43" t="str">
        <f ca="1">IF(TRIM(E8)="-",E8,IF(AND(C8="",D8="")," ",IF(N(C8)&gt;N(D8),E8,B8)))</f>
        <v>133 FRAPECO - Husáková Petra</v>
      </c>
      <c r="C11" s="74">
        <f>IF(('Hra 2P'!E245=""),"",'Hra 2P'!E245)</f>
        <v>13</v>
      </c>
      <c r="D11" s="74">
        <f>IF(('Hra 2P'!F245=""),"",'Hra 2P'!F245)</f>
        <v>3</v>
      </c>
      <c r="E11" s="43" t="str">
        <f ca="1">IF(TRIM(E9)="",E9,IF(AND(C9="",D9="")," ",IF(N(C9)&gt;N(D9),E9,B9)))</f>
        <v>47 SK Sahara Vědomice - Kulhánek Milan</v>
      </c>
    </row>
    <row r="12" spans="1:20" ht="19.5">
      <c r="A12" s="75" t="s">
        <v>48</v>
      </c>
      <c r="B12" s="43" t="str">
        <f ca="1">IF(TRIM(E10)="",E10,IF(AND(C10="",D10="")," ",IF(N(C10)&gt;N(D10),E10,B10)))</f>
        <v>126 1. KPK Vrchlabí - Lukeš Jakub</v>
      </c>
      <c r="C12" s="74">
        <f>IF(('Hra 2P'!E246=""),"",'Hra 2P'!E246)</f>
        <v>13</v>
      </c>
      <c r="D12" s="74">
        <f>IF(('Hra 2P'!F246=""),"",'Hra 2P'!F246)</f>
        <v>4</v>
      </c>
      <c r="E12" s="43" t="str">
        <f ca="1">IF(AND(TRIM(B11)="",TRIM(E8)=""),E11,IF(AND(C11="",D11="")," ",IF(N(C11)&gt;N(D11),B11,E11)))</f>
        <v>133 FRAPECO - Husáková Petra</v>
      </c>
    </row>
    <row r="13" spans="1:20" ht="37.15" customHeight="1">
      <c r="A13" s="70"/>
      <c r="B13" s="76" t="s">
        <v>52</v>
      </c>
      <c r="C13" s="77" t="s">
        <v>116</v>
      </c>
      <c r="D13" s="70"/>
      <c r="E13" s="70"/>
    </row>
    <row r="14" spans="1:20" ht="19.5">
      <c r="A14" s="70" t="s">
        <v>31</v>
      </c>
      <c r="B14" s="43" t="str">
        <f ca="1">IF(N(C10)+N(D10)&gt;0,IF(N(C10)&gt;N(D10),B10,E10),"")</f>
        <v>40 HAPEK - Bureš Pavel st.</v>
      </c>
      <c r="C14" s="73" t="str">
        <f>CONCATENATE($C$1,A3)</f>
        <v>AN1</v>
      </c>
      <c r="D14" s="70"/>
      <c r="E14" s="70"/>
    </row>
    <row r="15" spans="1:20" ht="19.5">
      <c r="A15" s="70" t="s">
        <v>32</v>
      </c>
      <c r="B15" s="43" t="str">
        <f ca="1">IF(N(C12)+N(D12)&gt;0,IF(N(C12)&gt;N(D12),B12,E12),"")</f>
        <v>126 1. KPK Vrchlabí - Lukeš Jakub</v>
      </c>
      <c r="C15" s="73" t="str">
        <f>CONCATENATE($C$1,A4)</f>
        <v>AN2</v>
      </c>
      <c r="D15" s="70"/>
      <c r="E15" s="70"/>
    </row>
    <row r="16" spans="1:20" ht="19.5">
      <c r="A16" s="70" t="s">
        <v>33</v>
      </c>
      <c r="B16" s="43" t="str">
        <f ca="1">IF(N(C12)+N(D12)&gt;0,IF(N(C12)&gt;N(D12),E12,B12),"")</f>
        <v>133 FRAPECO - Husáková Petra</v>
      </c>
      <c r="C16" s="73" t="str">
        <f>CONCATENATE($C$1,A5)</f>
        <v>AN3</v>
      </c>
      <c r="D16" s="70"/>
      <c r="E16" s="70"/>
    </row>
    <row r="17" spans="1:5" ht="19.5">
      <c r="A17" s="70" t="s">
        <v>34</v>
      </c>
      <c r="B17" s="78" t="str">
        <f ca="1">IF(N(C11)+N(D11)&gt;0,IF(N(C11)&gt;N(D11),E11,B11),"")</f>
        <v>47 SK Sahara Vědomice - Kulhánek Milan</v>
      </c>
      <c r="C17" s="73" t="str">
        <f>CONCATENATE($C$1,A6)</f>
        <v>AN4</v>
      </c>
      <c r="D17" s="70"/>
      <c r="E17" s="70"/>
    </row>
    <row r="18" spans="1:5" ht="19.5">
      <c r="A18" s="1"/>
      <c r="B18" s="1"/>
      <c r="C18" s="1"/>
      <c r="D18" s="1"/>
      <c r="E18" s="1"/>
    </row>
  </sheetData>
  <sheetCalcPr fullCalcOnLoad="1"/>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39</v>
      </c>
      <c r="B1" s="71" t="s">
        <v>113</v>
      </c>
      <c r="C1" s="71" t="s">
        <v>1168</v>
      </c>
      <c r="D1" s="72"/>
      <c r="E1" s="70"/>
      <c r="F1">
        <f>VLOOKUP(A1,'Hra 2P'!I8:J390,2,0)</f>
        <v>236</v>
      </c>
      <c r="L1">
        <f ca="1">IF(TRIM(B3)="-",0,1) + IF(TRIM(B4)="-",0,1) + IF(TRIM(B5)="-",0,1) + IF(TRIM(B6)="-",0,1)</f>
        <v>4</v>
      </c>
      <c r="R1">
        <f ca="1">INDIRECT(ADDRESS(4,A1,1,1,"Hřiště"))</f>
        <v>48</v>
      </c>
      <c r="S1">
        <f ca="1">INDIRECT(ADDRESS(5,A1,1,1,"Hřiště"))</f>
        <v>49</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39 FRAPECO - Felčárek Jaroslav</v>
      </c>
      <c r="C3" s="70"/>
      <c r="D3" s="70"/>
      <c r="E3" s="70"/>
    </row>
    <row r="4" spans="1:20" ht="19.5">
      <c r="A4" s="70">
        <v>2</v>
      </c>
      <c r="B4" s="43" t="str">
        <f ca="1">IF(TYPE(VLOOKUP(CONCATENATE($C$1,A4),Skupiny!$A$3:$B$258,2,0))&gt;4," - ",VLOOKUP(CONCATENATE($C$1,A4),Skupiny!$A$3:$B$258,2,0))</f>
        <v>48 UBU Únětice - Palas Pavel</v>
      </c>
      <c r="C4" s="70"/>
      <c r="D4" s="70"/>
      <c r="E4" s="70"/>
    </row>
    <row r="5" spans="1:20" ht="19.5">
      <c r="A5" s="70">
        <v>3</v>
      </c>
      <c r="B5" s="43" t="str">
        <f ca="1">IF(TYPE(VLOOKUP(CONCATENATE($C$1,A5),Skupiny!$A$3:$B$258,2,0))&gt;4," - ",VLOOKUP(CONCATENATE($C$1,A5),Skupiny!$A$3:$B$258,2,0))</f>
        <v>125 SK Pétanque Řepy - Váňová Věra</v>
      </c>
      <c r="C5" s="70"/>
      <c r="D5" s="70"/>
      <c r="E5" s="70"/>
    </row>
    <row r="6" spans="1:20" ht="19.5">
      <c r="A6" s="70">
        <v>4</v>
      </c>
      <c r="B6" s="43" t="str">
        <f ca="1">IF(TYPE(VLOOKUP(CONCATENATE($C$1,A6),Skupiny!$A$3:$B$258,2,0))&gt;4," - ",VLOOKUP(CONCATENATE($C$1,A6),Skupiny!$A$3:$B$258,2,0))</f>
        <v>134 UBU Únětice - Kolaříková Josefína</v>
      </c>
      <c r="C6" s="70"/>
      <c r="D6" s="70"/>
      <c r="E6" s="70"/>
    </row>
    <row r="7" spans="1:20" ht="36.6" customHeight="1">
      <c r="A7" s="70"/>
      <c r="B7" s="70" t="s">
        <v>50</v>
      </c>
      <c r="C7" s="73" t="s">
        <v>51</v>
      </c>
      <c r="D7" s="70" t="s">
        <v>51</v>
      </c>
      <c r="E7" s="70"/>
    </row>
    <row r="8" spans="1:20" ht="19.5">
      <c r="A8" s="70"/>
      <c r="B8" s="43" t="str">
        <f ca="1">B3</f>
        <v>39 FRAPECO - Felčárek Jaroslav</v>
      </c>
      <c r="C8" s="74">
        <f>IF(('Hra 2P'!E236=""),"",'Hra 2P'!E236)</f>
        <v>13</v>
      </c>
      <c r="D8" s="74">
        <f>IF(('Hra 2P'!F236=""),"",'Hra 2P'!F236)</f>
        <v>4</v>
      </c>
      <c r="E8" s="43" t="str">
        <f ca="1">B6</f>
        <v>134 UBU Únětice - Kolaříková Josefína</v>
      </c>
    </row>
    <row r="9" spans="1:20" ht="19.5">
      <c r="A9" s="70"/>
      <c r="B9" s="43" t="str">
        <f ca="1">B4</f>
        <v>48 UBU Únětice - Palas Pavel</v>
      </c>
      <c r="C9" s="74">
        <f>IF(('Hra 2P'!E237=""),"",'Hra 2P'!E237)</f>
        <v>13</v>
      </c>
      <c r="D9" s="74">
        <f>IF(('Hra 2P'!F237=""),"",'Hra 2P'!F237)</f>
        <v>3</v>
      </c>
      <c r="E9" s="43" t="str">
        <f ca="1">B5</f>
        <v>125 SK Pétanque Řepy - Váňová Věra</v>
      </c>
    </row>
    <row r="10" spans="1:20" ht="19.5">
      <c r="A10" s="75" t="s">
        <v>46</v>
      </c>
      <c r="B10" s="43" t="str">
        <f ca="1">IF(TRIM(E8)="-",B8,IF(AND(C8="",D8="")," ",IF(N(C8)&gt;N(D8),B8,E8)))</f>
        <v>39 FRAPECO - Felčárek Jaroslav</v>
      </c>
      <c r="C10" s="74">
        <f>IF(('Hra 2P'!E238=""),"",'Hra 2P'!E238)</f>
        <v>7</v>
      </c>
      <c r="D10" s="74">
        <f>IF(('Hra 2P'!F238=""),"",'Hra 2P'!F238)</f>
        <v>13</v>
      </c>
      <c r="E10" s="43" t="str">
        <f ca="1">IF(AND(C9="",D9="")," ",IF(N(C9)&gt;N(D9),B9,E9))</f>
        <v>48 UBU Únětice - Palas Pavel</v>
      </c>
    </row>
    <row r="11" spans="1:20" ht="19.5">
      <c r="A11" s="75" t="s">
        <v>47</v>
      </c>
      <c r="B11" s="43" t="str">
        <f ca="1">IF(TRIM(E8)="-",E8,IF(AND(C8="",D8="")," ",IF(N(C8)&gt;N(D8),E8,B8)))</f>
        <v>134 UBU Únětice - Kolaříková Josefína</v>
      </c>
      <c r="C11" s="74">
        <f>IF(('Hra 2P'!E239=""),"",'Hra 2P'!E239)</f>
        <v>13</v>
      </c>
      <c r="D11" s="74">
        <f>IF(('Hra 2P'!F239=""),"",'Hra 2P'!F239)</f>
        <v>12</v>
      </c>
      <c r="E11" s="43" t="str">
        <f ca="1">IF(TRIM(E9)="",E9,IF(AND(C9="",D9="")," ",IF(N(C9)&gt;N(D9),E9,B9)))</f>
        <v>125 SK Pétanque Řepy - Váňová Věra</v>
      </c>
    </row>
    <row r="12" spans="1:20" ht="19.5">
      <c r="A12" s="75" t="s">
        <v>48</v>
      </c>
      <c r="B12" s="43" t="str">
        <f ca="1">IF(TRIM(E10)="",E10,IF(AND(C10="",D10="")," ",IF(N(C10)&gt;N(D10),E10,B10)))</f>
        <v>39 FRAPECO - Felčárek Jaroslav</v>
      </c>
      <c r="C12" s="74">
        <f>IF(('Hra 2P'!E240=""),"",'Hra 2P'!E240)</f>
        <v>13</v>
      </c>
      <c r="D12" s="74">
        <f>IF(('Hra 2P'!F240=""),"",'Hra 2P'!F240)</f>
        <v>5</v>
      </c>
      <c r="E12" s="43" t="str">
        <f ca="1">IF(AND(TRIM(B11)="",TRIM(E8)=""),E11,IF(AND(C11="",D11="")," ",IF(N(C11)&gt;N(D11),B11,E11)))</f>
        <v>134 UBU Únětice - Kolaříková Josefína</v>
      </c>
    </row>
    <row r="13" spans="1:20" ht="37.15" customHeight="1">
      <c r="A13" s="70"/>
      <c r="B13" s="76" t="s">
        <v>52</v>
      </c>
      <c r="C13" s="77" t="s">
        <v>116</v>
      </c>
      <c r="D13" s="70"/>
      <c r="E13" s="70"/>
    </row>
    <row r="14" spans="1:20" ht="19.5">
      <c r="A14" s="70" t="s">
        <v>31</v>
      </c>
      <c r="B14" s="43" t="str">
        <f ca="1">IF(N(C10)+N(D10)&gt;0,IF(N(C10)&gt;N(D10),B10,E10),"")</f>
        <v>48 UBU Únětice - Palas Pavel</v>
      </c>
      <c r="C14" s="73" t="str">
        <f>CONCATENATE($C$1,A3)</f>
        <v>AM1</v>
      </c>
      <c r="D14" s="70"/>
      <c r="E14" s="70"/>
    </row>
    <row r="15" spans="1:20" ht="19.5">
      <c r="A15" s="70" t="s">
        <v>32</v>
      </c>
      <c r="B15" s="43" t="str">
        <f ca="1">IF(N(C12)+N(D12)&gt;0,IF(N(C12)&gt;N(D12),B12,E12),"")</f>
        <v>39 FRAPECO - Felčárek Jaroslav</v>
      </c>
      <c r="C15" s="73" t="str">
        <f>CONCATENATE($C$1,A4)</f>
        <v>AM2</v>
      </c>
      <c r="D15" s="70"/>
      <c r="E15" s="70"/>
    </row>
    <row r="16" spans="1:20" ht="19.5">
      <c r="A16" s="70" t="s">
        <v>33</v>
      </c>
      <c r="B16" s="43" t="str">
        <f ca="1">IF(N(C12)+N(D12)&gt;0,IF(N(C12)&gt;N(D12),E12,B12),"")</f>
        <v>134 UBU Únětice - Kolaříková Josefína</v>
      </c>
      <c r="C16" s="73" t="str">
        <f>CONCATENATE($C$1,A5)</f>
        <v>AM3</v>
      </c>
      <c r="D16" s="70"/>
      <c r="E16" s="70"/>
    </row>
    <row r="17" spans="1:5" ht="19.5">
      <c r="A17" s="70" t="s">
        <v>34</v>
      </c>
      <c r="B17" s="78" t="str">
        <f ca="1">IF(N(C11)+N(D11)&gt;0,IF(N(C11)&gt;N(D11),E11,B11),"")</f>
        <v>125 SK Pétanque Řepy - Váňová Věra</v>
      </c>
      <c r="C17" s="73" t="str">
        <f>CONCATENATE($C$1,A6)</f>
        <v>AM4</v>
      </c>
      <c r="D17" s="70"/>
      <c r="E17" s="70"/>
    </row>
    <row r="18" spans="1:5" ht="19.5">
      <c r="A18" s="1"/>
      <c r="B18" s="1"/>
      <c r="C18" s="1"/>
      <c r="D18" s="1"/>
      <c r="E18" s="1"/>
    </row>
  </sheetData>
  <sheetCalcPr fullCalcOnLoad="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A5" sqref="A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7"/>
      <c r="E1" s="7"/>
      <c r="F1" s="317">
        <f ca="1">F3/16</f>
        <v>44.175812499999999</v>
      </c>
      <c r="G1" s="7"/>
    </row>
    <row r="2" spans="1:7" ht="34.15" customHeight="1" thickBot="1">
      <c r="A2" s="116">
        <f>Start.listina!$K$2</f>
        <v>20035</v>
      </c>
      <c r="B2" s="114" t="str">
        <f>Start.listina!$K$4</f>
        <v>MČR 1x1</v>
      </c>
      <c r="C2" s="115"/>
      <c r="D2" s="115"/>
      <c r="E2" s="123"/>
      <c r="G2" s="7"/>
    </row>
    <row r="3" spans="1:7" ht="21.75" customHeight="1" thickBot="1">
      <c r="A3" s="7"/>
      <c r="B3" s="7"/>
      <c r="C3" s="7"/>
      <c r="D3" s="7"/>
      <c r="E3" s="13" t="s">
        <v>303</v>
      </c>
      <c r="F3" s="7">
        <f ca="1">SUM(F5:F20)</f>
        <v>706.81299999999999</v>
      </c>
      <c r="G3" s="7"/>
    </row>
    <row r="4" spans="1:7" ht="24.75" customHeight="1" thickBot="1">
      <c r="A4" s="102" t="s">
        <v>58</v>
      </c>
      <c r="B4" s="102" t="s">
        <v>129</v>
      </c>
      <c r="C4" s="102" t="s">
        <v>59</v>
      </c>
      <c r="D4" s="102" t="s">
        <v>60</v>
      </c>
      <c r="E4" s="103" t="s">
        <v>61</v>
      </c>
      <c r="F4" s="103" t="s">
        <v>301</v>
      </c>
      <c r="G4" s="7"/>
    </row>
    <row r="5" spans="1:7">
      <c r="A5" s="350">
        <f ca="1">Start.listina!I11</f>
        <v>99532</v>
      </c>
      <c r="B5" s="399" t="str">
        <f ca="1">Start.listina!J11</f>
        <v>Michálek</v>
      </c>
      <c r="C5" s="350" t="str">
        <f ca="1">Start.listina!K11</f>
        <v>Ivo</v>
      </c>
      <c r="D5" s="350" t="str">
        <f ca="1">Start.listina!L11</f>
        <v>Carreau Brno</v>
      </c>
      <c r="E5" s="350">
        <f ca="1">Start.listina!M11</f>
        <v>2</v>
      </c>
      <c r="F5" s="350">
        <f ca="1">Start.listina!N11</f>
        <v>54.75</v>
      </c>
      <c r="G5" s="7"/>
    </row>
    <row r="6" spans="1:7">
      <c r="A6" s="350">
        <f ca="1">Start.listina!I12</f>
        <v>29062</v>
      </c>
      <c r="B6" s="399" t="str">
        <f ca="1">Start.listina!J12</f>
        <v>Vavrovič</v>
      </c>
      <c r="C6" s="350" t="str">
        <f ca="1">Start.listina!K12</f>
        <v>Petr ml.</v>
      </c>
      <c r="D6" s="350" t="str">
        <f ca="1">Start.listina!L12</f>
        <v>PC Sokol Lipník</v>
      </c>
      <c r="E6" s="350">
        <f ca="1">Start.listina!M12</f>
        <v>4</v>
      </c>
      <c r="F6" s="350">
        <f ca="1">Start.listina!N12</f>
        <v>54.5</v>
      </c>
      <c r="G6" s="7"/>
    </row>
    <row r="7" spans="1:7">
      <c r="A7" s="350">
        <f ca="1">Start.listina!I13</f>
        <v>21774</v>
      </c>
      <c r="B7" s="399" t="str">
        <f ca="1">Start.listina!J13</f>
        <v>Michálek</v>
      </c>
      <c r="C7" s="350" t="str">
        <f ca="1">Start.listina!K13</f>
        <v>Tomáš</v>
      </c>
      <c r="D7" s="350" t="str">
        <f ca="1">Start.listina!L13</f>
        <v>Carreau Brno</v>
      </c>
      <c r="E7" s="350">
        <f ca="1">Start.listina!M13</f>
        <v>6</v>
      </c>
      <c r="F7" s="350">
        <f ca="1">Start.listina!N13</f>
        <v>54</v>
      </c>
      <c r="G7" s="7"/>
    </row>
    <row r="8" spans="1:7">
      <c r="A8" s="350">
        <f ca="1">Start.listina!I14</f>
        <v>27039</v>
      </c>
      <c r="B8" s="399" t="str">
        <f ca="1">Start.listina!J14</f>
        <v>Kauca</v>
      </c>
      <c r="C8" s="350" t="str">
        <f ca="1">Start.listina!K14</f>
        <v>Jindřich</v>
      </c>
      <c r="D8" s="350" t="str">
        <f ca="1">Start.listina!L14</f>
        <v>PC Kolová</v>
      </c>
      <c r="E8" s="350">
        <f ca="1">Start.listina!M14</f>
        <v>1</v>
      </c>
      <c r="F8" s="350">
        <f ca="1">Start.listina!N14</f>
        <v>50.75</v>
      </c>
      <c r="G8" s="7"/>
    </row>
    <row r="9" spans="1:7">
      <c r="A9" s="350">
        <f ca="1">Start.listina!I15</f>
        <v>12022</v>
      </c>
      <c r="B9" s="399" t="str">
        <f ca="1">Start.listina!J15</f>
        <v>Slobodová</v>
      </c>
      <c r="C9" s="350" t="str">
        <f ca="1">Start.listina!K15</f>
        <v>Veronika</v>
      </c>
      <c r="D9" s="350" t="str">
        <f ca="1">Start.listina!L15</f>
        <v>Carreau Brno</v>
      </c>
      <c r="E9" s="350">
        <f ca="1">Start.listina!M15</f>
        <v>5</v>
      </c>
      <c r="F9" s="350">
        <f ca="1">Start.listina!N15</f>
        <v>48</v>
      </c>
      <c r="G9" s="7"/>
    </row>
    <row r="10" spans="1:7">
      <c r="A10" s="350">
        <f ca="1">Start.listina!I16</f>
        <v>14075</v>
      </c>
      <c r="B10" s="399" t="str">
        <f ca="1">Start.listina!J16</f>
        <v>Froňková</v>
      </c>
      <c r="C10" s="350" t="str">
        <f ca="1">Start.listina!K16</f>
        <v>Kateřina</v>
      </c>
      <c r="D10" s="350" t="str">
        <f ca="1">Start.listina!L16</f>
        <v>PC Sokol Lipník</v>
      </c>
      <c r="E10" s="350">
        <f ca="1">Start.listina!M16</f>
        <v>13</v>
      </c>
      <c r="F10" s="350">
        <f ca="1">Start.listina!N16</f>
        <v>46.75</v>
      </c>
      <c r="G10" s="7"/>
    </row>
    <row r="11" spans="1:7">
      <c r="A11" s="350">
        <f ca="1">Start.listina!I17</f>
        <v>11039</v>
      </c>
      <c r="B11" s="399" t="str">
        <f ca="1">Start.listina!J17</f>
        <v>Lukáš</v>
      </c>
      <c r="C11" s="350" t="str">
        <f ca="1">Start.listina!K17</f>
        <v>Vojtěch</v>
      </c>
      <c r="D11" s="350" t="str">
        <f ca="1">Start.listina!L17</f>
        <v>PLUK Jablonec</v>
      </c>
      <c r="E11" s="350">
        <f ca="1">Start.listina!M17</f>
        <v>8</v>
      </c>
      <c r="F11" s="350">
        <f ca="1">Start.listina!N17</f>
        <v>46.5</v>
      </c>
      <c r="G11" s="7"/>
    </row>
    <row r="12" spans="1:7">
      <c r="A12" s="350">
        <f ca="1">Start.listina!I18</f>
        <v>13040</v>
      </c>
      <c r="B12" s="399" t="str">
        <f ca="1">Start.listina!J18</f>
        <v>Bílek</v>
      </c>
      <c r="C12" s="350" t="str">
        <f ca="1">Start.listina!K18</f>
        <v>Vojtěch</v>
      </c>
      <c r="D12" s="350" t="str">
        <f ca="1">Start.listina!L18</f>
        <v>1. KPK Vrchlabí</v>
      </c>
      <c r="E12" s="350">
        <f ca="1">Start.listina!M18</f>
        <v>11</v>
      </c>
      <c r="F12" s="350">
        <f ca="1">Start.listina!N18</f>
        <v>40.875</v>
      </c>
      <c r="G12" s="7"/>
    </row>
    <row r="13" spans="1:7">
      <c r="A13" s="350">
        <f ca="1">Start.listina!I19</f>
        <v>21755</v>
      </c>
      <c r="B13" s="399" t="str">
        <f ca="1">Start.listina!J19</f>
        <v>Valenz</v>
      </c>
      <c r="C13" s="350" t="str">
        <f ca="1">Start.listina!K19</f>
        <v>Lukáš</v>
      </c>
      <c r="D13" s="350" t="str">
        <f ca="1">Start.listina!L19</f>
        <v>VARAN</v>
      </c>
      <c r="E13" s="350">
        <f ca="1">Start.listina!M19</f>
        <v>7</v>
      </c>
      <c r="F13" s="350">
        <f ca="1">Start.listina!N19</f>
        <v>40.5</v>
      </c>
      <c r="G13" s="7"/>
    </row>
    <row r="14" spans="1:7">
      <c r="A14" s="350">
        <f ca="1">Start.listina!I20</f>
        <v>14008</v>
      </c>
      <c r="B14" s="399" t="str">
        <f ca="1">Start.listina!J20</f>
        <v>Bačo</v>
      </c>
      <c r="C14" s="350" t="str">
        <f ca="1">Start.listina!K20</f>
        <v>David</v>
      </c>
      <c r="D14" s="350" t="str">
        <f ca="1">Start.listina!L20</f>
        <v>TOP - ORLOVÁ</v>
      </c>
      <c r="E14" s="350">
        <f ca="1">Start.listina!M20</f>
        <v>28</v>
      </c>
      <c r="F14" s="350">
        <f ca="1">Start.listina!N20</f>
        <v>40.375</v>
      </c>
      <c r="G14" s="7"/>
    </row>
    <row r="15" spans="1:7">
      <c r="A15" s="350">
        <f ca="1">Start.listina!I21</f>
        <v>98446</v>
      </c>
      <c r="B15" s="399" t="str">
        <f ca="1">Start.listina!J21</f>
        <v>Morávek</v>
      </c>
      <c r="C15" s="350" t="str">
        <f ca="1">Start.listina!K21</f>
        <v>Petr</v>
      </c>
      <c r="D15" s="350" t="str">
        <f ca="1">Start.listina!L21</f>
        <v>PC Sokol Lipník</v>
      </c>
      <c r="E15" s="350">
        <f ca="1">Start.listina!M21</f>
        <v>17</v>
      </c>
      <c r="F15" s="350">
        <f ca="1">Start.listina!N21</f>
        <v>39.375</v>
      </c>
      <c r="G15" s="7"/>
    </row>
    <row r="16" spans="1:7">
      <c r="A16" s="350">
        <f ca="1">Start.listina!I22</f>
        <v>23086</v>
      </c>
      <c r="B16" s="399" t="str">
        <f ca="1">Start.listina!J22</f>
        <v>Řehoř</v>
      </c>
      <c r="C16" s="350" t="str">
        <f ca="1">Start.listina!K22</f>
        <v>Miroslav</v>
      </c>
      <c r="D16" s="350" t="str">
        <f ca="1">Start.listina!L22</f>
        <v>FRAPECO</v>
      </c>
      <c r="E16" s="350">
        <f ca="1">Start.listina!M22</f>
        <v>21</v>
      </c>
      <c r="F16" s="350">
        <f ca="1">Start.listina!N22</f>
        <v>38.938000000000002</v>
      </c>
      <c r="G16" s="7"/>
    </row>
    <row r="17" spans="1:7">
      <c r="A17" s="350">
        <f ca="1">Start.listina!I23</f>
        <v>15058</v>
      </c>
      <c r="B17" s="399" t="str">
        <f ca="1">Start.listina!J23</f>
        <v>Zdobinský</v>
      </c>
      <c r="C17" s="350" t="str">
        <f ca="1">Start.listina!K23</f>
        <v>Michal ml.</v>
      </c>
      <c r="D17" s="350" t="str">
        <f ca="1">Start.listina!L23</f>
        <v>PC Sokol Lipník</v>
      </c>
      <c r="E17" s="350">
        <f ca="1">Start.listina!M23</f>
        <v>10</v>
      </c>
      <c r="F17" s="350">
        <f ca="1">Start.listina!N23</f>
        <v>38.625</v>
      </c>
      <c r="G17" s="7"/>
    </row>
    <row r="18" spans="1:7">
      <c r="A18" s="350">
        <f ca="1">Start.listina!I24</f>
        <v>23021</v>
      </c>
      <c r="B18" s="399" t="str">
        <f ca="1">Start.listina!J24</f>
        <v>Ondryáš</v>
      </c>
      <c r="C18" s="350" t="str">
        <f ca="1">Start.listina!K24</f>
        <v>Jiří</v>
      </c>
      <c r="D18" s="350" t="str">
        <f ca="1">Start.listina!L24</f>
        <v>FRAPECO</v>
      </c>
      <c r="E18" s="350">
        <f ca="1">Start.listina!M24</f>
        <v>9</v>
      </c>
      <c r="F18" s="350">
        <f ca="1">Start.listina!N24</f>
        <v>38.125</v>
      </c>
      <c r="G18" s="7"/>
    </row>
    <row r="19" spans="1:7">
      <c r="A19" s="350">
        <f ca="1">Start.listina!I25</f>
        <v>14024</v>
      </c>
      <c r="B19" s="399" t="str">
        <f ca="1">Start.listina!J25</f>
        <v>Palicová</v>
      </c>
      <c r="C19" s="350" t="str">
        <f ca="1">Start.listina!K25</f>
        <v>Markéta</v>
      </c>
      <c r="D19" s="350" t="str">
        <f ca="1">Start.listina!L25</f>
        <v>PLUK Jablonec</v>
      </c>
      <c r="E19" s="350">
        <f ca="1">Start.listina!M25</f>
        <v>12</v>
      </c>
      <c r="F19" s="350">
        <f ca="1">Start.listina!N25</f>
        <v>37.75</v>
      </c>
      <c r="G19" s="7"/>
    </row>
    <row r="20" spans="1:7">
      <c r="A20" s="350">
        <f ca="1">Start.listina!I26</f>
        <v>26075</v>
      </c>
      <c r="B20" s="399" t="str">
        <f ca="1">Start.listina!J26</f>
        <v>Konšel</v>
      </c>
      <c r="C20" s="350" t="str">
        <f ca="1">Start.listina!K26</f>
        <v>Jakub</v>
      </c>
      <c r="D20" s="350" t="str">
        <f ca="1">Start.listina!L26</f>
        <v>POP Praha</v>
      </c>
      <c r="E20" s="350">
        <f ca="1">Start.listina!M26</f>
        <v>14</v>
      </c>
      <c r="F20" s="350">
        <f ca="1">Start.listina!N26</f>
        <v>37</v>
      </c>
      <c r="G20" s="7"/>
    </row>
    <row r="21" spans="1:7">
      <c r="A21" s="350">
        <f ca="1">Start.listina!I27</f>
        <v>99574</v>
      </c>
      <c r="B21" s="399" t="str">
        <f ca="1">Start.listina!J27</f>
        <v>Demčíková</v>
      </c>
      <c r="C21" s="350" t="str">
        <f ca="1">Start.listina!K27</f>
        <v>Jiřina</v>
      </c>
      <c r="D21" s="350" t="str">
        <f ca="1">Start.listina!L27</f>
        <v>SK Sahara Vědomice</v>
      </c>
      <c r="E21" s="350">
        <f ca="1">Start.listina!M27</f>
        <v>24</v>
      </c>
      <c r="F21" s="350">
        <f ca="1">Start.listina!N27</f>
        <v>36.25</v>
      </c>
      <c r="G21" s="7"/>
    </row>
    <row r="22" spans="1:7">
      <c r="A22" s="350">
        <f ca="1">Start.listina!I28</f>
        <v>13064</v>
      </c>
      <c r="B22" s="399" t="str">
        <f ca="1">Start.listina!J28</f>
        <v>Michalička</v>
      </c>
      <c r="C22" s="350" t="str">
        <f ca="1">Start.listina!K28</f>
        <v>Lukáš</v>
      </c>
      <c r="D22" s="350" t="str">
        <f ca="1">Start.listina!L28</f>
        <v>1. KPK Vrchlabí</v>
      </c>
      <c r="E22" s="350">
        <f ca="1">Start.listina!M28</f>
        <v>19</v>
      </c>
      <c r="F22" s="350">
        <f ca="1">Start.listina!N28</f>
        <v>35</v>
      </c>
      <c r="G22" s="7"/>
    </row>
    <row r="23" spans="1:7">
      <c r="A23" s="350">
        <f ca="1">Start.listina!I29</f>
        <v>27015</v>
      </c>
      <c r="B23" s="399" t="str">
        <f ca="1">Start.listina!J29</f>
        <v>Srnský</v>
      </c>
      <c r="C23" s="350" t="str">
        <f ca="1">Start.listina!K29</f>
        <v>Lubomír</v>
      </c>
      <c r="D23" s="350" t="str">
        <f ca="1">Start.listina!L29</f>
        <v>1. KPK Vrchlabí</v>
      </c>
      <c r="E23" s="350">
        <f ca="1">Start.listina!M29</f>
        <v>57</v>
      </c>
      <c r="F23" s="350">
        <f ca="1">Start.listina!N29</f>
        <v>32.563000000000002</v>
      </c>
      <c r="G23" s="7"/>
    </row>
    <row r="24" spans="1:7">
      <c r="A24" s="350">
        <f ca="1">Start.listina!I30</f>
        <v>25055</v>
      </c>
      <c r="B24" s="399" t="str">
        <f ca="1">Start.listina!J30</f>
        <v>Jakeš</v>
      </c>
      <c r="C24" s="350" t="str">
        <f ca="1">Start.listina!K30</f>
        <v>Zbyněk</v>
      </c>
      <c r="D24" s="350" t="str">
        <f ca="1">Start.listina!L30</f>
        <v>SKP Hranice VI-Valšovice</v>
      </c>
      <c r="E24" s="350">
        <f ca="1">Start.listina!M30</f>
        <v>55</v>
      </c>
      <c r="F24" s="350">
        <f ca="1">Start.listina!N30</f>
        <v>32.5</v>
      </c>
      <c r="G24" s="7"/>
    </row>
    <row r="25" spans="1:7">
      <c r="A25" s="350">
        <f ca="1">Start.listina!I31</f>
        <v>11002</v>
      </c>
      <c r="B25" s="399" t="str">
        <f ca="1">Start.listina!J31</f>
        <v>Lukášová</v>
      </c>
      <c r="C25" s="350" t="str">
        <f ca="1">Start.listina!K31</f>
        <v>Jana</v>
      </c>
      <c r="D25" s="350" t="str">
        <f ca="1">Start.listina!L31</f>
        <v>PLUK Jablonec</v>
      </c>
      <c r="E25" s="350">
        <f ca="1">Start.listina!M31</f>
        <v>27</v>
      </c>
      <c r="F25" s="350">
        <f ca="1">Start.listina!N31</f>
        <v>32.25</v>
      </c>
      <c r="G25" s="7"/>
    </row>
    <row r="26" spans="1:7">
      <c r="A26" s="350">
        <f ca="1">Start.listina!I32</f>
        <v>24218</v>
      </c>
      <c r="B26" s="399" t="str">
        <f ca="1">Start.listina!J32</f>
        <v>Fuksa</v>
      </c>
      <c r="C26" s="350" t="str">
        <f ca="1">Start.listina!K32</f>
        <v>Petr</v>
      </c>
      <c r="D26" s="350" t="str">
        <f ca="1">Start.listina!L32</f>
        <v>UBU Únětice</v>
      </c>
      <c r="E26" s="350">
        <f ca="1">Start.listina!M32</f>
        <v>16</v>
      </c>
      <c r="F26" s="350">
        <f ca="1">Start.listina!N32</f>
        <v>31.937999999999999</v>
      </c>
      <c r="G26" s="7"/>
    </row>
    <row r="27" spans="1:7">
      <c r="A27" s="350">
        <f ca="1">Start.listina!I33</f>
        <v>24235</v>
      </c>
      <c r="B27" s="399" t="str">
        <f ca="1">Start.listina!J33</f>
        <v>Konečná</v>
      </c>
      <c r="C27" s="350" t="str">
        <f ca="1">Start.listina!K33</f>
        <v>Jana</v>
      </c>
      <c r="D27" s="350" t="str">
        <f ca="1">Start.listina!L33</f>
        <v>Kulový blesk Olomouc</v>
      </c>
      <c r="E27" s="350">
        <f ca="1">Start.listina!M33</f>
        <v>38</v>
      </c>
      <c r="F27" s="350">
        <f ca="1">Start.listina!N33</f>
        <v>31.75</v>
      </c>
      <c r="G27" s="7"/>
    </row>
    <row r="28" spans="1:7">
      <c r="A28" s="350">
        <f ca="1">Start.listina!I34</f>
        <v>15001</v>
      </c>
      <c r="B28" s="399" t="str">
        <f ca="1">Start.listina!J34</f>
        <v>Ulmann</v>
      </c>
      <c r="C28" s="350" t="str">
        <f ca="1">Start.listina!K34</f>
        <v>Jiří</v>
      </c>
      <c r="D28" s="350" t="str">
        <f ca="1">Start.listina!L34</f>
        <v>TOP - ORLOVÁ</v>
      </c>
      <c r="E28" s="350">
        <f ca="1">Start.listina!M34</f>
        <v>48</v>
      </c>
      <c r="F28" s="350">
        <f ca="1">Start.listina!N34</f>
        <v>31.625</v>
      </c>
      <c r="G28" s="7"/>
    </row>
    <row r="29" spans="1:7">
      <c r="A29" s="350">
        <f ca="1">Start.listina!I35</f>
        <v>13027</v>
      </c>
      <c r="B29" s="399" t="str">
        <f ca="1">Start.listina!J35</f>
        <v>Dlouhá</v>
      </c>
      <c r="C29" s="350" t="str">
        <f ca="1">Start.listina!K35</f>
        <v>Ivana</v>
      </c>
      <c r="D29" s="350" t="str">
        <f ca="1">Start.listina!L35</f>
        <v>Club Rodamiento</v>
      </c>
      <c r="E29" s="350">
        <f ca="1">Start.listina!M35</f>
        <v>50</v>
      </c>
      <c r="F29" s="350">
        <f ca="1">Start.listina!N35</f>
        <v>31.501000000000001</v>
      </c>
      <c r="G29" s="7"/>
    </row>
    <row r="30" spans="1:7">
      <c r="A30" s="350">
        <f ca="1">Start.listina!I36</f>
        <v>16077</v>
      </c>
      <c r="B30" s="399" t="str">
        <f ca="1">Start.listina!J36</f>
        <v>Holoubek</v>
      </c>
      <c r="C30" s="350" t="str">
        <f ca="1">Start.listina!K36</f>
        <v>Pavel</v>
      </c>
      <c r="D30" s="350" t="str">
        <f ca="1">Start.listina!L36</f>
        <v>SK Pétanque Řepy</v>
      </c>
      <c r="E30" s="350">
        <f ca="1">Start.listina!M36</f>
        <v>58</v>
      </c>
      <c r="F30" s="350">
        <f ca="1">Start.listina!N36</f>
        <v>30.844000000000001</v>
      </c>
      <c r="G30" s="7"/>
    </row>
    <row r="31" spans="1:7">
      <c r="A31" s="350">
        <f ca="1">Start.listina!I37</f>
        <v>19001</v>
      </c>
      <c r="B31" s="399" t="str">
        <f ca="1">Start.listina!J37</f>
        <v>Vlach</v>
      </c>
      <c r="C31" s="350" t="str">
        <f ca="1">Start.listina!K37</f>
        <v>Jaromír</v>
      </c>
      <c r="D31" s="350" t="str">
        <f ca="1">Start.listina!L37</f>
        <v>Sokol Kostomlaty</v>
      </c>
      <c r="E31" s="350">
        <f ca="1">Start.listina!M37</f>
        <v>35</v>
      </c>
      <c r="F31" s="350">
        <f ca="1">Start.listina!N37</f>
        <v>30.75</v>
      </c>
      <c r="G31" s="7"/>
    </row>
    <row r="32" spans="1:7">
      <c r="A32" s="350">
        <f ca="1">Start.listina!I38</f>
        <v>16082</v>
      </c>
      <c r="B32" s="399" t="str">
        <f ca="1">Start.listina!J38</f>
        <v>Pastorek</v>
      </c>
      <c r="C32" s="350" t="str">
        <f ca="1">Start.listina!K38</f>
        <v>Jaroslav</v>
      </c>
      <c r="D32" s="350" t="str">
        <f ca="1">Start.listina!L38</f>
        <v>SK Pétanque Řepy</v>
      </c>
      <c r="E32" s="350">
        <f ca="1">Start.listina!M38</f>
        <v>45</v>
      </c>
      <c r="F32" s="350">
        <f ca="1">Start.listina!N38</f>
        <v>29.937999999999999</v>
      </c>
      <c r="G32" s="7"/>
    </row>
    <row r="33" spans="1:7">
      <c r="A33" s="350">
        <f ca="1">Start.listina!I39</f>
        <v>14074</v>
      </c>
      <c r="B33" s="399" t="str">
        <f ca="1">Start.listina!J39</f>
        <v>Froňková</v>
      </c>
      <c r="C33" s="350" t="str">
        <f ca="1">Start.listina!K39</f>
        <v>Blanka</v>
      </c>
      <c r="D33" s="350" t="str">
        <f ca="1">Start.listina!L39</f>
        <v>PC Sokol Lipník</v>
      </c>
      <c r="E33" s="350">
        <f ca="1">Start.listina!M39</f>
        <v>18</v>
      </c>
      <c r="F33" s="350">
        <f ca="1">Start.listina!N39</f>
        <v>29.375</v>
      </c>
      <c r="G33" s="7"/>
    </row>
    <row r="34" spans="1:7">
      <c r="A34" s="350">
        <f ca="1">Start.listina!I40</f>
        <v>22007</v>
      </c>
      <c r="B34" s="399" t="str">
        <f ca="1">Start.listina!J40</f>
        <v>Resl</v>
      </c>
      <c r="C34" s="350" t="str">
        <f ca="1">Start.listina!K40</f>
        <v>Jan</v>
      </c>
      <c r="D34" s="350" t="str">
        <f ca="1">Start.listina!L40</f>
        <v>POP Praha</v>
      </c>
      <c r="E34" s="350">
        <f ca="1">Start.listina!M40</f>
        <v>22</v>
      </c>
      <c r="F34" s="350">
        <f ca="1">Start.listina!N40</f>
        <v>29.125</v>
      </c>
      <c r="G34" s="7"/>
    </row>
    <row r="35" spans="1:7">
      <c r="A35" s="350">
        <f ca="1">Start.listina!I41</f>
        <v>11001</v>
      </c>
      <c r="B35" s="399" t="str">
        <f ca="1">Start.listina!J41</f>
        <v>Lukáš</v>
      </c>
      <c r="C35" s="350" t="str">
        <f ca="1">Start.listina!K41</f>
        <v>Petr</v>
      </c>
      <c r="D35" s="350" t="str">
        <f ca="1">Start.listina!L41</f>
        <v>PLUK Jablonec</v>
      </c>
      <c r="E35" s="350">
        <f ca="1">Start.listina!M41</f>
        <v>32</v>
      </c>
      <c r="F35" s="350">
        <f ca="1">Start.listina!N41</f>
        <v>29.125</v>
      </c>
      <c r="G35" s="7"/>
    </row>
    <row r="36" spans="1:7">
      <c r="A36" s="350">
        <f ca="1">Start.listina!I42</f>
        <v>13029</v>
      </c>
      <c r="B36" s="399" t="str">
        <f ca="1">Start.listina!J42</f>
        <v>Kamaryt</v>
      </c>
      <c r="C36" s="350" t="str">
        <f ca="1">Start.listina!K42</f>
        <v>Josef</v>
      </c>
      <c r="D36" s="350" t="str">
        <f ca="1">Start.listina!L42</f>
        <v>Club Rodamiento</v>
      </c>
      <c r="E36" s="350">
        <f ca="1">Start.listina!M42</f>
        <v>33</v>
      </c>
      <c r="F36" s="350">
        <f ca="1">Start.listina!N42</f>
        <v>28.876000000000001</v>
      </c>
      <c r="G36" s="7"/>
    </row>
    <row r="37" spans="1:7">
      <c r="A37" s="350">
        <f ca="1">Start.listina!I43</f>
        <v>26011</v>
      </c>
      <c r="B37" s="399" t="str">
        <f ca="1">Start.listina!J43</f>
        <v>Brázda</v>
      </c>
      <c r="C37" s="350" t="str">
        <f ca="1">Start.listina!K43</f>
        <v>Vladimír</v>
      </c>
      <c r="D37" s="350" t="str">
        <f ca="1">Start.listina!L43</f>
        <v>1. KPK Vrchlabí</v>
      </c>
      <c r="E37" s="350">
        <f ca="1">Start.listina!M43</f>
        <v>89</v>
      </c>
      <c r="F37" s="350">
        <f ca="1">Start.listina!N43</f>
        <v>28.47</v>
      </c>
      <c r="G37" s="7"/>
    </row>
    <row r="38" spans="1:7">
      <c r="A38" s="350">
        <f ca="1">Start.listina!I44</f>
        <v>12017</v>
      </c>
      <c r="B38" s="399" t="str">
        <f ca="1">Start.listina!J44</f>
        <v>Tomášková</v>
      </c>
      <c r="C38" s="350" t="str">
        <f ca="1">Start.listina!K44</f>
        <v>Dana</v>
      </c>
      <c r="D38" s="350" t="str">
        <f ca="1">Start.listina!L44</f>
        <v>UBU Únětice</v>
      </c>
      <c r="E38" s="350">
        <f ca="1">Start.listina!M44</f>
        <v>49</v>
      </c>
      <c r="F38" s="350">
        <f ca="1">Start.listina!N44</f>
        <v>28.469000000000001</v>
      </c>
      <c r="G38" s="7"/>
    </row>
    <row r="39" spans="1:7">
      <c r="A39" s="350">
        <f ca="1">Start.listina!I45</f>
        <v>99510</v>
      </c>
      <c r="B39" s="399" t="str">
        <f ca="1">Start.listina!J45</f>
        <v>Demčík</v>
      </c>
      <c r="C39" s="350" t="str">
        <f ca="1">Start.listina!K45</f>
        <v>Milan St.</v>
      </c>
      <c r="D39" s="350" t="str">
        <f ca="1">Start.listina!L45</f>
        <v>SK Sahara Vědomice</v>
      </c>
      <c r="E39" s="350">
        <f ca="1">Start.listina!M45</f>
        <v>74</v>
      </c>
      <c r="F39" s="350">
        <f ca="1">Start.listina!N45</f>
        <v>28.437999999999999</v>
      </c>
      <c r="G39" s="7"/>
    </row>
    <row r="40" spans="1:7">
      <c r="A40" s="350">
        <f ca="1">Start.listina!I46</f>
        <v>99555</v>
      </c>
      <c r="B40" s="399" t="str">
        <f ca="1">Start.listina!J46</f>
        <v>Pírek</v>
      </c>
      <c r="C40" s="350" t="str">
        <f ca="1">Start.listina!K46</f>
        <v>Martin</v>
      </c>
      <c r="D40" s="350" t="str">
        <f ca="1">Start.listina!L46</f>
        <v>HRODE KRUMSÍN</v>
      </c>
      <c r="E40" s="350">
        <f ca="1">Start.listina!M46</f>
        <v>43</v>
      </c>
      <c r="F40" s="350">
        <f ca="1">Start.listina!N46</f>
        <v>28.312999999999999</v>
      </c>
      <c r="G40" s="7"/>
    </row>
    <row r="41" spans="1:7">
      <c r="A41" s="350">
        <f ca="1">Start.listina!I47</f>
        <v>26010</v>
      </c>
      <c r="B41" s="399" t="str">
        <f ca="1">Start.listina!J47</f>
        <v>Řezníček</v>
      </c>
      <c r="C41" s="350" t="str">
        <f ca="1">Start.listina!K47</f>
        <v>Jiří</v>
      </c>
      <c r="D41" s="350" t="str">
        <f ca="1">Start.listina!L47</f>
        <v>1. KPK Vrchlabí</v>
      </c>
      <c r="E41" s="350">
        <f ca="1">Start.listina!M47</f>
        <v>47</v>
      </c>
      <c r="F41" s="350">
        <f ca="1">Start.listina!N47</f>
        <v>28.189</v>
      </c>
      <c r="G41" s="7"/>
    </row>
    <row r="42" spans="1:7">
      <c r="A42" s="350">
        <f ca="1">Start.listina!I48</f>
        <v>26043</v>
      </c>
      <c r="B42" s="399" t="str">
        <f ca="1">Start.listina!J48</f>
        <v>Král</v>
      </c>
      <c r="C42" s="350" t="str">
        <f ca="1">Start.listina!K48</f>
        <v>Pavel</v>
      </c>
      <c r="D42" s="350" t="str">
        <f ca="1">Start.listina!L48</f>
        <v>FENYX Adamov</v>
      </c>
      <c r="E42" s="350">
        <f ca="1">Start.listina!M48</f>
        <v>134</v>
      </c>
      <c r="F42" s="350">
        <f ca="1">Start.listina!N48</f>
        <v>27.875</v>
      </c>
      <c r="G42" s="7"/>
    </row>
    <row r="43" spans="1:7">
      <c r="A43" s="350">
        <f ca="1">Start.listina!I49</f>
        <v>23131</v>
      </c>
      <c r="B43" s="399" t="str">
        <f ca="1">Start.listina!J49</f>
        <v>Felčárek</v>
      </c>
      <c r="C43" s="350" t="str">
        <f ca="1">Start.listina!K49</f>
        <v>Jaroslav</v>
      </c>
      <c r="D43" s="350" t="str">
        <f ca="1">Start.listina!L49</f>
        <v>FRAPECO</v>
      </c>
      <c r="E43" s="350">
        <f ca="1">Start.listina!M49</f>
        <v>60</v>
      </c>
      <c r="F43" s="350">
        <f ca="1">Start.listina!N49</f>
        <v>27.5</v>
      </c>
      <c r="G43" s="7"/>
    </row>
    <row r="44" spans="1:7">
      <c r="A44" s="350">
        <f ca="1">Start.listina!I50</f>
        <v>13005</v>
      </c>
      <c r="B44" s="399" t="str">
        <f ca="1">Start.listina!J50</f>
        <v>Bureš</v>
      </c>
      <c r="C44" s="350" t="str">
        <f ca="1">Start.listina!K50</f>
        <v>Pavel st.</v>
      </c>
      <c r="D44" s="350" t="str">
        <f ca="1">Start.listina!L50</f>
        <v>HAPEK</v>
      </c>
      <c r="E44" s="350">
        <f ca="1">Start.listina!M50</f>
        <v>80</v>
      </c>
      <c r="F44" s="350">
        <f ca="1">Start.listina!N50</f>
        <v>27.312999999999999</v>
      </c>
      <c r="G44" s="7"/>
    </row>
    <row r="45" spans="1:7">
      <c r="A45" s="350">
        <f ca="1">Start.listina!I51</f>
        <v>12042</v>
      </c>
      <c r="B45" s="399" t="str">
        <f ca="1">Start.listina!J51</f>
        <v>Pilát</v>
      </c>
      <c r="C45" s="350" t="str">
        <f ca="1">Start.listina!K51</f>
        <v>Petr</v>
      </c>
      <c r="D45" s="350" t="str">
        <f ca="1">Start.listina!L51</f>
        <v>SKP Kulová osma</v>
      </c>
      <c r="E45" s="350">
        <f ca="1">Start.listina!M51</f>
        <v>78</v>
      </c>
      <c r="F45" s="350">
        <f ca="1">Start.listina!N51</f>
        <v>26.97</v>
      </c>
      <c r="G45" s="7"/>
    </row>
    <row r="46" spans="1:7">
      <c r="A46" s="350">
        <f ca="1">Start.listina!I52</f>
        <v>14094</v>
      </c>
      <c r="B46" s="399" t="str">
        <f ca="1">Start.listina!J52</f>
        <v>Šedivý</v>
      </c>
      <c r="C46" s="350" t="str">
        <f ca="1">Start.listina!K52</f>
        <v>Zdeněk</v>
      </c>
      <c r="D46" s="350" t="str">
        <f ca="1">Start.listina!L52</f>
        <v>FRAPECO</v>
      </c>
      <c r="E46" s="350">
        <f ca="1">Start.listina!M52</f>
        <v>65</v>
      </c>
      <c r="F46" s="350">
        <f ca="1">Start.listina!N52</f>
        <v>26.376999999999999</v>
      </c>
      <c r="G46" s="7"/>
    </row>
    <row r="47" spans="1:7">
      <c r="A47" s="350">
        <f ca="1">Start.listina!I53</f>
        <v>15023</v>
      </c>
      <c r="B47" s="399" t="str">
        <f ca="1">Start.listina!J53</f>
        <v>Přibyl</v>
      </c>
      <c r="C47" s="350" t="str">
        <f ca="1">Start.listina!K53</f>
        <v>Miloš</v>
      </c>
      <c r="D47" s="350" t="str">
        <f ca="1">Start.listina!L53</f>
        <v>SK Sahara Vědomice</v>
      </c>
      <c r="E47" s="350">
        <f ca="1">Start.listina!M53</f>
        <v>41</v>
      </c>
      <c r="F47" s="350">
        <f ca="1">Start.listina!N53</f>
        <v>26.312999999999999</v>
      </c>
      <c r="G47" s="7"/>
    </row>
    <row r="48" spans="1:7">
      <c r="A48" s="350">
        <f ca="1">Start.listina!I54</f>
        <v>14079</v>
      </c>
      <c r="B48" s="399" t="str">
        <f ca="1">Start.listina!J54</f>
        <v>Vorel</v>
      </c>
      <c r="C48" s="350" t="str">
        <f ca="1">Start.listina!K54</f>
        <v>Jan</v>
      </c>
      <c r="D48" s="350" t="str">
        <f ca="1">Start.listina!L54</f>
        <v>Petank Club Praha</v>
      </c>
      <c r="E48" s="350">
        <f ca="1">Start.listina!M54</f>
        <v>52</v>
      </c>
      <c r="F48" s="350">
        <f ca="1">Start.listina!N54</f>
        <v>26.126999999999999</v>
      </c>
      <c r="G48" s="7"/>
    </row>
    <row r="49" spans="1:7">
      <c r="A49" s="350">
        <f ca="1">Start.listina!I55</f>
        <v>28004</v>
      </c>
      <c r="B49" s="399" t="str">
        <f ca="1">Start.listina!J55</f>
        <v>Tománek</v>
      </c>
      <c r="C49" s="350" t="str">
        <f ca="1">Start.listina!K55</f>
        <v>Petr</v>
      </c>
      <c r="D49" s="350" t="str">
        <f ca="1">Start.listina!L55</f>
        <v>SKP Hranice VI-Valšovice</v>
      </c>
      <c r="E49" s="350">
        <f ca="1">Start.listina!M55</f>
        <v>54</v>
      </c>
      <c r="F49" s="350">
        <f ca="1">Start.listina!N55</f>
        <v>26.094000000000001</v>
      </c>
      <c r="G49" s="7"/>
    </row>
    <row r="50" spans="1:7">
      <c r="A50" s="350">
        <f ca="1">Start.listina!I56</f>
        <v>25017</v>
      </c>
      <c r="B50" s="399" t="str">
        <f ca="1">Start.listina!J56</f>
        <v>Radoušová</v>
      </c>
      <c r="C50" s="350" t="str">
        <f ca="1">Start.listina!K56</f>
        <v>Jana</v>
      </c>
      <c r="D50" s="350" t="str">
        <f ca="1">Start.listina!L56</f>
        <v>PK Osika Plzeň</v>
      </c>
      <c r="E50" s="350">
        <f ca="1">Start.listina!M56</f>
        <v>37</v>
      </c>
      <c r="F50" s="350">
        <f ca="1">Start.listina!N56</f>
        <v>25.937999999999999</v>
      </c>
      <c r="G50" s="7"/>
    </row>
    <row r="51" spans="1:7">
      <c r="A51" s="350">
        <f ca="1">Start.listina!I57</f>
        <v>11006</v>
      </c>
      <c r="B51" s="399" t="str">
        <f ca="1">Start.listina!J57</f>
        <v>Kulhánek</v>
      </c>
      <c r="C51" s="350" t="str">
        <f ca="1">Start.listina!K57</f>
        <v>Milan</v>
      </c>
      <c r="D51" s="350" t="str">
        <f ca="1">Start.listina!L57</f>
        <v>SK Sahara Vědomice</v>
      </c>
      <c r="E51" s="350">
        <f ca="1">Start.listina!M57</f>
        <v>77</v>
      </c>
      <c r="F51" s="350">
        <f ca="1">Start.listina!N57</f>
        <v>25.751000000000001</v>
      </c>
      <c r="G51" s="7"/>
    </row>
    <row r="52" spans="1:7">
      <c r="A52" s="350">
        <f ca="1">Start.listina!I58</f>
        <v>15065</v>
      </c>
      <c r="B52" s="399" t="str">
        <f ca="1">Start.listina!J58</f>
        <v>Palas</v>
      </c>
      <c r="C52" s="350" t="str">
        <f ca="1">Start.listina!K58</f>
        <v>Pavel</v>
      </c>
      <c r="D52" s="350" t="str">
        <f ca="1">Start.listina!L58</f>
        <v>UBU Únětice</v>
      </c>
      <c r="E52" s="350">
        <f ca="1">Start.listina!M58</f>
        <v>104</v>
      </c>
      <c r="F52" s="350">
        <f ca="1">Start.listina!N58</f>
        <v>25.562999999999999</v>
      </c>
      <c r="G52" s="7"/>
    </row>
    <row r="53" spans="1:7">
      <c r="A53" s="350">
        <f ca="1">Start.listina!I59</f>
        <v>96059</v>
      </c>
      <c r="B53" s="399" t="str">
        <f ca="1">Start.listina!J59</f>
        <v>Hančová</v>
      </c>
      <c r="C53" s="350" t="str">
        <f ca="1">Start.listina!K59</f>
        <v>Alice</v>
      </c>
      <c r="D53" s="350" t="str">
        <f ca="1">Start.listina!L59</f>
        <v>1. KPK Vrchlabí</v>
      </c>
      <c r="E53" s="350">
        <f ca="1">Start.listina!M59</f>
        <v>31</v>
      </c>
      <c r="F53" s="350">
        <f ca="1">Start.listina!N59</f>
        <v>25.437999999999999</v>
      </c>
      <c r="G53" s="7"/>
    </row>
    <row r="54" spans="1:7">
      <c r="A54" s="350">
        <f ca="1">Start.listina!I60</f>
        <v>12038</v>
      </c>
      <c r="B54" s="399" t="str">
        <f ca="1">Start.listina!J60</f>
        <v>Krejčín</v>
      </c>
      <c r="C54" s="350" t="str">
        <f ca="1">Start.listina!K60</f>
        <v>Leoš</v>
      </c>
      <c r="D54" s="350" t="str">
        <f ca="1">Start.listina!L60</f>
        <v>SKP Kulová osma</v>
      </c>
      <c r="E54" s="350">
        <f ca="1">Start.listina!M60</f>
        <v>25</v>
      </c>
      <c r="F54" s="350">
        <f ca="1">Start.listina!N60</f>
        <v>24.939</v>
      </c>
      <c r="G54" s="7"/>
    </row>
    <row r="55" spans="1:7">
      <c r="A55" s="350">
        <f ca="1">Start.listina!I61</f>
        <v>17062</v>
      </c>
      <c r="B55" s="399" t="str">
        <f ca="1">Start.listina!J61</f>
        <v>Hanák</v>
      </c>
      <c r="C55" s="350" t="str">
        <f ca="1">Start.listina!K61</f>
        <v>David</v>
      </c>
      <c r="D55" s="350" t="str">
        <f ca="1">Start.listina!L61</f>
        <v>Orel Řečkovice</v>
      </c>
      <c r="E55" s="350">
        <f ca="1">Start.listina!M61</f>
        <v>82</v>
      </c>
      <c r="F55" s="350">
        <f ca="1">Start.listina!N61</f>
        <v>24.937999999999999</v>
      </c>
      <c r="G55" s="7"/>
    </row>
    <row r="56" spans="1:7">
      <c r="A56" s="350">
        <f ca="1">Start.listina!I62</f>
        <v>15010</v>
      </c>
      <c r="B56" s="399" t="str">
        <f ca="1">Start.listina!J62</f>
        <v>Chmelařová</v>
      </c>
      <c r="C56" s="350" t="str">
        <f ca="1">Start.listina!K62</f>
        <v>Yvetta</v>
      </c>
      <c r="D56" s="350" t="str">
        <f ca="1">Start.listina!L62</f>
        <v>SKP Kulová osma</v>
      </c>
      <c r="E56" s="350">
        <f ca="1">Start.listina!M62</f>
        <v>59</v>
      </c>
      <c r="F56" s="350">
        <f ca="1">Start.listina!N62</f>
        <v>24.876999999999999</v>
      </c>
      <c r="G56" s="7"/>
    </row>
    <row r="57" spans="1:7">
      <c r="A57" s="350">
        <f ca="1">Start.listina!I63</f>
        <v>12037</v>
      </c>
      <c r="B57" s="399" t="str">
        <f ca="1">Start.listina!J63</f>
        <v>Krejčínová</v>
      </c>
      <c r="C57" s="350" t="str">
        <f ca="1">Start.listina!K63</f>
        <v>Lenka</v>
      </c>
      <c r="D57" s="350" t="str">
        <f ca="1">Start.listina!L63</f>
        <v>SKP Kulová osma</v>
      </c>
      <c r="E57" s="350">
        <f ca="1">Start.listina!M63</f>
        <v>26</v>
      </c>
      <c r="F57" s="350">
        <f ca="1">Start.listina!N63</f>
        <v>24.876000000000001</v>
      </c>
      <c r="G57" s="7"/>
    </row>
    <row r="58" spans="1:7">
      <c r="A58" s="350">
        <f ca="1">Start.listina!I64</f>
        <v>25003</v>
      </c>
      <c r="B58" s="399" t="str">
        <f ca="1">Start.listina!J64</f>
        <v>Horáčková</v>
      </c>
      <c r="C58" s="350" t="str">
        <f ca="1">Start.listina!K64</f>
        <v>Simona</v>
      </c>
      <c r="D58" s="350" t="str">
        <f ca="1">Start.listina!L64</f>
        <v>SK Sahara Vědomice</v>
      </c>
      <c r="E58" s="350">
        <f ca="1">Start.listina!M64</f>
        <v>44</v>
      </c>
      <c r="F58" s="350">
        <f ca="1">Start.listina!N64</f>
        <v>24.564</v>
      </c>
      <c r="G58" s="7"/>
    </row>
    <row r="59" spans="1:7">
      <c r="A59" s="350">
        <f ca="1">Start.listina!I65</f>
        <v>13041</v>
      </c>
      <c r="B59" s="399" t="str">
        <f ca="1">Start.listina!J65</f>
        <v>Sládková</v>
      </c>
      <c r="C59" s="350" t="str">
        <f ca="1">Start.listina!K65</f>
        <v>Hana</v>
      </c>
      <c r="D59" s="350" t="str">
        <f ca="1">Start.listina!L65</f>
        <v>1. KPK Vrchlabí</v>
      </c>
      <c r="E59" s="350">
        <f ca="1">Start.listina!M65</f>
        <v>72</v>
      </c>
      <c r="F59" s="350">
        <f ca="1">Start.listina!N65</f>
        <v>24.437999999999999</v>
      </c>
      <c r="G59" s="7"/>
    </row>
    <row r="60" spans="1:7">
      <c r="A60" s="350">
        <f ca="1">Start.listina!I66</f>
        <v>16075</v>
      </c>
      <c r="B60" s="399" t="str">
        <f ca="1">Start.listina!J66</f>
        <v>Hladík</v>
      </c>
      <c r="C60" s="350" t="str">
        <f ca="1">Start.listina!K66</f>
        <v>Jaroslav</v>
      </c>
      <c r="D60" s="350" t="str">
        <f ca="1">Start.listina!L66</f>
        <v>SK Pétanque Řepy</v>
      </c>
      <c r="E60" s="350">
        <f ca="1">Start.listina!M66</f>
        <v>67</v>
      </c>
      <c r="F60" s="350">
        <f ca="1">Start.listina!N66</f>
        <v>24.314</v>
      </c>
      <c r="G60" s="7"/>
    </row>
    <row r="61" spans="1:7">
      <c r="A61" s="350">
        <f ca="1">Start.listina!I67</f>
        <v>27030</v>
      </c>
      <c r="B61" s="399" t="str">
        <f ca="1">Start.listina!J67</f>
        <v>Kutá</v>
      </c>
      <c r="C61" s="350" t="str">
        <f ca="1">Start.listina!K67</f>
        <v>Miloslava</v>
      </c>
      <c r="D61" s="350" t="str">
        <f ca="1">Start.listina!L67</f>
        <v>SKP Hranice VI-Valšovice</v>
      </c>
      <c r="E61" s="350">
        <f ca="1">Start.listina!M67</f>
        <v>61</v>
      </c>
      <c r="F61" s="350">
        <f ca="1">Start.listina!N67</f>
        <v>24.094000000000001</v>
      </c>
      <c r="G61" s="7"/>
    </row>
    <row r="62" spans="1:7">
      <c r="A62" s="350">
        <f ca="1">Start.listina!I68</f>
        <v>12020</v>
      </c>
      <c r="B62" s="399" t="str">
        <f ca="1">Start.listina!J68</f>
        <v>Fafek</v>
      </c>
      <c r="C62" s="350" t="str">
        <f ca="1">Start.listina!K68</f>
        <v>Petr</v>
      </c>
      <c r="D62" s="350" t="str">
        <f ca="1">Start.listina!L68</f>
        <v>PC Sokol Lipník</v>
      </c>
      <c r="E62" s="350">
        <f ca="1">Start.listina!M68</f>
        <v>73</v>
      </c>
      <c r="F62" s="350">
        <f ca="1">Start.listina!N68</f>
        <v>24.064</v>
      </c>
      <c r="G62" s="7"/>
    </row>
    <row r="63" spans="1:7">
      <c r="A63" s="350">
        <f ca="1">Start.listina!I69</f>
        <v>15011</v>
      </c>
      <c r="B63" s="399" t="str">
        <f ca="1">Start.listina!J69</f>
        <v>Chmelař</v>
      </c>
      <c r="C63" s="350" t="str">
        <f ca="1">Start.listina!K69</f>
        <v>Ivo</v>
      </c>
      <c r="D63" s="350" t="str">
        <f ca="1">Start.listina!L69</f>
        <v>SKP Kulová osma</v>
      </c>
      <c r="E63" s="350">
        <f ca="1">Start.listina!M69</f>
        <v>64</v>
      </c>
      <c r="F63" s="350">
        <f ca="1">Start.listina!N69</f>
        <v>24.033000000000001</v>
      </c>
      <c r="G63" s="7"/>
    </row>
    <row r="64" spans="1:7">
      <c r="A64" s="350">
        <f ca="1">Start.listina!I70</f>
        <v>28055</v>
      </c>
      <c r="B64" s="399" t="str">
        <f ca="1">Start.listina!J70</f>
        <v>Svobodová</v>
      </c>
      <c r="C64" s="350" t="str">
        <f ca="1">Start.listina!K70</f>
        <v>Lenka</v>
      </c>
      <c r="D64" s="350" t="str">
        <f ca="1">Start.listina!L70</f>
        <v>SKP Hranice VI-Valšovice</v>
      </c>
      <c r="E64" s="350">
        <f ca="1">Start.listina!M70</f>
        <v>91</v>
      </c>
      <c r="F64" s="350">
        <f ca="1">Start.listina!N70</f>
        <v>23.939</v>
      </c>
      <c r="G64" s="7"/>
    </row>
    <row r="65" spans="1:7">
      <c r="A65" s="350">
        <f ca="1">Start.listina!I71</f>
        <v>16151</v>
      </c>
      <c r="B65" s="399" t="str">
        <f ca="1">Start.listina!J71</f>
        <v>Kára</v>
      </c>
      <c r="C65" s="350" t="str">
        <f ca="1">Start.listina!K71</f>
        <v>Jan</v>
      </c>
      <c r="D65" s="350" t="str">
        <f ca="1">Start.listina!L71</f>
        <v>PC Mimo Done</v>
      </c>
      <c r="E65" s="350">
        <f ca="1">Start.listina!M71</f>
        <v>107</v>
      </c>
      <c r="F65" s="350">
        <f ca="1">Start.listina!N71</f>
        <v>23.751000000000001</v>
      </c>
      <c r="G65" s="7"/>
    </row>
    <row r="66" spans="1:7">
      <c r="A66" s="350">
        <f ca="1">Start.listina!I72</f>
        <v>28006</v>
      </c>
      <c r="B66" s="399" t="str">
        <f ca="1">Start.listina!J72</f>
        <v>Grepl</v>
      </c>
      <c r="C66" s="350" t="str">
        <f ca="1">Start.listina!K72</f>
        <v>Jiří</v>
      </c>
      <c r="D66" s="350" t="str">
        <f ca="1">Start.listina!L72</f>
        <v>Carreau Brno</v>
      </c>
      <c r="E66" s="350">
        <f ca="1">Start.listina!M72</f>
        <v>36</v>
      </c>
      <c r="F66" s="350">
        <f ca="1">Start.listina!N72</f>
        <v>23.469000000000001</v>
      </c>
      <c r="G66" s="7"/>
    </row>
    <row r="67" spans="1:7">
      <c r="A67" s="350">
        <f ca="1">Start.listina!I73</f>
        <v>10139</v>
      </c>
      <c r="B67" s="399" t="str">
        <f ca="1">Start.listina!J73</f>
        <v>Karásek</v>
      </c>
      <c r="C67" s="350" t="str">
        <f ca="1">Start.listina!K73</f>
        <v>Jiří</v>
      </c>
      <c r="D67" s="350" t="str">
        <f ca="1">Start.listina!L73</f>
        <v>HRODE KRUMSÍN</v>
      </c>
      <c r="E67" s="350">
        <f ca="1">Start.listina!M73</f>
        <v>115</v>
      </c>
      <c r="F67" s="350">
        <f ca="1">Start.listina!N73</f>
        <v>23.439</v>
      </c>
      <c r="G67" s="7"/>
    </row>
    <row r="68" spans="1:7">
      <c r="A68" s="350">
        <f ca="1">Start.listina!I74</f>
        <v>16086</v>
      </c>
      <c r="B68" s="399" t="str">
        <f ca="1">Start.listina!J74</f>
        <v>Ptáček</v>
      </c>
      <c r="C68" s="350" t="str">
        <f ca="1">Start.listina!K74</f>
        <v>Miroslav</v>
      </c>
      <c r="D68" s="350" t="str">
        <f ca="1">Start.listina!L74</f>
        <v>SK Pétanque Řepy</v>
      </c>
      <c r="E68" s="350">
        <f ca="1">Start.listina!M74</f>
        <v>79</v>
      </c>
      <c r="F68" s="350">
        <f ca="1">Start.listina!N74</f>
        <v>23.376999999999999</v>
      </c>
      <c r="G68" s="7"/>
    </row>
    <row r="69" spans="1:7">
      <c r="A69" s="350">
        <f ca="1">Start.listina!I75</f>
        <v>10163</v>
      </c>
      <c r="B69" s="399" t="str">
        <f ca="1">Start.listina!J75</f>
        <v>Vaníčková</v>
      </c>
      <c r="C69" s="350" t="str">
        <f ca="1">Start.listina!K75</f>
        <v>Alena</v>
      </c>
      <c r="D69" s="350" t="str">
        <f ca="1">Start.listina!L75</f>
        <v>Sokol Kostomlaty</v>
      </c>
      <c r="E69" s="350">
        <f ca="1">Start.listina!M75</f>
        <v>51</v>
      </c>
      <c r="F69" s="350">
        <f ca="1">Start.listina!N75</f>
        <v>23.346</v>
      </c>
      <c r="G69" s="7"/>
    </row>
    <row r="70" spans="1:7">
      <c r="A70" s="350">
        <f ca="1">Start.listina!I76</f>
        <v>11009</v>
      </c>
      <c r="B70" s="399" t="str">
        <f ca="1">Start.listina!J76</f>
        <v>Fereš</v>
      </c>
      <c r="C70" s="350" t="str">
        <f ca="1">Start.listina!K76</f>
        <v>Pavel</v>
      </c>
      <c r="D70" s="350" t="str">
        <f ca="1">Start.listina!L76</f>
        <v>PK 1293 Vojnův Městec</v>
      </c>
      <c r="E70" s="350">
        <f ca="1">Start.listina!M76</f>
        <v>53</v>
      </c>
      <c r="F70" s="350">
        <f ca="1">Start.listina!N76</f>
        <v>22.954000000000001</v>
      </c>
      <c r="G70" s="7"/>
    </row>
    <row r="71" spans="1:7">
      <c r="A71" s="350">
        <f ca="1">Start.listina!I77</f>
        <v>15068</v>
      </c>
      <c r="B71" s="399" t="str">
        <f ca="1">Start.listina!J77</f>
        <v>Žárský</v>
      </c>
      <c r="C71" s="350" t="str">
        <f ca="1">Start.listina!K77</f>
        <v>Kamil</v>
      </c>
      <c r="D71" s="350" t="str">
        <f ca="1">Start.listina!L77</f>
        <v>POP Praha</v>
      </c>
      <c r="E71" s="350">
        <f ca="1">Start.listina!M77</f>
        <v>110</v>
      </c>
      <c r="F71" s="350">
        <f ca="1">Start.listina!N77</f>
        <v>22.251000000000001</v>
      </c>
      <c r="G71" s="7"/>
    </row>
    <row r="72" spans="1:7">
      <c r="A72" s="350">
        <f ca="1">Start.listina!I78</f>
        <v>13007</v>
      </c>
      <c r="B72" s="399" t="str">
        <f ca="1">Start.listina!J78</f>
        <v>Burešová</v>
      </c>
      <c r="C72" s="350" t="str">
        <f ca="1">Start.listina!K78</f>
        <v>Jana</v>
      </c>
      <c r="D72" s="350" t="str">
        <f ca="1">Start.listina!L78</f>
        <v>HAPEK</v>
      </c>
      <c r="E72" s="350">
        <f ca="1">Start.listina!M78</f>
        <v>90</v>
      </c>
      <c r="F72" s="350">
        <f ca="1">Start.listina!N78</f>
        <v>22.189</v>
      </c>
      <c r="G72" s="7"/>
    </row>
    <row r="73" spans="1:7">
      <c r="A73" s="350">
        <f ca="1">Start.listina!I79</f>
        <v>17086</v>
      </c>
      <c r="B73" s="399" t="str">
        <f ca="1">Start.listina!J79</f>
        <v>Radechovský</v>
      </c>
      <c r="C73" s="350" t="str">
        <f ca="1">Start.listina!K79</f>
        <v>Milan</v>
      </c>
      <c r="D73" s="350" t="str">
        <f ca="1">Start.listina!L79</f>
        <v>PC Mimo Done</v>
      </c>
      <c r="E73" s="350">
        <f ca="1">Start.listina!M79</f>
        <v>119</v>
      </c>
      <c r="F73" s="350">
        <f ca="1">Start.listina!N79</f>
        <v>22.125</v>
      </c>
      <c r="G73" s="7"/>
    </row>
    <row r="74" spans="1:7">
      <c r="A74" s="350">
        <f ca="1">Start.listina!I80</f>
        <v>18136</v>
      </c>
      <c r="B74" s="399" t="str">
        <f ca="1">Start.listina!J80</f>
        <v>Hanák</v>
      </c>
      <c r="C74" s="350" t="str">
        <f ca="1">Start.listina!K80</f>
        <v>Pavel</v>
      </c>
      <c r="D74" s="350" t="str">
        <f ca="1">Start.listina!L80</f>
        <v>Orel Řečkovice</v>
      </c>
      <c r="E74" s="350">
        <f ca="1">Start.listina!M80</f>
        <v>121</v>
      </c>
      <c r="F74" s="350">
        <f ca="1">Start.listina!N80</f>
        <v>22.032</v>
      </c>
      <c r="G74" s="7"/>
    </row>
    <row r="75" spans="1:7">
      <c r="A75" s="350">
        <f ca="1">Start.listina!I81</f>
        <v>18058</v>
      </c>
      <c r="B75" s="399" t="str">
        <f ca="1">Start.listina!J81</f>
        <v>Hulec</v>
      </c>
      <c r="C75" s="350" t="str">
        <f ca="1">Start.listina!K81</f>
        <v>Zdeněk</v>
      </c>
      <c r="D75" s="350" t="str">
        <f ca="1">Start.listina!L81</f>
        <v>Bowle 09 Klatovy</v>
      </c>
      <c r="E75" s="350">
        <f ca="1">Start.listina!M81</f>
        <v>103</v>
      </c>
      <c r="F75" s="350">
        <f ca="1">Start.listina!N81</f>
        <v>22.001999999999999</v>
      </c>
      <c r="G75" s="7"/>
    </row>
    <row r="76" spans="1:7">
      <c r="A76" s="350">
        <f ca="1">Start.listina!I82</f>
        <v>10048</v>
      </c>
      <c r="B76" s="399" t="str">
        <f ca="1">Start.listina!J82</f>
        <v>Valík</v>
      </c>
      <c r="C76" s="350" t="str">
        <f ca="1">Start.listina!K82</f>
        <v>Václav</v>
      </c>
      <c r="D76" s="350" t="str">
        <f ca="1">Start.listina!L82</f>
        <v>PAK Albrechtice</v>
      </c>
      <c r="E76" s="350">
        <f ca="1">Start.listina!M82</f>
        <v>98</v>
      </c>
      <c r="F76" s="350">
        <f ca="1">Start.listina!N82</f>
        <v>21.69</v>
      </c>
      <c r="G76" s="7"/>
    </row>
    <row r="77" spans="1:7">
      <c r="A77" s="350">
        <f ca="1">Start.listina!I83</f>
        <v>16109</v>
      </c>
      <c r="B77" s="399" t="str">
        <f ca="1">Start.listina!J83</f>
        <v>Sjögren</v>
      </c>
      <c r="C77" s="350" t="str">
        <f ca="1">Start.listina!K83</f>
        <v>Magda</v>
      </c>
      <c r="D77" s="350" t="str">
        <f ca="1">Start.listina!L83</f>
        <v>SKP Kulová osma</v>
      </c>
      <c r="E77" s="350">
        <f ca="1">Start.listina!M83</f>
        <v>94</v>
      </c>
      <c r="F77" s="350">
        <f ca="1">Start.listina!N83</f>
        <v>21.501999999999999</v>
      </c>
      <c r="G77" s="7"/>
    </row>
    <row r="78" spans="1:7">
      <c r="A78" s="350">
        <f ca="1">Start.listina!I84</f>
        <v>25011</v>
      </c>
      <c r="B78" s="399" t="str">
        <f ca="1">Start.listina!J84</f>
        <v>Jirkovský</v>
      </c>
      <c r="C78" s="350" t="str">
        <f ca="1">Start.listina!K84</f>
        <v>Tomáš</v>
      </c>
      <c r="D78" s="350" t="str">
        <f ca="1">Start.listina!L84</f>
        <v>PK Osika Plzeň</v>
      </c>
      <c r="E78" s="350">
        <f ca="1">Start.listina!M84</f>
        <v>93</v>
      </c>
      <c r="F78" s="350">
        <f ca="1">Start.listina!N84</f>
        <v>21.376000000000001</v>
      </c>
      <c r="G78" s="7"/>
    </row>
    <row r="79" spans="1:7">
      <c r="A79" s="350">
        <f ca="1">Start.listina!I85</f>
        <v>19025</v>
      </c>
      <c r="B79" s="399" t="str">
        <f ca="1">Start.listina!J85</f>
        <v>Maňák</v>
      </c>
      <c r="C79" s="350" t="str">
        <f ca="1">Start.listina!K85</f>
        <v>Jan</v>
      </c>
      <c r="D79" s="350" t="str">
        <f ca="1">Start.listina!L85</f>
        <v>Petank Club Praha</v>
      </c>
      <c r="E79" s="350">
        <f ca="1">Start.listina!M85</f>
        <v>108</v>
      </c>
      <c r="F79" s="350">
        <f ca="1">Start.listina!N85</f>
        <v>20.689</v>
      </c>
      <c r="G79" s="7"/>
    </row>
    <row r="80" spans="1:7">
      <c r="A80" s="350">
        <f ca="1">Start.listina!I86</f>
        <v>28051</v>
      </c>
      <c r="B80" s="399" t="str">
        <f ca="1">Start.listina!J86</f>
        <v>Horáček</v>
      </c>
      <c r="C80" s="350" t="str">
        <f ca="1">Start.listina!K86</f>
        <v>Jindřich</v>
      </c>
      <c r="D80" s="350" t="str">
        <f ca="1">Start.listina!L86</f>
        <v>PC Kolová</v>
      </c>
      <c r="E80" s="350">
        <f ca="1">Start.listina!M86</f>
        <v>174</v>
      </c>
      <c r="F80" s="350">
        <f ca="1">Start.listina!N86</f>
        <v>20.094000000000001</v>
      </c>
      <c r="G80" s="7"/>
    </row>
    <row r="81" spans="1:7">
      <c r="A81" s="350">
        <f ca="1">Start.listina!I87</f>
        <v>96217</v>
      </c>
      <c r="B81" s="399" t="str">
        <f ca="1">Start.listina!J87</f>
        <v>Gorroňo López</v>
      </c>
      <c r="C81" s="350" t="str">
        <f ca="1">Start.listina!K87</f>
        <v>Rubi</v>
      </c>
      <c r="D81" s="350" t="str">
        <f ca="1">Start.listina!L87</f>
        <v>CdP Loděnice</v>
      </c>
      <c r="E81" s="350">
        <f ca="1">Start.listina!M87</f>
        <v>106</v>
      </c>
      <c r="F81" s="350">
        <f ca="1">Start.listina!N87</f>
        <v>19.72</v>
      </c>
      <c r="G81" s="7"/>
    </row>
    <row r="82" spans="1:7">
      <c r="A82" s="350">
        <f ca="1">Start.listina!I88</f>
        <v>12047</v>
      </c>
      <c r="B82" s="399" t="str">
        <f ca="1">Start.listina!J88</f>
        <v>Karásková</v>
      </c>
      <c r="C82" s="350" t="str">
        <f ca="1">Start.listina!K88</f>
        <v>Františka</v>
      </c>
      <c r="D82" s="350" t="str">
        <f ca="1">Start.listina!L88</f>
        <v>HRODE KRUMSÍN</v>
      </c>
      <c r="E82" s="350">
        <f ca="1">Start.listina!M88</f>
        <v>147</v>
      </c>
      <c r="F82" s="350">
        <f ca="1">Start.listina!N88</f>
        <v>19.689</v>
      </c>
      <c r="G82" s="7"/>
    </row>
    <row r="83" spans="1:7">
      <c r="A83" s="350">
        <f ca="1">Start.listina!I89</f>
        <v>12010</v>
      </c>
      <c r="B83" s="399" t="str">
        <f ca="1">Start.listina!J89</f>
        <v>Pachla</v>
      </c>
      <c r="C83" s="350" t="str">
        <f ca="1">Start.listina!K89</f>
        <v>Pavel</v>
      </c>
      <c r="D83" s="350" t="str">
        <f ca="1">Start.listina!L89</f>
        <v>PO Chotěboř</v>
      </c>
      <c r="E83" s="350">
        <f ca="1">Start.listina!M89</f>
        <v>135</v>
      </c>
      <c r="F83" s="350">
        <f ca="1">Start.listina!N89</f>
        <v>19.594999999999999</v>
      </c>
      <c r="G83" s="7"/>
    </row>
    <row r="84" spans="1:7">
      <c r="A84" s="350">
        <f ca="1">Start.listina!I90</f>
        <v>17090</v>
      </c>
      <c r="B84" s="399" t="str">
        <f ca="1">Start.listina!J90</f>
        <v>Sedláčková</v>
      </c>
      <c r="C84" s="350" t="str">
        <f ca="1">Start.listina!K90</f>
        <v>Marie</v>
      </c>
      <c r="D84" s="350" t="str">
        <f ca="1">Start.listina!L90</f>
        <v>PKT Velký Šanc</v>
      </c>
      <c r="E84" s="350">
        <f ca="1">Start.listina!M90</f>
        <v>123</v>
      </c>
      <c r="F84" s="350">
        <f ca="1">Start.listina!N90</f>
        <v>19.001999999999999</v>
      </c>
      <c r="G84" s="7"/>
    </row>
    <row r="85" spans="1:7">
      <c r="A85" s="350">
        <f ca="1">Start.listina!I91</f>
        <v>18130</v>
      </c>
      <c r="B85" s="399" t="str">
        <f ca="1">Start.listina!J91</f>
        <v>Semrád</v>
      </c>
      <c r="C85" s="350" t="str">
        <f ca="1">Start.listina!K91</f>
        <v>Oldřich</v>
      </c>
      <c r="D85" s="350" t="str">
        <f ca="1">Start.listina!L91</f>
        <v>PKT Velký Šanc</v>
      </c>
      <c r="E85" s="350">
        <f ca="1">Start.listina!M91</f>
        <v>124</v>
      </c>
      <c r="F85" s="350">
        <f ca="1">Start.listina!N91</f>
        <v>19.001999999999999</v>
      </c>
      <c r="G85" s="7"/>
    </row>
    <row r="86" spans="1:7">
      <c r="A86" s="350">
        <f ca="1">Start.listina!I92</f>
        <v>16029</v>
      </c>
      <c r="B86" s="399" t="str">
        <f ca="1">Start.listina!J92</f>
        <v>Kašparová</v>
      </c>
      <c r="C86" s="350" t="str">
        <f ca="1">Start.listina!K92</f>
        <v>Barbora</v>
      </c>
      <c r="D86" s="350" t="str">
        <f ca="1">Start.listina!L92</f>
        <v>Petank Club Praha</v>
      </c>
      <c r="E86" s="350">
        <f ca="1">Start.listina!M92</f>
        <v>111</v>
      </c>
      <c r="F86" s="350">
        <f ca="1">Start.listina!N92</f>
        <v>19.001000000000001</v>
      </c>
      <c r="G86" s="7"/>
    </row>
    <row r="87" spans="1:7">
      <c r="A87" s="350">
        <f ca="1">Start.listina!I93</f>
        <v>15060</v>
      </c>
      <c r="B87" s="399" t="str">
        <f ca="1">Start.listina!J93</f>
        <v>Horálek</v>
      </c>
      <c r="C87" s="350" t="str">
        <f ca="1">Start.listina!K93</f>
        <v>Jiří</v>
      </c>
      <c r="D87" s="350" t="str">
        <f ca="1">Start.listina!L93</f>
        <v>PKT Velký Šanc</v>
      </c>
      <c r="E87" s="350">
        <f ca="1">Start.listina!M93</f>
        <v>127</v>
      </c>
      <c r="F87" s="350">
        <f ca="1">Start.listina!N93</f>
        <v>19</v>
      </c>
      <c r="G87" s="7"/>
    </row>
    <row r="88" spans="1:7">
      <c r="A88" s="350">
        <f ca="1">Start.listina!I94</f>
        <v>10011</v>
      </c>
      <c r="B88" s="399" t="str">
        <f ca="1">Start.listina!J94</f>
        <v>Melgr</v>
      </c>
      <c r="C88" s="350" t="str">
        <f ca="1">Start.listina!K94</f>
        <v>Pavel</v>
      </c>
      <c r="D88" s="350" t="str">
        <f ca="1">Start.listina!L94</f>
        <v>PC Sokol PP Hr. Králové</v>
      </c>
      <c r="E88" s="350">
        <f ca="1">Start.listina!M94</f>
        <v>156</v>
      </c>
      <c r="F88" s="350">
        <f ca="1">Start.listina!N94</f>
        <v>18.969000000000001</v>
      </c>
      <c r="G88" s="7"/>
    </row>
    <row r="89" spans="1:7">
      <c r="A89" s="350">
        <f ca="1">Start.listina!I95</f>
        <v>16120</v>
      </c>
      <c r="B89" s="399" t="str">
        <f ca="1">Start.listina!J95</f>
        <v>Froněk</v>
      </c>
      <c r="C89" s="350" t="str">
        <f ca="1">Start.listina!K95</f>
        <v>Jiří ml.</v>
      </c>
      <c r="D89" s="350" t="str">
        <f ca="1">Start.listina!L95</f>
        <v>Petank Club Praha</v>
      </c>
      <c r="E89" s="350">
        <f ca="1">Start.listina!M95</f>
        <v>142</v>
      </c>
      <c r="F89" s="350">
        <f ca="1">Start.listina!N95</f>
        <v>17.721</v>
      </c>
      <c r="G89" s="7"/>
    </row>
    <row r="90" spans="1:7">
      <c r="A90" s="350">
        <f ca="1">Start.listina!I96</f>
        <v>10012</v>
      </c>
      <c r="B90" s="399" t="str">
        <f ca="1">Start.listina!J96</f>
        <v>Melgr</v>
      </c>
      <c r="C90" s="350" t="str">
        <f ca="1">Start.listina!K96</f>
        <v>Jan</v>
      </c>
      <c r="D90" s="350" t="str">
        <f ca="1">Start.listina!L96</f>
        <v>PC Sokol PP Hr. Králové</v>
      </c>
      <c r="E90" s="350">
        <f ca="1">Start.listina!M96</f>
        <v>158</v>
      </c>
      <c r="F90" s="350">
        <f ca="1">Start.listina!N96</f>
        <v>17.687999999999999</v>
      </c>
      <c r="G90" s="7"/>
    </row>
    <row r="91" spans="1:7">
      <c r="A91" s="350">
        <f ca="1">Start.listina!I97</f>
        <v>16117</v>
      </c>
      <c r="B91" s="399" t="str">
        <f ca="1">Start.listina!J97</f>
        <v>Stejskal</v>
      </c>
      <c r="C91" s="350" t="str">
        <f ca="1">Start.listina!K97</f>
        <v>Václav</v>
      </c>
      <c r="D91" s="350" t="str">
        <f ca="1">Start.listina!L97</f>
        <v>JAPKO</v>
      </c>
      <c r="E91" s="350">
        <f ca="1">Start.listina!M97</f>
        <v>114</v>
      </c>
      <c r="F91" s="350">
        <f ca="1">Start.listina!N97</f>
        <v>17.346</v>
      </c>
      <c r="G91" s="7"/>
    </row>
    <row r="92" spans="1:7">
      <c r="A92" s="350">
        <f ca="1">Start.listina!I98</f>
        <v>96162</v>
      </c>
      <c r="B92" s="399" t="str">
        <f ca="1">Start.listina!J98</f>
        <v>Glaser</v>
      </c>
      <c r="C92" s="350" t="str">
        <f ca="1">Start.listina!K98</f>
        <v>Vladimír</v>
      </c>
      <c r="D92" s="350" t="str">
        <f ca="1">Start.listina!L98</f>
        <v>C.T.P. Club Ořech</v>
      </c>
      <c r="E92" s="350">
        <f ca="1">Start.listina!M98</f>
        <v>224</v>
      </c>
      <c r="F92" s="350">
        <f ca="1">Start.listina!N98</f>
        <v>17.312999999999999</v>
      </c>
      <c r="G92" s="7"/>
    </row>
    <row r="93" spans="1:7">
      <c r="A93" s="350">
        <f ca="1">Start.listina!I99</f>
        <v>21836</v>
      </c>
      <c r="B93" s="399" t="str">
        <f ca="1">Start.listina!J99</f>
        <v>Piller</v>
      </c>
      <c r="C93" s="350" t="str">
        <f ca="1">Start.listina!K99</f>
        <v>Tomáš</v>
      </c>
      <c r="D93" s="350" t="str">
        <f ca="1">Start.listina!L99</f>
        <v>SK Sahara Vědomice</v>
      </c>
      <c r="E93" s="350">
        <f ca="1">Start.listina!M99</f>
        <v>112</v>
      </c>
      <c r="F93" s="350">
        <f ca="1">Start.listina!N99</f>
        <v>16.97</v>
      </c>
      <c r="G93" s="7"/>
    </row>
    <row r="94" spans="1:7">
      <c r="A94" s="350">
        <f ca="1">Start.listina!I100</f>
        <v>25014</v>
      </c>
      <c r="B94" s="399" t="str">
        <f ca="1">Start.listina!J100</f>
        <v>Mráz</v>
      </c>
      <c r="C94" s="350" t="str">
        <f ca="1">Start.listina!K100</f>
        <v>Václav</v>
      </c>
      <c r="D94" s="350" t="str">
        <f ca="1">Start.listina!L100</f>
        <v>PK Osika Plzeň</v>
      </c>
      <c r="E94" s="350">
        <f ca="1">Start.listina!M100</f>
        <v>105</v>
      </c>
      <c r="F94" s="350">
        <f ca="1">Start.listina!N100</f>
        <v>16.891999999999999</v>
      </c>
      <c r="G94" s="7"/>
    </row>
    <row r="95" spans="1:7">
      <c r="A95" s="350">
        <f ca="1">Start.listina!I101</f>
        <v>20504</v>
      </c>
      <c r="B95" s="399" t="str">
        <f ca="1">Start.listina!J101</f>
        <v>Bytešník</v>
      </c>
      <c r="C95" s="350" t="str">
        <f ca="1">Start.listina!K101</f>
        <v>Roman</v>
      </c>
      <c r="D95" s="350" t="str">
        <f ca="1">Start.listina!L101</f>
        <v>Carreau Brno</v>
      </c>
      <c r="E95" s="350">
        <f ca="1">Start.listina!M101</f>
        <v>144</v>
      </c>
      <c r="F95" s="350">
        <f ca="1">Start.listina!N101</f>
        <v>16.875</v>
      </c>
      <c r="G95" s="7"/>
    </row>
    <row r="96" spans="1:7">
      <c r="A96" s="350">
        <f ca="1">Start.listina!I102</f>
        <v>17093</v>
      </c>
      <c r="B96" s="399" t="str">
        <f ca="1">Start.listina!J102</f>
        <v>Žiak</v>
      </c>
      <c r="C96" s="350" t="str">
        <f ca="1">Start.listina!K102</f>
        <v>Radomír</v>
      </c>
      <c r="D96" s="350" t="str">
        <f ca="1">Start.listina!L102</f>
        <v>PAK Albrechtice</v>
      </c>
      <c r="E96" s="350">
        <f ca="1">Start.listina!M102</f>
        <v>176</v>
      </c>
      <c r="F96" s="350">
        <f ca="1">Start.listina!N102</f>
        <v>16.471</v>
      </c>
      <c r="G96" s="7"/>
    </row>
    <row r="97" spans="1:7">
      <c r="A97" s="350">
        <f ca="1">Start.listina!I103</f>
        <v>11049</v>
      </c>
      <c r="B97" s="399" t="str">
        <f ca="1">Start.listina!J103</f>
        <v>Bucek</v>
      </c>
      <c r="C97" s="350" t="str">
        <f ca="1">Start.listina!K103</f>
        <v>Zdeněk</v>
      </c>
      <c r="D97" s="350" t="str">
        <f ca="1">Start.listina!L103</f>
        <v>1. KPK Vrchlabí</v>
      </c>
      <c r="E97" s="350">
        <f ca="1">Start.listina!M103</f>
        <v>154</v>
      </c>
      <c r="F97" s="350">
        <f ca="1">Start.listina!N103</f>
        <v>16.282</v>
      </c>
      <c r="G97" s="7"/>
    </row>
    <row r="98" spans="1:7">
      <c r="A98" s="350">
        <f ca="1">Start.listina!I104</f>
        <v>99496</v>
      </c>
      <c r="B98" s="399" t="str">
        <f ca="1">Start.listina!J104</f>
        <v>Drmola</v>
      </c>
      <c r="C98" s="350" t="str">
        <f ca="1">Start.listina!K104</f>
        <v>Michal</v>
      </c>
      <c r="D98" s="350" t="str">
        <f ca="1">Start.listina!L104</f>
        <v>HRODE KRUMSÍN</v>
      </c>
      <c r="E98" s="350">
        <f ca="1">Start.listina!M104</f>
        <v>140</v>
      </c>
      <c r="F98" s="350">
        <f ca="1">Start.listina!N104</f>
        <v>15.500999999999999</v>
      </c>
      <c r="G98" s="7"/>
    </row>
    <row r="99" spans="1:7">
      <c r="A99" s="350">
        <f ca="1">Start.listina!I105</f>
        <v>28030</v>
      </c>
      <c r="B99" s="399" t="str">
        <f ca="1">Start.listina!J105</f>
        <v>Michovský</v>
      </c>
      <c r="C99" s="350" t="str">
        <f ca="1">Start.listina!K105</f>
        <v>Jiří</v>
      </c>
      <c r="D99" s="350" t="str">
        <f ca="1">Start.listina!L105</f>
        <v>PPA POZORKA</v>
      </c>
      <c r="E99" s="350">
        <f ca="1">Start.listina!M105</f>
        <v>196</v>
      </c>
      <c r="F99" s="350">
        <f ca="1">Start.listina!N105</f>
        <v>15.000999999999999</v>
      </c>
      <c r="G99" s="7"/>
    </row>
    <row r="100" spans="1:7">
      <c r="A100" s="350">
        <f ca="1">Start.listina!I106</f>
        <v>11041</v>
      </c>
      <c r="B100" s="399" t="str">
        <f ca="1">Start.listina!J106</f>
        <v>Kadavá</v>
      </c>
      <c r="C100" s="350" t="str">
        <f ca="1">Start.listina!K106</f>
        <v>Petra</v>
      </c>
      <c r="D100" s="350" t="str">
        <f ca="1">Start.listina!L106</f>
        <v>1. KPK Vrchlabí</v>
      </c>
      <c r="E100" s="350">
        <f ca="1">Start.listina!M106</f>
        <v>139</v>
      </c>
      <c r="F100" s="350">
        <f ca="1">Start.listina!N106</f>
        <v>14.736000000000001</v>
      </c>
      <c r="G100" s="7"/>
    </row>
    <row r="101" spans="1:7">
      <c r="A101" s="350">
        <f ca="1">Start.listina!I107</f>
        <v>25075</v>
      </c>
      <c r="B101" s="399" t="str">
        <f ca="1">Start.listina!J107</f>
        <v>Špitálský</v>
      </c>
      <c r="C101" s="350" t="str">
        <f ca="1">Start.listina!K107</f>
        <v>Milan</v>
      </c>
      <c r="D101" s="350" t="str">
        <f ca="1">Start.listina!L107</f>
        <v>PK Osika Plzeň</v>
      </c>
      <c r="E101" s="350">
        <f ca="1">Start.listina!M107</f>
        <v>133</v>
      </c>
      <c r="F101" s="350">
        <f ca="1">Start.listina!N107</f>
        <v>14.627000000000001</v>
      </c>
      <c r="G101" s="7"/>
    </row>
    <row r="102" spans="1:7">
      <c r="A102" s="350">
        <f ca="1">Start.listina!I108</f>
        <v>96163</v>
      </c>
      <c r="B102" s="399" t="str">
        <f ca="1">Start.listina!J108</f>
        <v>Glaserová</v>
      </c>
      <c r="C102" s="350" t="str">
        <f ca="1">Start.listina!K108</f>
        <v>Dana</v>
      </c>
      <c r="D102" s="350" t="str">
        <f ca="1">Start.listina!L108</f>
        <v>C.T.P. Club Ořech</v>
      </c>
      <c r="E102" s="350">
        <f ca="1">Start.listina!M108</f>
        <v>237</v>
      </c>
      <c r="F102" s="350">
        <f ca="1">Start.listina!N108</f>
        <v>14.532</v>
      </c>
      <c r="G102" s="7"/>
    </row>
    <row r="103" spans="1:7">
      <c r="A103" s="350">
        <f ca="1">Start.listina!I109</f>
        <v>99512</v>
      </c>
      <c r="B103" s="399" t="str">
        <f ca="1">Start.listina!J109</f>
        <v>Kocourek</v>
      </c>
      <c r="C103" s="350" t="str">
        <f ca="1">Start.listina!K109</f>
        <v>Pavel</v>
      </c>
      <c r="D103" s="350" t="str">
        <f ca="1">Start.listina!L109</f>
        <v>SK Sahara Vědomice</v>
      </c>
      <c r="E103" s="350">
        <f ca="1">Start.listina!M109</f>
        <v>152</v>
      </c>
      <c r="F103" s="350">
        <f ca="1">Start.listina!N109</f>
        <v>14.313000000000001</v>
      </c>
      <c r="G103" s="7"/>
    </row>
    <row r="104" spans="1:7">
      <c r="A104" s="350">
        <f ca="1">Start.listina!I110</f>
        <v>28056</v>
      </c>
      <c r="B104" s="399" t="str">
        <f ca="1">Start.listina!J110</f>
        <v>Blažejová</v>
      </c>
      <c r="C104" s="350" t="str">
        <f ca="1">Start.listina!K110</f>
        <v>Eva</v>
      </c>
      <c r="D104" s="350" t="str">
        <f ca="1">Start.listina!L110</f>
        <v>1. Starobrněnský PK</v>
      </c>
      <c r="E104" s="350">
        <f ca="1">Start.listina!M110</f>
        <v>163</v>
      </c>
      <c r="F104" s="350">
        <f ca="1">Start.listina!N110</f>
        <v>14.032999999999999</v>
      </c>
      <c r="G104" s="7"/>
    </row>
    <row r="105" spans="1:7">
      <c r="A105" s="350">
        <f ca="1">Start.listina!I111</f>
        <v>18065</v>
      </c>
      <c r="B105" s="399" t="str">
        <f ca="1">Start.listina!J111</f>
        <v>Valošek</v>
      </c>
      <c r="C105" s="350" t="str">
        <f ca="1">Start.listina!K111</f>
        <v>Radim</v>
      </c>
      <c r="D105" s="350" t="str">
        <f ca="1">Start.listina!L111</f>
        <v>PK Polouvsí</v>
      </c>
      <c r="E105" s="350">
        <f ca="1">Start.listina!M111</f>
        <v>168</v>
      </c>
      <c r="F105" s="350">
        <f ca="1">Start.listina!N111</f>
        <v>14.031000000000001</v>
      </c>
      <c r="G105" s="7"/>
    </row>
    <row r="106" spans="1:7">
      <c r="A106" s="350">
        <f ca="1">Start.listina!I112</f>
        <v>10159</v>
      </c>
      <c r="B106" s="399" t="str">
        <f ca="1">Start.listina!J112</f>
        <v>Vaníček</v>
      </c>
      <c r="C106" s="350" t="str">
        <f ca="1">Start.listina!K112</f>
        <v>Rudolf</v>
      </c>
      <c r="D106" s="350" t="str">
        <f ca="1">Start.listina!L112</f>
        <v>Sokol Kostomlaty</v>
      </c>
      <c r="E106" s="350">
        <f ca="1">Start.listina!M112</f>
        <v>173</v>
      </c>
      <c r="F106" s="350">
        <f ca="1">Start.listina!N112</f>
        <v>13.97</v>
      </c>
      <c r="G106" s="7"/>
    </row>
    <row r="107" spans="1:7">
      <c r="A107" s="350">
        <f ca="1">Start.listina!I113</f>
        <v>18064</v>
      </c>
      <c r="B107" s="399" t="str">
        <f ca="1">Start.listina!J113</f>
        <v>Rusek</v>
      </c>
      <c r="C107" s="350" t="str">
        <f ca="1">Start.listina!K113</f>
        <v>Luboš</v>
      </c>
      <c r="D107" s="350" t="str">
        <f ca="1">Start.listina!L113</f>
        <v>PK Polouvsí</v>
      </c>
      <c r="E107" s="350">
        <f ca="1">Start.listina!M113</f>
        <v>250</v>
      </c>
      <c r="F107" s="350">
        <f ca="1">Start.listina!N113</f>
        <v>13.064</v>
      </c>
      <c r="G107" s="7"/>
    </row>
    <row r="108" spans="1:7">
      <c r="A108" s="350">
        <f ca="1">Start.listina!I114</f>
        <v>18066</v>
      </c>
      <c r="B108" s="399" t="str">
        <f ca="1">Start.listina!J114</f>
        <v>Ondryhal</v>
      </c>
      <c r="C108" s="350" t="str">
        <f ca="1">Start.listina!K114</f>
        <v>Josef</v>
      </c>
      <c r="D108" s="350" t="str">
        <f ca="1">Start.listina!L114</f>
        <v>PK Polouvsí</v>
      </c>
      <c r="E108" s="350">
        <f ca="1">Start.listina!M114</f>
        <v>242</v>
      </c>
      <c r="F108" s="350">
        <f ca="1">Start.listina!N114</f>
        <v>13.000999999999999</v>
      </c>
      <c r="G108" s="7"/>
    </row>
    <row r="109" spans="1:7">
      <c r="A109" s="350">
        <f ca="1">Start.listina!I115</f>
        <v>17055</v>
      </c>
      <c r="B109" s="399" t="str">
        <f ca="1">Start.listina!J115</f>
        <v>Zikmunda</v>
      </c>
      <c r="C109" s="350" t="str">
        <f ca="1">Start.listina!K115</f>
        <v>Matěj</v>
      </c>
      <c r="D109" s="350" t="str">
        <f ca="1">Start.listina!L115</f>
        <v>PC Mimo Done</v>
      </c>
      <c r="E109" s="350">
        <f ca="1">Start.listina!M115</f>
        <v>209</v>
      </c>
      <c r="F109" s="350">
        <f ca="1">Start.listina!N115</f>
        <v>12.345000000000001</v>
      </c>
      <c r="G109" s="7"/>
    </row>
    <row r="110" spans="1:7">
      <c r="A110" s="350">
        <f ca="1">Start.listina!I116</f>
        <v>19023</v>
      </c>
      <c r="B110" s="399" t="str">
        <f ca="1">Start.listina!J116</f>
        <v>Blieková</v>
      </c>
      <c r="C110" s="350" t="str">
        <f ca="1">Start.listina!K116</f>
        <v>Alena</v>
      </c>
      <c r="D110" s="350" t="str">
        <f ca="1">Start.listina!L116</f>
        <v>SENIOR TÝM Praha 1</v>
      </c>
      <c r="E110" s="350">
        <f ca="1">Start.listina!M116</f>
        <v>189</v>
      </c>
      <c r="F110" s="350">
        <f ca="1">Start.listina!N116</f>
        <v>11.564</v>
      </c>
      <c r="G110" s="7"/>
    </row>
    <row r="111" spans="1:7">
      <c r="A111" s="350">
        <f ca="1">Start.listina!I117</f>
        <v>15055</v>
      </c>
      <c r="B111" s="399" t="str">
        <f ca="1">Start.listina!J117</f>
        <v>Srnský</v>
      </c>
      <c r="C111" s="350" t="str">
        <f ca="1">Start.listina!K117</f>
        <v>Jakub</v>
      </c>
      <c r="D111" s="350" t="str">
        <f ca="1">Start.listina!L117</f>
        <v>1. KPK Vrchlabí</v>
      </c>
      <c r="E111" s="350">
        <f ca="1">Start.listina!M117</f>
        <v>188</v>
      </c>
      <c r="F111" s="350">
        <f ca="1">Start.listina!N117</f>
        <v>11.172000000000001</v>
      </c>
      <c r="G111" s="7"/>
    </row>
    <row r="112" spans="1:7">
      <c r="A112" s="350">
        <f ca="1">Start.listina!I118</f>
        <v>14037</v>
      </c>
      <c r="B112" s="399" t="str">
        <f ca="1">Start.listina!J118</f>
        <v>Hůrka</v>
      </c>
      <c r="C112" s="350" t="str">
        <f ca="1">Start.listina!K118</f>
        <v>Jindřich</v>
      </c>
      <c r="D112" s="350" t="str">
        <f ca="1">Start.listina!L118</f>
        <v>Bowle 09 Klatovy</v>
      </c>
      <c r="E112" s="350">
        <f ca="1">Start.listina!M118</f>
        <v>199</v>
      </c>
      <c r="F112" s="350">
        <f ca="1">Start.listina!N118</f>
        <v>10.815</v>
      </c>
      <c r="G112" s="7"/>
    </row>
    <row r="113" spans="1:7">
      <c r="A113" s="350">
        <f ca="1">Start.listina!I119</f>
        <v>14055</v>
      </c>
      <c r="B113" s="399" t="str">
        <f ca="1">Start.listina!J119</f>
        <v>Stejskal</v>
      </c>
      <c r="C113" s="350" t="str">
        <f ca="1">Start.listina!K119</f>
        <v>Petr</v>
      </c>
      <c r="D113" s="350" t="str">
        <f ca="1">Start.listina!L119</f>
        <v>JAPKO</v>
      </c>
      <c r="E113" s="350">
        <f ca="1">Start.listina!M119</f>
        <v>245</v>
      </c>
      <c r="F113" s="350">
        <f ca="1">Start.listina!N119</f>
        <v>10.72</v>
      </c>
      <c r="G113" s="7"/>
    </row>
    <row r="114" spans="1:7">
      <c r="A114" s="350">
        <f ca="1">Start.listina!I120</f>
        <v>18124</v>
      </c>
      <c r="B114" s="399" t="str">
        <f ca="1">Start.listina!J120</f>
        <v>Valošková</v>
      </c>
      <c r="C114" s="350" t="str">
        <f ca="1">Start.listina!K120</f>
        <v>Sára</v>
      </c>
      <c r="D114" s="350" t="str">
        <f ca="1">Start.listina!L120</f>
        <v>PK Polouvsí</v>
      </c>
      <c r="E114" s="350">
        <f ca="1">Start.listina!M120</f>
        <v>226</v>
      </c>
      <c r="F114" s="350">
        <f ca="1">Start.listina!N120</f>
        <v>10.656000000000001</v>
      </c>
      <c r="G114" s="7"/>
    </row>
    <row r="115" spans="1:7">
      <c r="A115" s="350">
        <f ca="1">Start.listina!I121</f>
        <v>18134</v>
      </c>
      <c r="B115" s="399" t="str">
        <f ca="1">Start.listina!J121</f>
        <v>Hůrková</v>
      </c>
      <c r="C115" s="350" t="str">
        <f ca="1">Start.listina!K121</f>
        <v>Lucie</v>
      </c>
      <c r="D115" s="350" t="str">
        <f ca="1">Start.listina!L121</f>
        <v>Bowle 09 Klatovy</v>
      </c>
      <c r="E115" s="350">
        <f ca="1">Start.listina!M121</f>
        <v>222</v>
      </c>
      <c r="F115" s="350">
        <f ca="1">Start.listina!N121</f>
        <v>10.565</v>
      </c>
      <c r="G115" s="7"/>
    </row>
    <row r="116" spans="1:7">
      <c r="A116" s="350">
        <f ca="1">Start.listina!I122</f>
        <v>15059</v>
      </c>
      <c r="B116" s="399" t="str">
        <f ca="1">Start.listina!J122</f>
        <v>Gröschl</v>
      </c>
      <c r="C116" s="350" t="str">
        <f ca="1">Start.listina!K122</f>
        <v>Zdeněk</v>
      </c>
      <c r="D116" s="350" t="str">
        <f ca="1">Start.listina!L122</f>
        <v>SK Sahara Vědomice</v>
      </c>
      <c r="E116" s="350">
        <f ca="1">Start.listina!M122</f>
        <v>187</v>
      </c>
      <c r="F116" s="350">
        <f ca="1">Start.listina!N122</f>
        <v>9.875</v>
      </c>
      <c r="G116" s="7"/>
    </row>
    <row r="117" spans="1:7">
      <c r="A117" s="350">
        <f ca="1">Start.listina!I123</f>
        <v>18072</v>
      </c>
      <c r="B117" s="399" t="str">
        <f ca="1">Start.listina!J123</f>
        <v>Ondryhal</v>
      </c>
      <c r="C117" s="350" t="str">
        <f ca="1">Start.listina!K123</f>
        <v>Lukáš</v>
      </c>
      <c r="D117" s="350" t="str">
        <f ca="1">Start.listina!L123</f>
        <v>PK Polouvsí</v>
      </c>
      <c r="E117" s="350">
        <f ca="1">Start.listina!M123</f>
        <v>307</v>
      </c>
      <c r="F117" s="350">
        <f ca="1">Start.listina!N123</f>
        <v>9.532</v>
      </c>
      <c r="G117" s="7"/>
    </row>
    <row r="118" spans="1:7">
      <c r="A118" s="350">
        <f ca="1">Start.listina!I124</f>
        <v>21805</v>
      </c>
      <c r="B118" s="399" t="str">
        <f ca="1">Start.listina!J124</f>
        <v>Reinbergrová</v>
      </c>
      <c r="C118" s="350" t="str">
        <f ca="1">Start.listina!K124</f>
        <v>Václava</v>
      </c>
      <c r="D118" s="350" t="str">
        <f ca="1">Start.listina!L124</f>
        <v>PCP Lipník</v>
      </c>
      <c r="E118" s="350">
        <f ca="1">Start.listina!M124</f>
        <v>202</v>
      </c>
      <c r="F118" s="350">
        <f ca="1">Start.listina!N124</f>
        <v>9.0790000000000006</v>
      </c>
      <c r="G118" s="7"/>
    </row>
    <row r="119" spans="1:7">
      <c r="A119" s="350">
        <f ca="1">Start.listina!I125</f>
        <v>20532</v>
      </c>
      <c r="B119" s="399" t="str">
        <f ca="1">Start.listina!J125</f>
        <v>Křížek</v>
      </c>
      <c r="C119" s="350" t="str">
        <f ca="1">Start.listina!K125</f>
        <v>Evžen</v>
      </c>
      <c r="D119" s="350" t="str">
        <f ca="1">Start.listina!L125</f>
        <v>SK Pétanque Řepy</v>
      </c>
      <c r="E119" s="350">
        <f ca="1">Start.listina!M125</f>
        <v>296</v>
      </c>
      <c r="F119" s="350">
        <f ca="1">Start.listina!N125</f>
        <v>8.9700000000000006</v>
      </c>
      <c r="G119" s="7"/>
    </row>
    <row r="120" spans="1:7">
      <c r="A120" s="350">
        <f ca="1">Start.listina!I126</f>
        <v>18005</v>
      </c>
      <c r="B120" s="399" t="str">
        <f ca="1">Start.listina!J126</f>
        <v>Procházka</v>
      </c>
      <c r="C120" s="350" t="str">
        <f ca="1">Start.listina!K126</f>
        <v>Josef</v>
      </c>
      <c r="D120" s="350" t="str">
        <f ca="1">Start.listina!L126</f>
        <v>SK Pétanque Řepy</v>
      </c>
      <c r="E120" s="350">
        <f ca="1">Start.listina!M126</f>
        <v>264</v>
      </c>
      <c r="F120" s="350">
        <f ca="1">Start.listina!N126</f>
        <v>8.8290000000000006</v>
      </c>
      <c r="G120" s="7"/>
    </row>
    <row r="121" spans="1:7">
      <c r="A121" s="350">
        <f ca="1">Start.listina!I127</f>
        <v>14057</v>
      </c>
      <c r="B121" s="399" t="str">
        <f ca="1">Start.listina!J127</f>
        <v>Jablonský</v>
      </c>
      <c r="C121" s="350" t="str">
        <f ca="1">Start.listina!K127</f>
        <v>Lukáš</v>
      </c>
      <c r="D121" s="350" t="str">
        <f ca="1">Start.listina!L127</f>
        <v>PEK Stolín</v>
      </c>
      <c r="E121" s="350">
        <f ca="1">Start.listina!M127</f>
        <v>235</v>
      </c>
      <c r="F121" s="350">
        <f ca="1">Start.listina!N127</f>
        <v>8.5630000000000006</v>
      </c>
      <c r="G121" s="7"/>
    </row>
    <row r="122" spans="1:7">
      <c r="A122" s="350">
        <f ca="1">Start.listina!I128</f>
        <v>20676</v>
      </c>
      <c r="B122" s="399" t="str">
        <f ca="1">Start.listina!J128</f>
        <v>Hájková</v>
      </c>
      <c r="C122" s="350" t="str">
        <f ca="1">Start.listina!K128</f>
        <v>Iveta</v>
      </c>
      <c r="D122" s="350" t="str">
        <f ca="1">Start.listina!L128</f>
        <v>PEK Stolín</v>
      </c>
      <c r="E122" s="350">
        <f ca="1">Start.listina!M128</f>
        <v>223</v>
      </c>
      <c r="F122" s="350">
        <f ca="1">Start.listina!N128</f>
        <v>8.5</v>
      </c>
      <c r="G122" s="7"/>
    </row>
    <row r="123" spans="1:7">
      <c r="A123" s="350">
        <f ca="1">Start.listina!I129</f>
        <v>19026</v>
      </c>
      <c r="B123" s="399" t="str">
        <f ca="1">Start.listina!J129</f>
        <v>Rendjambe</v>
      </c>
      <c r="C123" s="350" t="str">
        <f ca="1">Start.listina!K129</f>
        <v>Amos</v>
      </c>
      <c r="D123" s="350" t="str">
        <f ca="1">Start.listina!L129</f>
        <v>Petank Club Praha</v>
      </c>
      <c r="E123" s="350">
        <f ca="1">Start.listina!M129</f>
        <v>329</v>
      </c>
      <c r="F123" s="350">
        <f ca="1">Start.listina!N129</f>
        <v>8.1880000000000006</v>
      </c>
      <c r="G123" s="7"/>
    </row>
    <row r="124" spans="1:7">
      <c r="A124" s="350">
        <f ca="1">Start.listina!I130</f>
        <v>20557</v>
      </c>
      <c r="B124" s="399" t="str">
        <f ca="1">Start.listina!J130</f>
        <v>Křešťáková</v>
      </c>
      <c r="C124" s="350" t="str">
        <f ca="1">Start.listina!K130</f>
        <v>Jana</v>
      </c>
      <c r="D124" s="350" t="str">
        <f ca="1">Start.listina!L130</f>
        <v>Petank Club Praha</v>
      </c>
      <c r="E124" s="350">
        <f ca="1">Start.listina!M130</f>
        <v>221</v>
      </c>
      <c r="F124" s="350">
        <f ca="1">Start.listina!N130</f>
        <v>8.0950000000000006</v>
      </c>
      <c r="G124" s="7"/>
    </row>
    <row r="125" spans="1:7">
      <c r="A125" s="350">
        <f ca="1">Start.listina!I131</f>
        <v>19013</v>
      </c>
      <c r="B125" s="399" t="str">
        <f ca="1">Start.listina!J131</f>
        <v>Kmoch</v>
      </c>
      <c r="C125" s="350" t="str">
        <f ca="1">Start.listina!K131</f>
        <v>Miroslav</v>
      </c>
      <c r="D125" s="350" t="str">
        <f ca="1">Start.listina!L131</f>
        <v>PCP Lipník</v>
      </c>
      <c r="E125" s="350">
        <f ca="1">Start.listina!M131</f>
        <v>214</v>
      </c>
      <c r="F125" s="350">
        <f ca="1">Start.listina!N131</f>
        <v>8.032</v>
      </c>
      <c r="G125" s="7"/>
    </row>
    <row r="126" spans="1:7">
      <c r="A126" s="350">
        <f ca="1">Start.listina!I132</f>
        <v>19006</v>
      </c>
      <c r="B126" s="399" t="str">
        <f ca="1">Start.listina!J132</f>
        <v>Koňasová</v>
      </c>
      <c r="C126" s="350" t="str">
        <f ca="1">Start.listina!K132</f>
        <v>Hana</v>
      </c>
      <c r="D126" s="350" t="str">
        <f ca="1">Start.listina!L132</f>
        <v>SK Pétanque Řepy</v>
      </c>
      <c r="E126" s="350">
        <f ca="1">Start.listina!M132</f>
        <v>283</v>
      </c>
      <c r="F126" s="350">
        <f ca="1">Start.listina!N132</f>
        <v>8.0169999999999995</v>
      </c>
      <c r="G126" s="7"/>
    </row>
    <row r="127" spans="1:7">
      <c r="A127" s="350">
        <f ca="1">Start.listina!I133</f>
        <v>20533</v>
      </c>
      <c r="B127" s="399" t="str">
        <f ca="1">Start.listina!J133</f>
        <v>Josífková</v>
      </c>
      <c r="C127" s="350" t="str">
        <f ca="1">Start.listina!K133</f>
        <v>Eva</v>
      </c>
      <c r="D127" s="350" t="str">
        <f ca="1">Start.listina!L133</f>
        <v>SK Pétanque Řepy</v>
      </c>
      <c r="E127" s="350">
        <f ca="1">Start.listina!M133</f>
        <v>266</v>
      </c>
      <c r="F127" s="350">
        <f ca="1">Start.listina!N133</f>
        <v>7.782</v>
      </c>
      <c r="G127" s="7"/>
    </row>
    <row r="128" spans="1:7">
      <c r="A128" s="350">
        <f ca="1">Start.listina!I134</f>
        <v>28047</v>
      </c>
      <c r="B128" s="399" t="str">
        <f ca="1">Start.listina!J134</f>
        <v>Suchomel</v>
      </c>
      <c r="C128" s="350" t="str">
        <f ca="1">Start.listina!K134</f>
        <v>Luděk</v>
      </c>
      <c r="D128" s="350" t="str">
        <f ca="1">Start.listina!L134</f>
        <v>SK Sahara Vědomice</v>
      </c>
      <c r="E128" s="350">
        <f ca="1">Start.listina!M134</f>
        <v>204</v>
      </c>
      <c r="F128" s="350">
        <f ca="1">Start.listina!N134</f>
        <v>7.5</v>
      </c>
      <c r="G128" s="7"/>
    </row>
    <row r="129" spans="1:7">
      <c r="A129" s="350">
        <f ca="1">Start.listina!I135</f>
        <v>20534</v>
      </c>
      <c r="B129" s="399" t="str">
        <f ca="1">Start.listina!J135</f>
        <v>Váňová</v>
      </c>
      <c r="C129" s="350" t="str">
        <f ca="1">Start.listina!K135</f>
        <v>Věra</v>
      </c>
      <c r="D129" s="350" t="str">
        <f ca="1">Start.listina!L135</f>
        <v>SK Pétanque Řepy</v>
      </c>
      <c r="E129" s="350">
        <f ca="1">Start.listina!M135</f>
        <v>326</v>
      </c>
      <c r="F129" s="350">
        <f ca="1">Start.listina!N135</f>
        <v>7.3140000000000001</v>
      </c>
      <c r="G129" s="7"/>
    </row>
    <row r="130" spans="1:7">
      <c r="A130" s="350">
        <f ca="1">Start.listina!I136</f>
        <v>18074</v>
      </c>
      <c r="B130" s="399" t="str">
        <f ca="1">Start.listina!J136</f>
        <v>Lukeš</v>
      </c>
      <c r="C130" s="350" t="str">
        <f ca="1">Start.listina!K136</f>
        <v>Jakub</v>
      </c>
      <c r="D130" s="350" t="str">
        <f ca="1">Start.listina!L136</f>
        <v>1. KPK Vrchlabí</v>
      </c>
      <c r="E130" s="350">
        <f ca="1">Start.listina!M136</f>
        <v>315</v>
      </c>
      <c r="F130" s="350">
        <f ca="1">Start.listina!N136</f>
        <v>6.47</v>
      </c>
      <c r="G130" s="7"/>
    </row>
    <row r="131" spans="1:7">
      <c r="A131" s="350">
        <f ca="1">Start.listina!I137</f>
        <v>10034</v>
      </c>
      <c r="B131" s="399" t="str">
        <f ca="1">Start.listina!J137</f>
        <v>Fukal</v>
      </c>
      <c r="C131" s="350" t="str">
        <f ca="1">Start.listina!K137</f>
        <v>Milan</v>
      </c>
      <c r="D131" s="350" t="str">
        <f ca="1">Start.listina!L137</f>
        <v>JAPKO</v>
      </c>
      <c r="E131" s="350">
        <f ca="1">Start.listina!M137</f>
        <v>254</v>
      </c>
      <c r="F131" s="350">
        <f ca="1">Start.listina!N137</f>
        <v>5.875</v>
      </c>
      <c r="G131" s="7"/>
    </row>
    <row r="132" spans="1:7">
      <c r="A132" s="350">
        <f ca="1">Start.listina!I138</f>
        <v>20528</v>
      </c>
      <c r="B132" s="399" t="str">
        <f ca="1">Start.listina!J138</f>
        <v>Duška</v>
      </c>
      <c r="C132" s="350" t="str">
        <f ca="1">Start.listina!K138</f>
        <v>Miloš</v>
      </c>
      <c r="D132" s="350" t="str">
        <f ca="1">Start.listina!L138</f>
        <v>PC Mimo Done</v>
      </c>
      <c r="E132" s="350">
        <f ca="1">Start.listina!M138</f>
        <v>341</v>
      </c>
      <c r="F132" s="350">
        <f ca="1">Start.listina!N138</f>
        <v>5.61</v>
      </c>
      <c r="G132" s="7"/>
    </row>
    <row r="133" spans="1:7">
      <c r="A133" s="350">
        <f ca="1">Start.listina!I139</f>
        <v>16072</v>
      </c>
      <c r="B133" s="399" t="str">
        <f ca="1">Start.listina!J139</f>
        <v>Gazdíková</v>
      </c>
      <c r="C133" s="350" t="str">
        <f ca="1">Start.listina!K139</f>
        <v>Jiřina</v>
      </c>
      <c r="D133" s="350" t="str">
        <f ca="1">Start.listina!L139</f>
        <v>SK Pétanque Řepy</v>
      </c>
      <c r="E133" s="350">
        <f ca="1">Start.listina!M139</f>
        <v>311</v>
      </c>
      <c r="F133" s="350">
        <f ca="1">Start.listina!N139</f>
        <v>5.2039999999999997</v>
      </c>
      <c r="G133" s="7"/>
    </row>
    <row r="134" spans="1:7">
      <c r="A134" s="350">
        <f ca="1">Start.listina!I140</f>
        <v>18043</v>
      </c>
      <c r="B134" s="399" t="str">
        <f ca="1">Start.listina!J140</f>
        <v>Rousková</v>
      </c>
      <c r="C134" s="350" t="str">
        <f ca="1">Start.listina!K140</f>
        <v>Nina</v>
      </c>
      <c r="D134" s="350" t="str">
        <f ca="1">Start.listina!L140</f>
        <v>PEK Stolín</v>
      </c>
      <c r="E134" s="350">
        <f ca="1">Start.listina!M140</f>
        <v>342</v>
      </c>
      <c r="F134" s="350">
        <f ca="1">Start.listina!N140</f>
        <v>5.1879999999999997</v>
      </c>
      <c r="G134" s="7"/>
    </row>
    <row r="135" spans="1:7">
      <c r="A135" s="350">
        <f ca="1">Start.listina!I141</f>
        <v>20536</v>
      </c>
      <c r="B135" s="399" t="str">
        <f ca="1">Start.listina!J141</f>
        <v>Sedláčková</v>
      </c>
      <c r="C135" s="350" t="str">
        <f ca="1">Start.listina!K141</f>
        <v>Hedvika</v>
      </c>
      <c r="D135" s="350" t="str">
        <f ca="1">Start.listina!L141</f>
        <v>PKT Velký Šanc</v>
      </c>
      <c r="E135" s="350">
        <f ca="1">Start.listina!M141</f>
        <v>344</v>
      </c>
      <c r="F135" s="350">
        <f ca="1">Start.listina!N141</f>
        <v>5.125</v>
      </c>
      <c r="G135" s="7"/>
    </row>
    <row r="136" spans="1:7">
      <c r="A136" s="350">
        <f ca="1">Start.listina!I142</f>
        <v>18021</v>
      </c>
      <c r="B136" s="399" t="str">
        <f ca="1">Start.listina!J142</f>
        <v>Čapková</v>
      </c>
      <c r="C136" s="350" t="str">
        <f ca="1">Start.listina!K142</f>
        <v>Věra</v>
      </c>
      <c r="D136" s="350" t="str">
        <f ca="1">Start.listina!L142</f>
        <v>SK Pétanque Řepy</v>
      </c>
      <c r="E136" s="350">
        <f ca="1">Start.listina!M142</f>
        <v>372</v>
      </c>
      <c r="F136" s="350">
        <f ca="1">Start.listina!N142</f>
        <v>4.97</v>
      </c>
      <c r="G136" s="7"/>
    </row>
    <row r="137" spans="1:7">
      <c r="A137" s="350">
        <f ca="1">Start.listina!I143</f>
        <v>23055</v>
      </c>
      <c r="B137" s="399" t="str">
        <f ca="1">Start.listina!J143</f>
        <v>Husáková</v>
      </c>
      <c r="C137" s="350" t="str">
        <f ca="1">Start.listina!K143</f>
        <v>Petra</v>
      </c>
      <c r="D137" s="350" t="str">
        <f ca="1">Start.listina!L143</f>
        <v>FRAPECO</v>
      </c>
      <c r="E137" s="350">
        <f ca="1">Start.listina!M143</f>
        <v>380</v>
      </c>
      <c r="F137" s="350">
        <f ca="1">Start.listina!N143</f>
        <v>4.8449999999999998</v>
      </c>
      <c r="G137" s="7"/>
    </row>
    <row r="138" spans="1:7">
      <c r="A138" s="350">
        <f ca="1">Start.listina!I144</f>
        <v>16079</v>
      </c>
      <c r="B138" s="399" t="str">
        <f ca="1">Start.listina!J144</f>
        <v>Kolaříková</v>
      </c>
      <c r="C138" s="350" t="str">
        <f ca="1">Start.listina!K144</f>
        <v>Josefína</v>
      </c>
      <c r="D138" s="350" t="str">
        <f ca="1">Start.listina!L144</f>
        <v>UBU Únětice</v>
      </c>
      <c r="E138" s="350">
        <f ca="1">Start.listina!M144</f>
        <v>343</v>
      </c>
      <c r="F138" s="350">
        <f ca="1">Start.listina!N144</f>
        <v>4.6890000000000001</v>
      </c>
      <c r="G138" s="7"/>
    </row>
    <row r="139" spans="1:7">
      <c r="A139" s="350">
        <f ca="1">Start.listina!I145</f>
        <v>21756</v>
      </c>
      <c r="B139" s="399" t="str">
        <f ca="1">Start.listina!J145</f>
        <v>Tintěrová</v>
      </c>
      <c r="C139" s="350" t="str">
        <f ca="1">Start.listina!K145</f>
        <v>Kateřina</v>
      </c>
      <c r="D139" s="350" t="str">
        <f ca="1">Start.listina!L145</f>
        <v>VARAN</v>
      </c>
      <c r="E139" s="350">
        <f ca="1">Start.listina!M145</f>
        <v>385</v>
      </c>
      <c r="F139" s="350">
        <f ca="1">Start.listina!N145</f>
        <v>3.234</v>
      </c>
      <c r="G139" s="7"/>
    </row>
    <row r="140" spans="1:7">
      <c r="A140" s="350">
        <f ca="1">Start.listina!I146</f>
        <v>20573</v>
      </c>
      <c r="B140" s="399" t="str">
        <f ca="1">Start.listina!J146</f>
        <v>Vávrová</v>
      </c>
      <c r="C140" s="350" t="str">
        <f ca="1">Start.listina!K146</f>
        <v>Ivana</v>
      </c>
      <c r="D140" s="350" t="str">
        <f ca="1">Start.listina!L146</f>
        <v>PC Sokol PP Hr. Králové</v>
      </c>
      <c r="E140" s="350">
        <f ca="1">Start.listina!M146</f>
        <v>378</v>
      </c>
      <c r="F140" s="350">
        <f ca="1">Start.listina!N146</f>
        <v>2.9060000000000001</v>
      </c>
      <c r="G140" s="7"/>
    </row>
    <row r="141" spans="1:7">
      <c r="A141" s="350">
        <f ca="1">Start.listina!I147</f>
        <v>18014</v>
      </c>
      <c r="B141" s="399" t="str">
        <f ca="1">Start.listina!J147</f>
        <v>Klazarová</v>
      </c>
      <c r="C141" s="350" t="str">
        <f ca="1">Start.listina!K147</f>
        <v>Vlasta</v>
      </c>
      <c r="D141" s="350" t="str">
        <f ca="1">Start.listina!L147</f>
        <v>SK Pétanque Řepy</v>
      </c>
      <c r="E141" s="350">
        <f ca="1">Start.listina!M147</f>
        <v>431</v>
      </c>
      <c r="F141" s="350">
        <f ca="1">Start.listina!N147</f>
        <v>2.7509999999999999</v>
      </c>
      <c r="G141" s="7"/>
    </row>
    <row r="142" spans="1:7">
      <c r="A142" s="350">
        <f ca="1">Start.listina!I148</f>
        <v>20614</v>
      </c>
      <c r="B142" s="399" t="str">
        <f ca="1">Start.listina!J148</f>
        <v>Mullerová</v>
      </c>
      <c r="C142" s="350" t="str">
        <f ca="1">Start.listina!K148</f>
        <v>Jiřina</v>
      </c>
      <c r="D142" s="350" t="str">
        <f ca="1">Start.listina!L148</f>
        <v>SK Pétanque Řepy</v>
      </c>
      <c r="E142" s="350">
        <f ca="1">Start.listina!M148</f>
        <v>517</v>
      </c>
      <c r="F142" s="350">
        <f ca="1">Start.listina!N148</f>
        <v>1.97</v>
      </c>
      <c r="G142" s="7"/>
    </row>
    <row r="143" spans="1:7">
      <c r="A143" s="350" t="str">
        <f ca="1">Start.listina!O11</f>
        <v/>
      </c>
      <c r="B143" s="399" t="str">
        <f ca="1">Start.listina!P11</f>
        <v xml:space="preserve"> </v>
      </c>
      <c r="C143" s="350" t="str">
        <f ca="1">Start.listina!Q11</f>
        <v xml:space="preserve"> </v>
      </c>
      <c r="D143" s="350" t="str">
        <f ca="1">Start.listina!R11</f>
        <v xml:space="preserve"> </v>
      </c>
      <c r="E143" s="350">
        <f ca="1">Start.listina!S11</f>
        <v>9999</v>
      </c>
      <c r="F143" s="350">
        <f ca="1">Start.listina!T11</f>
        <v>0</v>
      </c>
      <c r="G143" s="7"/>
    </row>
    <row r="144" spans="1:7">
      <c r="A144" s="350" t="str">
        <f ca="1">Start.listina!O12</f>
        <v/>
      </c>
      <c r="B144" s="399" t="str">
        <f ca="1">Start.listina!P12</f>
        <v xml:space="preserve"> </v>
      </c>
      <c r="C144" s="350" t="str">
        <f ca="1">Start.listina!Q12</f>
        <v xml:space="preserve"> </v>
      </c>
      <c r="D144" s="350" t="str">
        <f ca="1">Start.listina!R12</f>
        <v xml:space="preserve"> </v>
      </c>
      <c r="E144" s="350">
        <f ca="1">Start.listina!S12</f>
        <v>9999</v>
      </c>
      <c r="F144" s="350">
        <f ca="1">Start.listina!T12</f>
        <v>0</v>
      </c>
      <c r="G144" s="7"/>
    </row>
    <row r="145" spans="1:7">
      <c r="A145" s="350" t="str">
        <f ca="1">Start.listina!O13</f>
        <v/>
      </c>
      <c r="B145" s="399" t="str">
        <f ca="1">Start.listina!P13</f>
        <v xml:space="preserve"> </v>
      </c>
      <c r="C145" s="350" t="str">
        <f ca="1">Start.listina!Q13</f>
        <v xml:space="preserve"> </v>
      </c>
      <c r="D145" s="350" t="str">
        <f ca="1">Start.listina!R13</f>
        <v xml:space="preserve"> </v>
      </c>
      <c r="E145" s="350">
        <f ca="1">Start.listina!S13</f>
        <v>9999</v>
      </c>
      <c r="F145" s="350">
        <f ca="1">Start.listina!T13</f>
        <v>0</v>
      </c>
      <c r="G145" s="7"/>
    </row>
    <row r="146" spans="1:7">
      <c r="A146" s="350" t="str">
        <f ca="1">Start.listina!O14</f>
        <v/>
      </c>
      <c r="B146" s="399" t="str">
        <f ca="1">Start.listina!P14</f>
        <v xml:space="preserve"> </v>
      </c>
      <c r="C146" s="350" t="str">
        <f ca="1">Start.listina!Q14</f>
        <v xml:space="preserve"> </v>
      </c>
      <c r="D146" s="350" t="str">
        <f ca="1">Start.listina!R14</f>
        <v xml:space="preserve"> </v>
      </c>
      <c r="E146" s="350">
        <f ca="1">Start.listina!S14</f>
        <v>9999</v>
      </c>
      <c r="F146" s="350">
        <f ca="1">Start.listina!T14</f>
        <v>0</v>
      </c>
      <c r="G146" s="7"/>
    </row>
    <row r="147" spans="1:7">
      <c r="A147" s="350" t="str">
        <f ca="1">Start.listina!O15</f>
        <v/>
      </c>
      <c r="B147" s="399" t="str">
        <f ca="1">Start.listina!P15</f>
        <v xml:space="preserve"> </v>
      </c>
      <c r="C147" s="350" t="str">
        <f ca="1">Start.listina!Q15</f>
        <v xml:space="preserve"> </v>
      </c>
      <c r="D147" s="350" t="str">
        <f ca="1">Start.listina!R15</f>
        <v xml:space="preserve"> </v>
      </c>
      <c r="E147" s="350">
        <f ca="1">Start.listina!S15</f>
        <v>9999</v>
      </c>
      <c r="F147" s="350">
        <f ca="1">Start.listina!T15</f>
        <v>0</v>
      </c>
      <c r="G147" s="7"/>
    </row>
    <row r="148" spans="1:7">
      <c r="A148" s="350" t="str">
        <f ca="1">Start.listina!O16</f>
        <v/>
      </c>
      <c r="B148" s="399" t="str">
        <f ca="1">Start.listina!P16</f>
        <v xml:space="preserve"> </v>
      </c>
      <c r="C148" s="350" t="str">
        <f ca="1">Start.listina!Q16</f>
        <v xml:space="preserve"> </v>
      </c>
      <c r="D148" s="350" t="str">
        <f ca="1">Start.listina!R16</f>
        <v xml:space="preserve"> </v>
      </c>
      <c r="E148" s="350">
        <f ca="1">Start.listina!S16</f>
        <v>9999</v>
      </c>
      <c r="F148" s="350">
        <f ca="1">Start.listina!T16</f>
        <v>0</v>
      </c>
      <c r="G148" s="7"/>
    </row>
    <row r="149" spans="1:7">
      <c r="A149" s="350" t="str">
        <f ca="1">Start.listina!O17</f>
        <v/>
      </c>
      <c r="B149" s="399" t="str">
        <f ca="1">Start.listina!P17</f>
        <v xml:space="preserve"> </v>
      </c>
      <c r="C149" s="350" t="str">
        <f ca="1">Start.listina!Q17</f>
        <v xml:space="preserve"> </v>
      </c>
      <c r="D149" s="350" t="str">
        <f ca="1">Start.listina!R17</f>
        <v xml:space="preserve"> </v>
      </c>
      <c r="E149" s="350">
        <f ca="1">Start.listina!S17</f>
        <v>9999</v>
      </c>
      <c r="F149" s="350">
        <f ca="1">Start.listina!T17</f>
        <v>0</v>
      </c>
      <c r="G149" s="7"/>
    </row>
    <row r="150" spans="1:7">
      <c r="A150" s="350" t="str">
        <f ca="1">Start.listina!O18</f>
        <v/>
      </c>
      <c r="B150" s="399" t="str">
        <f ca="1">Start.listina!P18</f>
        <v xml:space="preserve"> </v>
      </c>
      <c r="C150" s="350" t="str">
        <f ca="1">Start.listina!Q18</f>
        <v xml:space="preserve"> </v>
      </c>
      <c r="D150" s="350" t="str">
        <f ca="1">Start.listina!R18</f>
        <v xml:space="preserve"> </v>
      </c>
      <c r="E150" s="350">
        <f ca="1">Start.listina!S18</f>
        <v>9999</v>
      </c>
      <c r="F150" s="350">
        <f ca="1">Start.listina!T18</f>
        <v>0</v>
      </c>
      <c r="G150" s="7"/>
    </row>
    <row r="151" spans="1:7">
      <c r="A151" s="350" t="str">
        <f ca="1">Start.listina!O19</f>
        <v/>
      </c>
      <c r="B151" s="399" t="str">
        <f ca="1">Start.listina!P19</f>
        <v xml:space="preserve"> </v>
      </c>
      <c r="C151" s="350" t="str">
        <f ca="1">Start.listina!Q19</f>
        <v xml:space="preserve"> </v>
      </c>
      <c r="D151" s="350" t="str">
        <f ca="1">Start.listina!R19</f>
        <v xml:space="preserve"> </v>
      </c>
      <c r="E151" s="350">
        <f ca="1">Start.listina!S19</f>
        <v>9999</v>
      </c>
      <c r="F151" s="350">
        <f ca="1">Start.listina!T19</f>
        <v>0</v>
      </c>
      <c r="G151" s="7"/>
    </row>
    <row r="152" spans="1:7">
      <c r="A152" s="350" t="str">
        <f ca="1">Start.listina!O20</f>
        <v/>
      </c>
      <c r="B152" s="399" t="str">
        <f ca="1">Start.listina!P20</f>
        <v xml:space="preserve"> </v>
      </c>
      <c r="C152" s="350" t="str">
        <f ca="1">Start.listina!Q20</f>
        <v xml:space="preserve"> </v>
      </c>
      <c r="D152" s="350" t="str">
        <f ca="1">Start.listina!R20</f>
        <v xml:space="preserve"> </v>
      </c>
      <c r="E152" s="350">
        <f ca="1">Start.listina!S20</f>
        <v>9999</v>
      </c>
      <c r="F152" s="350">
        <f ca="1">Start.listina!T20</f>
        <v>0</v>
      </c>
      <c r="G152" s="7"/>
    </row>
    <row r="153" spans="1:7">
      <c r="A153" s="350" t="str">
        <f ca="1">Start.listina!O21</f>
        <v/>
      </c>
      <c r="B153" s="399" t="str">
        <f ca="1">Start.listina!P21</f>
        <v xml:space="preserve"> </v>
      </c>
      <c r="C153" s="350" t="str">
        <f ca="1">Start.listina!Q21</f>
        <v xml:space="preserve"> </v>
      </c>
      <c r="D153" s="350" t="str">
        <f ca="1">Start.listina!R21</f>
        <v xml:space="preserve"> </v>
      </c>
      <c r="E153" s="350">
        <f ca="1">Start.listina!S21</f>
        <v>9999</v>
      </c>
      <c r="F153" s="350">
        <f ca="1">Start.listina!T21</f>
        <v>0</v>
      </c>
      <c r="G153" s="7"/>
    </row>
    <row r="154" spans="1:7">
      <c r="A154" s="350" t="str">
        <f ca="1">Start.listina!O22</f>
        <v/>
      </c>
      <c r="B154" s="399" t="str">
        <f ca="1">Start.listina!P22</f>
        <v xml:space="preserve"> </v>
      </c>
      <c r="C154" s="350" t="str">
        <f ca="1">Start.listina!Q22</f>
        <v xml:space="preserve"> </v>
      </c>
      <c r="D154" s="350" t="str">
        <f ca="1">Start.listina!R22</f>
        <v xml:space="preserve"> </v>
      </c>
      <c r="E154" s="350">
        <f ca="1">Start.listina!S22</f>
        <v>9999</v>
      </c>
      <c r="F154" s="350">
        <f ca="1">Start.listina!T22</f>
        <v>0</v>
      </c>
      <c r="G154" s="7"/>
    </row>
    <row r="155" spans="1:7">
      <c r="A155" s="350" t="str">
        <f ca="1">Start.listina!O23</f>
        <v/>
      </c>
      <c r="B155" s="399" t="str">
        <f ca="1">Start.listina!P23</f>
        <v xml:space="preserve"> </v>
      </c>
      <c r="C155" s="350" t="str">
        <f ca="1">Start.listina!Q23</f>
        <v xml:space="preserve"> </v>
      </c>
      <c r="D155" s="350" t="str">
        <f ca="1">Start.listina!R23</f>
        <v xml:space="preserve"> </v>
      </c>
      <c r="E155" s="350">
        <f ca="1">Start.listina!S23</f>
        <v>9999</v>
      </c>
      <c r="F155" s="350">
        <f ca="1">Start.listina!T23</f>
        <v>0</v>
      </c>
      <c r="G155" s="7"/>
    </row>
    <row r="156" spans="1:7">
      <c r="A156" s="350" t="str">
        <f ca="1">Start.listina!O24</f>
        <v/>
      </c>
      <c r="B156" s="399" t="str">
        <f ca="1">Start.listina!P24</f>
        <v xml:space="preserve"> </v>
      </c>
      <c r="C156" s="350" t="str">
        <f ca="1">Start.listina!Q24</f>
        <v xml:space="preserve"> </v>
      </c>
      <c r="D156" s="350" t="str">
        <f ca="1">Start.listina!R24</f>
        <v xml:space="preserve"> </v>
      </c>
      <c r="E156" s="350">
        <f ca="1">Start.listina!S24</f>
        <v>9999</v>
      </c>
      <c r="F156" s="350">
        <f ca="1">Start.listina!T24</f>
        <v>0</v>
      </c>
      <c r="G156" s="7"/>
    </row>
    <row r="157" spans="1:7">
      <c r="A157" s="350" t="str">
        <f ca="1">Start.listina!O25</f>
        <v/>
      </c>
      <c r="B157" s="399" t="str">
        <f ca="1">Start.listina!P25</f>
        <v xml:space="preserve"> </v>
      </c>
      <c r="C157" s="350" t="str">
        <f ca="1">Start.listina!Q25</f>
        <v xml:space="preserve"> </v>
      </c>
      <c r="D157" s="350" t="str">
        <f ca="1">Start.listina!R25</f>
        <v xml:space="preserve"> </v>
      </c>
      <c r="E157" s="350">
        <f ca="1">Start.listina!S25</f>
        <v>9999</v>
      </c>
      <c r="F157" s="350">
        <f ca="1">Start.listina!T25</f>
        <v>0</v>
      </c>
      <c r="G157" s="7"/>
    </row>
    <row r="158" spans="1:7">
      <c r="A158" s="350" t="str">
        <f ca="1">Start.listina!O26</f>
        <v/>
      </c>
      <c r="B158" s="399" t="str">
        <f ca="1">Start.listina!P26</f>
        <v xml:space="preserve"> </v>
      </c>
      <c r="C158" s="350" t="str">
        <f ca="1">Start.listina!Q26</f>
        <v xml:space="preserve"> </v>
      </c>
      <c r="D158" s="350" t="str">
        <f ca="1">Start.listina!R26</f>
        <v xml:space="preserve"> </v>
      </c>
      <c r="E158" s="350">
        <f ca="1">Start.listina!S26</f>
        <v>9999</v>
      </c>
      <c r="F158" s="350">
        <f ca="1">Start.listina!T26</f>
        <v>0</v>
      </c>
      <c r="G158" s="7"/>
    </row>
    <row r="159" spans="1:7">
      <c r="A159" s="350" t="str">
        <f ca="1">Start.listina!O27</f>
        <v/>
      </c>
      <c r="B159" s="399" t="str">
        <f ca="1">Start.listina!P27</f>
        <v xml:space="preserve"> </v>
      </c>
      <c r="C159" s="350" t="str">
        <f ca="1">Start.listina!Q27</f>
        <v xml:space="preserve"> </v>
      </c>
      <c r="D159" s="350" t="str">
        <f ca="1">Start.listina!R27</f>
        <v xml:space="preserve"> </v>
      </c>
      <c r="E159" s="350">
        <f ca="1">Start.listina!S27</f>
        <v>9999</v>
      </c>
      <c r="F159" s="350">
        <f ca="1">Start.listina!T27</f>
        <v>0</v>
      </c>
      <c r="G159" s="7"/>
    </row>
    <row r="160" spans="1:7">
      <c r="A160" s="350" t="str">
        <f ca="1">Start.listina!O28</f>
        <v/>
      </c>
      <c r="B160" s="399" t="str">
        <f ca="1">Start.listina!P28</f>
        <v xml:space="preserve"> </v>
      </c>
      <c r="C160" s="350" t="str">
        <f ca="1">Start.listina!Q28</f>
        <v xml:space="preserve"> </v>
      </c>
      <c r="D160" s="350" t="str">
        <f ca="1">Start.listina!R28</f>
        <v xml:space="preserve"> </v>
      </c>
      <c r="E160" s="350">
        <f ca="1">Start.listina!S28</f>
        <v>9999</v>
      </c>
      <c r="F160" s="350">
        <f ca="1">Start.listina!T28</f>
        <v>0</v>
      </c>
      <c r="G160" s="7"/>
    </row>
    <row r="161" spans="1:7">
      <c r="A161" s="350" t="str">
        <f ca="1">Start.listina!O29</f>
        <v/>
      </c>
      <c r="B161" s="399" t="str">
        <f ca="1">Start.listina!P29</f>
        <v xml:space="preserve"> </v>
      </c>
      <c r="C161" s="350" t="str">
        <f ca="1">Start.listina!Q29</f>
        <v xml:space="preserve"> </v>
      </c>
      <c r="D161" s="350" t="str">
        <f ca="1">Start.listina!R29</f>
        <v xml:space="preserve"> </v>
      </c>
      <c r="E161" s="350">
        <f ca="1">Start.listina!S29</f>
        <v>9999</v>
      </c>
      <c r="F161" s="350">
        <f ca="1">Start.listina!T29</f>
        <v>0</v>
      </c>
      <c r="G161" s="7"/>
    </row>
    <row r="162" spans="1:7">
      <c r="A162" s="350" t="str">
        <f ca="1">Start.listina!O30</f>
        <v/>
      </c>
      <c r="B162" s="399" t="str">
        <f ca="1">Start.listina!P30</f>
        <v xml:space="preserve"> </v>
      </c>
      <c r="C162" s="350" t="str">
        <f ca="1">Start.listina!Q30</f>
        <v xml:space="preserve"> </v>
      </c>
      <c r="D162" s="350" t="str">
        <f ca="1">Start.listina!R30</f>
        <v xml:space="preserve"> </v>
      </c>
      <c r="E162" s="350">
        <f ca="1">Start.listina!S30</f>
        <v>9999</v>
      </c>
      <c r="F162" s="350">
        <f ca="1">Start.listina!T30</f>
        <v>0</v>
      </c>
      <c r="G162" s="7"/>
    </row>
    <row r="163" spans="1:7">
      <c r="A163" s="350" t="str">
        <f ca="1">Start.listina!O31</f>
        <v/>
      </c>
      <c r="B163" s="399" t="str">
        <f ca="1">Start.listina!P31</f>
        <v xml:space="preserve"> </v>
      </c>
      <c r="C163" s="350" t="str">
        <f ca="1">Start.listina!Q31</f>
        <v xml:space="preserve"> </v>
      </c>
      <c r="D163" s="350" t="str">
        <f ca="1">Start.listina!R31</f>
        <v xml:space="preserve"> </v>
      </c>
      <c r="E163" s="350">
        <f ca="1">Start.listina!S31</f>
        <v>9999</v>
      </c>
      <c r="F163" s="350">
        <f ca="1">Start.listina!T31</f>
        <v>0</v>
      </c>
      <c r="G163" s="7"/>
    </row>
    <row r="164" spans="1:7">
      <c r="A164" s="350" t="str">
        <f ca="1">Start.listina!O32</f>
        <v/>
      </c>
      <c r="B164" s="399" t="str">
        <f ca="1">Start.listina!P32</f>
        <v xml:space="preserve"> </v>
      </c>
      <c r="C164" s="350" t="str">
        <f ca="1">Start.listina!Q32</f>
        <v xml:space="preserve"> </v>
      </c>
      <c r="D164" s="350" t="str">
        <f ca="1">Start.listina!R32</f>
        <v xml:space="preserve"> </v>
      </c>
      <c r="E164" s="350">
        <f ca="1">Start.listina!S32</f>
        <v>9999</v>
      </c>
      <c r="F164" s="350">
        <f ca="1">Start.listina!T32</f>
        <v>0</v>
      </c>
      <c r="G164" s="7"/>
    </row>
    <row r="165" spans="1:7">
      <c r="A165" s="350" t="str">
        <f ca="1">Start.listina!O33</f>
        <v/>
      </c>
      <c r="B165" s="399" t="str">
        <f ca="1">Start.listina!P33</f>
        <v xml:space="preserve"> </v>
      </c>
      <c r="C165" s="350" t="str">
        <f ca="1">Start.listina!Q33</f>
        <v xml:space="preserve"> </v>
      </c>
      <c r="D165" s="350" t="str">
        <f ca="1">Start.listina!R33</f>
        <v xml:space="preserve"> </v>
      </c>
      <c r="E165" s="350">
        <f ca="1">Start.listina!S33</f>
        <v>9999</v>
      </c>
      <c r="F165" s="350">
        <f ca="1">Start.listina!T33</f>
        <v>0</v>
      </c>
      <c r="G165" s="7"/>
    </row>
    <row r="166" spans="1:7">
      <c r="A166" s="350" t="str">
        <f ca="1">Start.listina!O34</f>
        <v/>
      </c>
      <c r="B166" s="399" t="str">
        <f ca="1">Start.listina!P34</f>
        <v xml:space="preserve"> </v>
      </c>
      <c r="C166" s="350" t="str">
        <f ca="1">Start.listina!Q34</f>
        <v xml:space="preserve"> </v>
      </c>
      <c r="D166" s="350" t="str">
        <f ca="1">Start.listina!R34</f>
        <v xml:space="preserve"> </v>
      </c>
      <c r="E166" s="350">
        <f ca="1">Start.listina!S34</f>
        <v>9999</v>
      </c>
      <c r="F166" s="350">
        <f ca="1">Start.listina!T34</f>
        <v>0</v>
      </c>
      <c r="G166" s="7"/>
    </row>
    <row r="167" spans="1:7">
      <c r="A167" s="350" t="str">
        <f ca="1">Start.listina!O35</f>
        <v/>
      </c>
      <c r="B167" s="399" t="str">
        <f ca="1">Start.listina!P35</f>
        <v xml:space="preserve"> </v>
      </c>
      <c r="C167" s="350" t="str">
        <f ca="1">Start.listina!Q35</f>
        <v xml:space="preserve"> </v>
      </c>
      <c r="D167" s="350" t="str">
        <f ca="1">Start.listina!R35</f>
        <v xml:space="preserve"> </v>
      </c>
      <c r="E167" s="350">
        <f ca="1">Start.listina!S35</f>
        <v>9999</v>
      </c>
      <c r="F167" s="350">
        <f ca="1">Start.listina!T35</f>
        <v>0</v>
      </c>
      <c r="G167" s="7"/>
    </row>
    <row r="168" spans="1:7">
      <c r="A168" s="350" t="str">
        <f ca="1">Start.listina!O36</f>
        <v/>
      </c>
      <c r="B168" s="399" t="str">
        <f ca="1">Start.listina!P36</f>
        <v xml:space="preserve"> </v>
      </c>
      <c r="C168" s="350" t="str">
        <f ca="1">Start.listina!Q36</f>
        <v xml:space="preserve"> </v>
      </c>
      <c r="D168" s="350" t="str">
        <f ca="1">Start.listina!R36</f>
        <v xml:space="preserve"> </v>
      </c>
      <c r="E168" s="350">
        <f ca="1">Start.listina!S36</f>
        <v>9999</v>
      </c>
      <c r="F168" s="350">
        <f ca="1">Start.listina!T36</f>
        <v>0</v>
      </c>
      <c r="G168" s="7"/>
    </row>
    <row r="169" spans="1:7">
      <c r="A169" s="350" t="str">
        <f ca="1">Start.listina!O37</f>
        <v/>
      </c>
      <c r="B169" s="399" t="str">
        <f ca="1">Start.listina!P37</f>
        <v xml:space="preserve"> </v>
      </c>
      <c r="C169" s="350" t="str">
        <f ca="1">Start.listina!Q37</f>
        <v xml:space="preserve"> </v>
      </c>
      <c r="D169" s="350" t="str">
        <f ca="1">Start.listina!R37</f>
        <v xml:space="preserve"> </v>
      </c>
      <c r="E169" s="350">
        <f ca="1">Start.listina!S37</f>
        <v>9999</v>
      </c>
      <c r="F169" s="350">
        <f ca="1">Start.listina!T37</f>
        <v>0</v>
      </c>
      <c r="G169" s="7"/>
    </row>
    <row r="170" spans="1:7">
      <c r="A170" s="350" t="str">
        <f ca="1">Start.listina!O38</f>
        <v/>
      </c>
      <c r="B170" s="399" t="str">
        <f ca="1">Start.listina!P38</f>
        <v xml:space="preserve"> </v>
      </c>
      <c r="C170" s="350" t="str">
        <f ca="1">Start.listina!Q38</f>
        <v xml:space="preserve"> </v>
      </c>
      <c r="D170" s="350" t="str">
        <f ca="1">Start.listina!R38</f>
        <v xml:space="preserve"> </v>
      </c>
      <c r="E170" s="350">
        <f ca="1">Start.listina!S38</f>
        <v>9999</v>
      </c>
      <c r="F170" s="350">
        <f ca="1">Start.listina!T38</f>
        <v>0</v>
      </c>
      <c r="G170" s="7"/>
    </row>
    <row r="171" spans="1:7">
      <c r="A171" s="350" t="str">
        <f ca="1">Start.listina!O39</f>
        <v/>
      </c>
      <c r="B171" s="399" t="str">
        <f ca="1">Start.listina!P39</f>
        <v xml:space="preserve"> </v>
      </c>
      <c r="C171" s="350" t="str">
        <f ca="1">Start.listina!Q39</f>
        <v xml:space="preserve"> </v>
      </c>
      <c r="D171" s="350" t="str">
        <f ca="1">Start.listina!R39</f>
        <v xml:space="preserve"> </v>
      </c>
      <c r="E171" s="350">
        <f ca="1">Start.listina!S39</f>
        <v>9999</v>
      </c>
      <c r="F171" s="350">
        <f ca="1">Start.listina!T39</f>
        <v>0</v>
      </c>
      <c r="G171" s="7"/>
    </row>
    <row r="172" spans="1:7">
      <c r="A172" s="350" t="str">
        <f ca="1">Start.listina!O40</f>
        <v/>
      </c>
      <c r="B172" s="399" t="str">
        <f ca="1">Start.listina!P40</f>
        <v xml:space="preserve"> </v>
      </c>
      <c r="C172" s="350" t="str">
        <f ca="1">Start.listina!Q40</f>
        <v xml:space="preserve"> </v>
      </c>
      <c r="D172" s="350" t="str">
        <f ca="1">Start.listina!R40</f>
        <v xml:space="preserve"> </v>
      </c>
      <c r="E172" s="350">
        <f ca="1">Start.listina!S40</f>
        <v>9999</v>
      </c>
      <c r="F172" s="350">
        <f ca="1">Start.listina!T40</f>
        <v>0</v>
      </c>
      <c r="G172" s="7"/>
    </row>
    <row r="173" spans="1:7">
      <c r="A173" s="350" t="str">
        <f ca="1">Start.listina!O41</f>
        <v/>
      </c>
      <c r="B173" s="399" t="str">
        <f ca="1">Start.listina!P41</f>
        <v xml:space="preserve"> </v>
      </c>
      <c r="C173" s="350" t="str">
        <f ca="1">Start.listina!Q41</f>
        <v xml:space="preserve"> </v>
      </c>
      <c r="D173" s="350" t="str">
        <f ca="1">Start.listina!R41</f>
        <v xml:space="preserve"> </v>
      </c>
      <c r="E173" s="350">
        <f ca="1">Start.listina!S41</f>
        <v>9999</v>
      </c>
      <c r="F173" s="350">
        <f ca="1">Start.listina!T41</f>
        <v>0</v>
      </c>
      <c r="G173" s="7"/>
    </row>
    <row r="174" spans="1:7">
      <c r="A174" s="350" t="str">
        <f ca="1">Start.listina!O42</f>
        <v/>
      </c>
      <c r="B174" s="399" t="str">
        <f ca="1">Start.listina!P42</f>
        <v xml:space="preserve"> </v>
      </c>
      <c r="C174" s="350" t="str">
        <f ca="1">Start.listina!Q42</f>
        <v xml:space="preserve"> </v>
      </c>
      <c r="D174" s="350" t="str">
        <f ca="1">Start.listina!R42</f>
        <v xml:space="preserve"> </v>
      </c>
      <c r="E174" s="350">
        <f ca="1">Start.listina!S42</f>
        <v>9999</v>
      </c>
      <c r="F174" s="350">
        <f ca="1">Start.listina!T42</f>
        <v>0</v>
      </c>
      <c r="G174" s="7"/>
    </row>
    <row r="175" spans="1:7">
      <c r="A175" s="350" t="str">
        <f ca="1">Start.listina!O43</f>
        <v/>
      </c>
      <c r="B175" s="399" t="str">
        <f ca="1">Start.listina!P43</f>
        <v xml:space="preserve"> </v>
      </c>
      <c r="C175" s="350" t="str">
        <f ca="1">Start.listina!Q43</f>
        <v xml:space="preserve"> </v>
      </c>
      <c r="D175" s="350" t="str">
        <f ca="1">Start.listina!R43</f>
        <v xml:space="preserve"> </v>
      </c>
      <c r="E175" s="350">
        <f ca="1">Start.listina!S43</f>
        <v>9999</v>
      </c>
      <c r="F175" s="350">
        <f ca="1">Start.listina!T43</f>
        <v>0</v>
      </c>
      <c r="G175" s="7"/>
    </row>
    <row r="176" spans="1:7">
      <c r="A176" s="350" t="str">
        <f ca="1">Start.listina!O44</f>
        <v/>
      </c>
      <c r="B176" s="399" t="str">
        <f ca="1">Start.listina!P44</f>
        <v xml:space="preserve"> </v>
      </c>
      <c r="C176" s="350" t="str">
        <f ca="1">Start.listina!Q44</f>
        <v xml:space="preserve"> </v>
      </c>
      <c r="D176" s="350" t="str">
        <f ca="1">Start.listina!R44</f>
        <v xml:space="preserve"> </v>
      </c>
      <c r="E176" s="350">
        <f ca="1">Start.listina!S44</f>
        <v>9999</v>
      </c>
      <c r="F176" s="350">
        <f ca="1">Start.listina!T44</f>
        <v>0</v>
      </c>
      <c r="G176" s="7"/>
    </row>
    <row r="177" spans="1:7">
      <c r="A177" s="350" t="str">
        <f ca="1">Start.listina!O45</f>
        <v/>
      </c>
      <c r="B177" s="399" t="str">
        <f ca="1">Start.listina!P45</f>
        <v xml:space="preserve"> </v>
      </c>
      <c r="C177" s="350" t="str">
        <f ca="1">Start.listina!Q45</f>
        <v xml:space="preserve"> </v>
      </c>
      <c r="D177" s="350" t="str">
        <f ca="1">Start.listina!R45</f>
        <v xml:space="preserve"> </v>
      </c>
      <c r="E177" s="350">
        <f ca="1">Start.listina!S45</f>
        <v>9999</v>
      </c>
      <c r="F177" s="350">
        <f ca="1">Start.listina!T45</f>
        <v>0</v>
      </c>
      <c r="G177" s="7"/>
    </row>
    <row r="178" spans="1:7">
      <c r="A178" s="350" t="str">
        <f ca="1">Start.listina!O46</f>
        <v/>
      </c>
      <c r="B178" s="399" t="str">
        <f ca="1">Start.listina!P46</f>
        <v xml:space="preserve"> </v>
      </c>
      <c r="C178" s="350" t="str">
        <f ca="1">Start.listina!Q46</f>
        <v xml:space="preserve"> </v>
      </c>
      <c r="D178" s="350" t="str">
        <f ca="1">Start.listina!R46</f>
        <v xml:space="preserve"> </v>
      </c>
      <c r="E178" s="350">
        <f ca="1">Start.listina!S46</f>
        <v>9999</v>
      </c>
      <c r="F178" s="350">
        <f ca="1">Start.listina!T46</f>
        <v>0</v>
      </c>
      <c r="G178" s="7"/>
    </row>
    <row r="179" spans="1:7">
      <c r="A179" s="350" t="str">
        <f ca="1">Start.listina!O47</f>
        <v/>
      </c>
      <c r="B179" s="399" t="str">
        <f ca="1">Start.listina!P47</f>
        <v xml:space="preserve"> </v>
      </c>
      <c r="C179" s="350" t="str">
        <f ca="1">Start.listina!Q47</f>
        <v xml:space="preserve"> </v>
      </c>
      <c r="D179" s="350" t="str">
        <f ca="1">Start.listina!R47</f>
        <v xml:space="preserve"> </v>
      </c>
      <c r="E179" s="350">
        <f ca="1">Start.listina!S47</f>
        <v>9999</v>
      </c>
      <c r="F179" s="350">
        <f ca="1">Start.listina!T47</f>
        <v>0</v>
      </c>
      <c r="G179" s="7"/>
    </row>
    <row r="180" spans="1:7">
      <c r="A180" s="350" t="str">
        <f ca="1">Start.listina!O48</f>
        <v/>
      </c>
      <c r="B180" s="399" t="str">
        <f ca="1">Start.listina!P48</f>
        <v xml:space="preserve"> </v>
      </c>
      <c r="C180" s="350" t="str">
        <f ca="1">Start.listina!Q48</f>
        <v xml:space="preserve"> </v>
      </c>
      <c r="D180" s="350" t="str">
        <f ca="1">Start.listina!R48</f>
        <v xml:space="preserve"> </v>
      </c>
      <c r="E180" s="350">
        <f ca="1">Start.listina!S48</f>
        <v>9999</v>
      </c>
      <c r="F180" s="350">
        <f ca="1">Start.listina!T48</f>
        <v>0</v>
      </c>
      <c r="G180" s="7"/>
    </row>
    <row r="181" spans="1:7">
      <c r="A181" s="350" t="str">
        <f ca="1">Start.listina!O49</f>
        <v/>
      </c>
      <c r="B181" s="399" t="str">
        <f ca="1">Start.listina!P49</f>
        <v xml:space="preserve"> </v>
      </c>
      <c r="C181" s="350" t="str">
        <f ca="1">Start.listina!Q49</f>
        <v xml:space="preserve"> </v>
      </c>
      <c r="D181" s="350" t="str">
        <f ca="1">Start.listina!R49</f>
        <v xml:space="preserve"> </v>
      </c>
      <c r="E181" s="350">
        <f ca="1">Start.listina!S49</f>
        <v>9999</v>
      </c>
      <c r="F181" s="350">
        <f ca="1">Start.listina!T49</f>
        <v>0</v>
      </c>
      <c r="G181" s="7"/>
    </row>
    <row r="182" spans="1:7">
      <c r="A182" s="350" t="str">
        <f ca="1">Start.listina!O50</f>
        <v/>
      </c>
      <c r="B182" s="399" t="str">
        <f ca="1">Start.listina!P50</f>
        <v xml:space="preserve"> </v>
      </c>
      <c r="C182" s="350" t="str">
        <f ca="1">Start.listina!Q50</f>
        <v xml:space="preserve"> </v>
      </c>
      <c r="D182" s="350" t="str">
        <f ca="1">Start.listina!R50</f>
        <v xml:space="preserve"> </v>
      </c>
      <c r="E182" s="350">
        <f ca="1">Start.listina!S50</f>
        <v>9999</v>
      </c>
      <c r="F182" s="350">
        <f ca="1">Start.listina!T50</f>
        <v>0</v>
      </c>
      <c r="G182" s="7"/>
    </row>
    <row r="183" spans="1:7">
      <c r="A183" s="350" t="str">
        <f ca="1">Start.listina!O51</f>
        <v/>
      </c>
      <c r="B183" s="399" t="str">
        <f ca="1">Start.listina!P51</f>
        <v xml:space="preserve"> </v>
      </c>
      <c r="C183" s="350" t="str">
        <f ca="1">Start.listina!Q51</f>
        <v xml:space="preserve"> </v>
      </c>
      <c r="D183" s="350" t="str">
        <f ca="1">Start.listina!R51</f>
        <v xml:space="preserve"> </v>
      </c>
      <c r="E183" s="350">
        <f ca="1">Start.listina!S51</f>
        <v>9999</v>
      </c>
      <c r="F183" s="350">
        <f ca="1">Start.listina!T51</f>
        <v>0</v>
      </c>
      <c r="G183" s="7"/>
    </row>
    <row r="184" spans="1:7">
      <c r="A184" s="350" t="str">
        <f ca="1">Start.listina!O52</f>
        <v/>
      </c>
      <c r="B184" s="399" t="str">
        <f ca="1">Start.listina!P52</f>
        <v xml:space="preserve"> </v>
      </c>
      <c r="C184" s="350" t="str">
        <f ca="1">Start.listina!Q52</f>
        <v xml:space="preserve"> </v>
      </c>
      <c r="D184" s="350" t="str">
        <f ca="1">Start.listina!R52</f>
        <v xml:space="preserve"> </v>
      </c>
      <c r="E184" s="350">
        <f ca="1">Start.listina!S52</f>
        <v>9999</v>
      </c>
      <c r="F184" s="350">
        <f ca="1">Start.listina!T52</f>
        <v>0</v>
      </c>
      <c r="G184" s="7"/>
    </row>
    <row r="185" spans="1:7">
      <c r="A185" s="350" t="str">
        <f ca="1">Start.listina!O53</f>
        <v/>
      </c>
      <c r="B185" s="399" t="str">
        <f ca="1">Start.listina!P53</f>
        <v xml:space="preserve"> </v>
      </c>
      <c r="C185" s="350" t="str">
        <f ca="1">Start.listina!Q53</f>
        <v xml:space="preserve"> </v>
      </c>
      <c r="D185" s="350" t="str">
        <f ca="1">Start.listina!R53</f>
        <v xml:space="preserve"> </v>
      </c>
      <c r="E185" s="350">
        <f ca="1">Start.listina!S53</f>
        <v>9999</v>
      </c>
      <c r="F185" s="350">
        <f ca="1">Start.listina!T53</f>
        <v>0</v>
      </c>
      <c r="G185" s="7"/>
    </row>
    <row r="186" spans="1:7">
      <c r="A186" s="350" t="str">
        <f ca="1">Start.listina!O54</f>
        <v/>
      </c>
      <c r="B186" s="399" t="str">
        <f ca="1">Start.listina!P54</f>
        <v xml:space="preserve"> </v>
      </c>
      <c r="C186" s="350" t="str">
        <f ca="1">Start.listina!Q54</f>
        <v xml:space="preserve"> </v>
      </c>
      <c r="D186" s="350" t="str">
        <f ca="1">Start.listina!R54</f>
        <v xml:space="preserve"> </v>
      </c>
      <c r="E186" s="350">
        <f ca="1">Start.listina!S54</f>
        <v>9999</v>
      </c>
      <c r="F186" s="350">
        <f ca="1">Start.listina!T54</f>
        <v>0</v>
      </c>
      <c r="G186" s="7"/>
    </row>
    <row r="187" spans="1:7">
      <c r="A187" s="350" t="str">
        <f ca="1">Start.listina!O55</f>
        <v/>
      </c>
      <c r="B187" s="399" t="str">
        <f ca="1">Start.listina!P55</f>
        <v xml:space="preserve"> </v>
      </c>
      <c r="C187" s="350" t="str">
        <f ca="1">Start.listina!Q55</f>
        <v xml:space="preserve"> </v>
      </c>
      <c r="D187" s="350" t="str">
        <f ca="1">Start.listina!R55</f>
        <v xml:space="preserve"> </v>
      </c>
      <c r="E187" s="350">
        <f ca="1">Start.listina!S55</f>
        <v>9999</v>
      </c>
      <c r="F187" s="350">
        <f ca="1">Start.listina!T55</f>
        <v>0</v>
      </c>
      <c r="G187" s="7"/>
    </row>
    <row r="188" spans="1:7">
      <c r="A188" s="350" t="str">
        <f ca="1">Start.listina!O56</f>
        <v/>
      </c>
      <c r="B188" s="399" t="str">
        <f ca="1">Start.listina!P56</f>
        <v xml:space="preserve"> </v>
      </c>
      <c r="C188" s="350" t="str">
        <f ca="1">Start.listina!Q56</f>
        <v xml:space="preserve"> </v>
      </c>
      <c r="D188" s="350" t="str">
        <f ca="1">Start.listina!R56</f>
        <v xml:space="preserve"> </v>
      </c>
      <c r="E188" s="350">
        <f ca="1">Start.listina!S56</f>
        <v>9999</v>
      </c>
      <c r="F188" s="350">
        <f ca="1">Start.listina!T56</f>
        <v>0</v>
      </c>
      <c r="G188" s="7"/>
    </row>
    <row r="189" spans="1:7">
      <c r="A189" s="350" t="str">
        <f ca="1">Start.listina!O57</f>
        <v/>
      </c>
      <c r="B189" s="399" t="str">
        <f ca="1">Start.listina!P57</f>
        <v xml:space="preserve"> </v>
      </c>
      <c r="C189" s="350" t="str">
        <f ca="1">Start.listina!Q57</f>
        <v xml:space="preserve"> </v>
      </c>
      <c r="D189" s="350" t="str">
        <f ca="1">Start.listina!R57</f>
        <v xml:space="preserve"> </v>
      </c>
      <c r="E189" s="350">
        <f ca="1">Start.listina!S57</f>
        <v>9999</v>
      </c>
      <c r="F189" s="350">
        <f ca="1">Start.listina!T57</f>
        <v>0</v>
      </c>
      <c r="G189" s="7"/>
    </row>
    <row r="190" spans="1:7">
      <c r="A190" s="350" t="str">
        <f ca="1">Start.listina!O58</f>
        <v/>
      </c>
      <c r="B190" s="399" t="str">
        <f ca="1">Start.listina!P58</f>
        <v xml:space="preserve"> </v>
      </c>
      <c r="C190" s="350" t="str">
        <f ca="1">Start.listina!Q58</f>
        <v xml:space="preserve"> </v>
      </c>
      <c r="D190" s="350" t="str">
        <f ca="1">Start.listina!R58</f>
        <v xml:space="preserve"> </v>
      </c>
      <c r="E190" s="350">
        <f ca="1">Start.listina!S58</f>
        <v>9999</v>
      </c>
      <c r="F190" s="350">
        <f ca="1">Start.listina!T58</f>
        <v>0</v>
      </c>
      <c r="G190" s="7"/>
    </row>
    <row r="191" spans="1:7">
      <c r="A191" s="350" t="str">
        <f ca="1">Start.listina!O59</f>
        <v/>
      </c>
      <c r="B191" s="399" t="str">
        <f ca="1">Start.listina!P59</f>
        <v xml:space="preserve"> </v>
      </c>
      <c r="C191" s="350" t="str">
        <f ca="1">Start.listina!Q59</f>
        <v xml:space="preserve"> </v>
      </c>
      <c r="D191" s="350" t="str">
        <f ca="1">Start.listina!R59</f>
        <v xml:space="preserve"> </v>
      </c>
      <c r="E191" s="350">
        <f ca="1">Start.listina!S59</f>
        <v>9999</v>
      </c>
      <c r="F191" s="350">
        <f ca="1">Start.listina!T59</f>
        <v>0</v>
      </c>
      <c r="G191" s="7"/>
    </row>
    <row r="192" spans="1:7">
      <c r="A192" s="350" t="str">
        <f ca="1">Start.listina!O60</f>
        <v/>
      </c>
      <c r="B192" s="399" t="str">
        <f ca="1">Start.listina!P60</f>
        <v xml:space="preserve"> </v>
      </c>
      <c r="C192" s="350" t="str">
        <f ca="1">Start.listina!Q60</f>
        <v xml:space="preserve"> </v>
      </c>
      <c r="D192" s="350" t="str">
        <f ca="1">Start.listina!R60</f>
        <v xml:space="preserve"> </v>
      </c>
      <c r="E192" s="350">
        <f ca="1">Start.listina!S60</f>
        <v>9999</v>
      </c>
      <c r="F192" s="350">
        <f ca="1">Start.listina!T60</f>
        <v>0</v>
      </c>
      <c r="G192" s="7"/>
    </row>
    <row r="193" spans="1:7">
      <c r="A193" s="350" t="str">
        <f ca="1">Start.listina!O61</f>
        <v/>
      </c>
      <c r="B193" s="399" t="str">
        <f ca="1">Start.listina!P61</f>
        <v xml:space="preserve"> </v>
      </c>
      <c r="C193" s="350" t="str">
        <f ca="1">Start.listina!Q61</f>
        <v xml:space="preserve"> </v>
      </c>
      <c r="D193" s="350" t="str">
        <f ca="1">Start.listina!R61</f>
        <v xml:space="preserve"> </v>
      </c>
      <c r="E193" s="350">
        <f ca="1">Start.listina!S61</f>
        <v>9999</v>
      </c>
      <c r="F193" s="350">
        <f ca="1">Start.listina!T61</f>
        <v>0</v>
      </c>
      <c r="G193" s="7"/>
    </row>
    <row r="194" spans="1:7">
      <c r="A194" s="350" t="str">
        <f ca="1">Start.listina!O62</f>
        <v/>
      </c>
      <c r="B194" s="399" t="str">
        <f ca="1">Start.listina!P62</f>
        <v xml:space="preserve"> </v>
      </c>
      <c r="C194" s="350" t="str">
        <f ca="1">Start.listina!Q62</f>
        <v xml:space="preserve"> </v>
      </c>
      <c r="D194" s="350" t="str">
        <f ca="1">Start.listina!R62</f>
        <v xml:space="preserve"> </v>
      </c>
      <c r="E194" s="350">
        <f ca="1">Start.listina!S62</f>
        <v>9999</v>
      </c>
      <c r="F194" s="350">
        <f ca="1">Start.listina!T62</f>
        <v>0</v>
      </c>
      <c r="G194" s="7"/>
    </row>
    <row r="195" spans="1:7">
      <c r="A195" s="350" t="str">
        <f ca="1">Start.listina!O63</f>
        <v/>
      </c>
      <c r="B195" s="399" t="str">
        <f ca="1">Start.listina!P63</f>
        <v xml:space="preserve"> </v>
      </c>
      <c r="C195" s="350" t="str">
        <f ca="1">Start.listina!Q63</f>
        <v xml:space="preserve"> </v>
      </c>
      <c r="D195" s="350" t="str">
        <f ca="1">Start.listina!R63</f>
        <v xml:space="preserve"> </v>
      </c>
      <c r="E195" s="350">
        <f ca="1">Start.listina!S63</f>
        <v>9999</v>
      </c>
      <c r="F195" s="350">
        <f ca="1">Start.listina!T63</f>
        <v>0</v>
      </c>
      <c r="G195" s="7"/>
    </row>
    <row r="196" spans="1:7">
      <c r="A196" s="350" t="str">
        <f ca="1">Start.listina!O64</f>
        <v/>
      </c>
      <c r="B196" s="399" t="str">
        <f ca="1">Start.listina!P64</f>
        <v xml:space="preserve"> </v>
      </c>
      <c r="C196" s="350" t="str">
        <f ca="1">Start.listina!Q64</f>
        <v xml:space="preserve"> </v>
      </c>
      <c r="D196" s="350" t="str">
        <f ca="1">Start.listina!R64</f>
        <v xml:space="preserve"> </v>
      </c>
      <c r="E196" s="350">
        <f ca="1">Start.listina!S64</f>
        <v>9999</v>
      </c>
      <c r="F196" s="350">
        <f ca="1">Start.listina!T64</f>
        <v>0</v>
      </c>
      <c r="G196" s="7"/>
    </row>
    <row r="197" spans="1:7">
      <c r="A197" s="350" t="str">
        <f ca="1">Start.listina!O65</f>
        <v/>
      </c>
      <c r="B197" s="399" t="str">
        <f ca="1">Start.listina!P65</f>
        <v xml:space="preserve"> </v>
      </c>
      <c r="C197" s="350" t="str">
        <f ca="1">Start.listina!Q65</f>
        <v xml:space="preserve"> </v>
      </c>
      <c r="D197" s="350" t="str">
        <f ca="1">Start.listina!R65</f>
        <v xml:space="preserve"> </v>
      </c>
      <c r="E197" s="350">
        <f ca="1">Start.listina!S65</f>
        <v>9999</v>
      </c>
      <c r="F197" s="350">
        <f ca="1">Start.listina!T65</f>
        <v>0</v>
      </c>
      <c r="G197" s="7"/>
    </row>
    <row r="198" spans="1:7">
      <c r="A198" s="350" t="str">
        <f ca="1">Start.listina!O66</f>
        <v/>
      </c>
      <c r="B198" s="399" t="str">
        <f ca="1">Start.listina!P66</f>
        <v xml:space="preserve"> </v>
      </c>
      <c r="C198" s="350" t="str">
        <f ca="1">Start.listina!Q66</f>
        <v xml:space="preserve"> </v>
      </c>
      <c r="D198" s="350" t="str">
        <f ca="1">Start.listina!R66</f>
        <v xml:space="preserve"> </v>
      </c>
      <c r="E198" s="350">
        <f ca="1">Start.listina!S66</f>
        <v>9999</v>
      </c>
      <c r="F198" s="350">
        <f ca="1">Start.listina!T66</f>
        <v>0</v>
      </c>
      <c r="G198" s="7"/>
    </row>
    <row r="199" spans="1:7">
      <c r="A199" s="350" t="str">
        <f ca="1">Start.listina!O67</f>
        <v/>
      </c>
      <c r="B199" s="399" t="str">
        <f ca="1">Start.listina!P67</f>
        <v xml:space="preserve"> </v>
      </c>
      <c r="C199" s="350" t="str">
        <f ca="1">Start.listina!Q67</f>
        <v xml:space="preserve"> </v>
      </c>
      <c r="D199" s="350" t="str">
        <f ca="1">Start.listina!R67</f>
        <v xml:space="preserve"> </v>
      </c>
      <c r="E199" s="350">
        <f ca="1">Start.listina!S67</f>
        <v>9999</v>
      </c>
      <c r="F199" s="350">
        <f ca="1">Start.listina!T67</f>
        <v>0</v>
      </c>
      <c r="G199" s="7"/>
    </row>
    <row r="200" spans="1:7">
      <c r="A200" s="350" t="str">
        <f ca="1">Start.listina!O68</f>
        <v/>
      </c>
      <c r="B200" s="399" t="str">
        <f ca="1">Start.listina!P68</f>
        <v xml:space="preserve"> </v>
      </c>
      <c r="C200" s="350" t="str">
        <f ca="1">Start.listina!Q68</f>
        <v xml:space="preserve"> </v>
      </c>
      <c r="D200" s="350" t="str">
        <f ca="1">Start.listina!R68</f>
        <v xml:space="preserve"> </v>
      </c>
      <c r="E200" s="350">
        <f ca="1">Start.listina!S68</f>
        <v>9999</v>
      </c>
      <c r="F200" s="350">
        <f ca="1">Start.listina!T68</f>
        <v>0</v>
      </c>
      <c r="G200" s="7"/>
    </row>
    <row r="201" spans="1:7">
      <c r="A201" s="350" t="str">
        <f ca="1">Start.listina!O69</f>
        <v/>
      </c>
      <c r="B201" s="399" t="str">
        <f ca="1">Start.listina!P69</f>
        <v xml:space="preserve"> </v>
      </c>
      <c r="C201" s="350" t="str">
        <f ca="1">Start.listina!Q69</f>
        <v xml:space="preserve"> </v>
      </c>
      <c r="D201" s="350" t="str">
        <f ca="1">Start.listina!R69</f>
        <v xml:space="preserve"> </v>
      </c>
      <c r="E201" s="350">
        <f ca="1">Start.listina!S69</f>
        <v>9999</v>
      </c>
      <c r="F201" s="350">
        <f ca="1">Start.listina!T69</f>
        <v>0</v>
      </c>
      <c r="G201" s="7"/>
    </row>
    <row r="202" spans="1:7">
      <c r="A202" s="350" t="str">
        <f ca="1">Start.listina!O70</f>
        <v/>
      </c>
      <c r="B202" s="399" t="str">
        <f ca="1">Start.listina!P70</f>
        <v xml:space="preserve"> </v>
      </c>
      <c r="C202" s="350" t="str">
        <f ca="1">Start.listina!Q70</f>
        <v xml:space="preserve"> </v>
      </c>
      <c r="D202" s="350" t="str">
        <f ca="1">Start.listina!R70</f>
        <v xml:space="preserve"> </v>
      </c>
      <c r="E202" s="350">
        <f ca="1">Start.listina!S70</f>
        <v>9999</v>
      </c>
      <c r="F202" s="350">
        <f ca="1">Start.listina!T70</f>
        <v>0</v>
      </c>
      <c r="G202" s="7"/>
    </row>
    <row r="203" spans="1:7">
      <c r="A203" s="350" t="str">
        <f ca="1">Start.listina!O71</f>
        <v/>
      </c>
      <c r="B203" s="399" t="str">
        <f ca="1">Start.listina!P71</f>
        <v xml:space="preserve"> </v>
      </c>
      <c r="C203" s="350" t="str">
        <f ca="1">Start.listina!Q71</f>
        <v xml:space="preserve"> </v>
      </c>
      <c r="D203" s="350" t="str">
        <f ca="1">Start.listina!R71</f>
        <v xml:space="preserve"> </v>
      </c>
      <c r="E203" s="350">
        <f ca="1">Start.listina!S71</f>
        <v>9999</v>
      </c>
      <c r="F203" s="350">
        <f ca="1">Start.listina!T71</f>
        <v>0</v>
      </c>
      <c r="G203" s="7"/>
    </row>
    <row r="204" spans="1:7">
      <c r="A204" s="350" t="str">
        <f ca="1">Start.listina!O72</f>
        <v/>
      </c>
      <c r="B204" s="399" t="str">
        <f ca="1">Start.listina!P72</f>
        <v xml:space="preserve"> </v>
      </c>
      <c r="C204" s="350" t="str">
        <f ca="1">Start.listina!Q72</f>
        <v xml:space="preserve"> </v>
      </c>
      <c r="D204" s="350" t="str">
        <f ca="1">Start.listina!R72</f>
        <v xml:space="preserve"> </v>
      </c>
      <c r="E204" s="350">
        <f ca="1">Start.listina!S72</f>
        <v>9999</v>
      </c>
      <c r="F204" s="350">
        <f ca="1">Start.listina!T72</f>
        <v>0</v>
      </c>
      <c r="G204" s="7"/>
    </row>
    <row r="205" spans="1:7">
      <c r="A205" s="350" t="str">
        <f ca="1">Start.listina!O73</f>
        <v/>
      </c>
      <c r="B205" s="399" t="str">
        <f ca="1">Start.listina!P73</f>
        <v xml:space="preserve"> </v>
      </c>
      <c r="C205" s="350" t="str">
        <f ca="1">Start.listina!Q73</f>
        <v xml:space="preserve"> </v>
      </c>
      <c r="D205" s="350" t="str">
        <f ca="1">Start.listina!R73</f>
        <v xml:space="preserve"> </v>
      </c>
      <c r="E205" s="350">
        <f ca="1">Start.listina!S73</f>
        <v>9999</v>
      </c>
      <c r="F205" s="350">
        <f ca="1">Start.listina!T73</f>
        <v>0</v>
      </c>
      <c r="G205" s="7"/>
    </row>
    <row r="206" spans="1:7">
      <c r="A206" s="350" t="str">
        <f ca="1">Start.listina!O74</f>
        <v/>
      </c>
      <c r="B206" s="399" t="str">
        <f ca="1">Start.listina!P74</f>
        <v xml:space="preserve"> </v>
      </c>
      <c r="C206" s="350" t="str">
        <f ca="1">Start.listina!Q74</f>
        <v xml:space="preserve"> </v>
      </c>
      <c r="D206" s="350" t="str">
        <f ca="1">Start.listina!R74</f>
        <v xml:space="preserve"> </v>
      </c>
      <c r="E206" s="350">
        <f ca="1">Start.listina!S74</f>
        <v>9999</v>
      </c>
      <c r="F206" s="350">
        <f ca="1">Start.listina!T74</f>
        <v>0</v>
      </c>
      <c r="G206" s="7"/>
    </row>
    <row r="207" spans="1:7">
      <c r="A207" s="350" t="str">
        <f ca="1">Start.listina!O75</f>
        <v/>
      </c>
      <c r="B207" s="399" t="str">
        <f ca="1">Start.listina!P75</f>
        <v xml:space="preserve"> </v>
      </c>
      <c r="C207" s="350" t="str">
        <f ca="1">Start.listina!Q75</f>
        <v xml:space="preserve"> </v>
      </c>
      <c r="D207" s="350" t="str">
        <f ca="1">Start.listina!R75</f>
        <v xml:space="preserve"> </v>
      </c>
      <c r="E207" s="350">
        <f ca="1">Start.listina!S75</f>
        <v>9999</v>
      </c>
      <c r="F207" s="350">
        <f ca="1">Start.listina!T75</f>
        <v>0</v>
      </c>
      <c r="G207" s="7"/>
    </row>
    <row r="208" spans="1:7">
      <c r="A208" s="350" t="str">
        <f ca="1">Start.listina!O76</f>
        <v/>
      </c>
      <c r="B208" s="399" t="str">
        <f ca="1">Start.listina!P76</f>
        <v xml:space="preserve"> </v>
      </c>
      <c r="C208" s="350" t="str">
        <f ca="1">Start.listina!Q76</f>
        <v xml:space="preserve"> </v>
      </c>
      <c r="D208" s="350" t="str">
        <f ca="1">Start.listina!R76</f>
        <v xml:space="preserve"> </v>
      </c>
      <c r="E208" s="350">
        <f ca="1">Start.listina!S76</f>
        <v>9999</v>
      </c>
      <c r="F208" s="350">
        <f ca="1">Start.listina!T76</f>
        <v>0</v>
      </c>
      <c r="G208" s="7"/>
    </row>
    <row r="209" spans="1:7">
      <c r="A209" s="350" t="str">
        <f ca="1">Start.listina!O77</f>
        <v/>
      </c>
      <c r="B209" s="399" t="str">
        <f ca="1">Start.listina!P77</f>
        <v xml:space="preserve"> </v>
      </c>
      <c r="C209" s="350" t="str">
        <f ca="1">Start.listina!Q77</f>
        <v xml:space="preserve"> </v>
      </c>
      <c r="D209" s="350" t="str">
        <f ca="1">Start.listina!R77</f>
        <v xml:space="preserve"> </v>
      </c>
      <c r="E209" s="350">
        <f ca="1">Start.listina!S77</f>
        <v>9999</v>
      </c>
      <c r="F209" s="350">
        <f ca="1">Start.listina!T77</f>
        <v>0</v>
      </c>
      <c r="G209" s="7"/>
    </row>
    <row r="210" spans="1:7">
      <c r="A210" s="350" t="str">
        <f ca="1">Start.listina!O78</f>
        <v/>
      </c>
      <c r="B210" s="399" t="str">
        <f ca="1">Start.listina!P78</f>
        <v xml:space="preserve"> </v>
      </c>
      <c r="C210" s="350" t="str">
        <f ca="1">Start.listina!Q78</f>
        <v xml:space="preserve"> </v>
      </c>
      <c r="D210" s="350" t="str">
        <f ca="1">Start.listina!R78</f>
        <v xml:space="preserve"> </v>
      </c>
      <c r="E210" s="350">
        <f ca="1">Start.listina!S78</f>
        <v>9999</v>
      </c>
      <c r="F210" s="350">
        <f ca="1">Start.listina!T78</f>
        <v>0</v>
      </c>
      <c r="G210" s="7"/>
    </row>
    <row r="211" spans="1:7">
      <c r="A211" s="350" t="str">
        <f ca="1">Start.listina!O79</f>
        <v/>
      </c>
      <c r="B211" s="399" t="str">
        <f ca="1">Start.listina!P79</f>
        <v xml:space="preserve"> </v>
      </c>
      <c r="C211" s="350" t="str">
        <f ca="1">Start.listina!Q79</f>
        <v xml:space="preserve"> </v>
      </c>
      <c r="D211" s="350" t="str">
        <f ca="1">Start.listina!R79</f>
        <v xml:space="preserve"> </v>
      </c>
      <c r="E211" s="350">
        <f ca="1">Start.listina!S79</f>
        <v>9999</v>
      </c>
      <c r="F211" s="350">
        <f ca="1">Start.listina!T79</f>
        <v>0</v>
      </c>
      <c r="G211" s="7"/>
    </row>
    <row r="212" spans="1:7">
      <c r="A212" s="350" t="str">
        <f ca="1">Start.listina!O80</f>
        <v/>
      </c>
      <c r="B212" s="399" t="str">
        <f ca="1">Start.listina!P80</f>
        <v xml:space="preserve"> </v>
      </c>
      <c r="C212" s="350" t="str">
        <f ca="1">Start.listina!Q80</f>
        <v xml:space="preserve"> </v>
      </c>
      <c r="D212" s="350" t="str">
        <f ca="1">Start.listina!R80</f>
        <v xml:space="preserve"> </v>
      </c>
      <c r="E212" s="350">
        <f ca="1">Start.listina!S80</f>
        <v>9999</v>
      </c>
      <c r="F212" s="350">
        <f ca="1">Start.listina!T80</f>
        <v>0</v>
      </c>
      <c r="G212" s="7"/>
    </row>
    <row r="213" spans="1:7">
      <c r="A213" s="350" t="str">
        <f ca="1">Start.listina!O81</f>
        <v/>
      </c>
      <c r="B213" s="399" t="str">
        <f ca="1">Start.listina!P81</f>
        <v xml:space="preserve"> </v>
      </c>
      <c r="C213" s="350" t="str">
        <f ca="1">Start.listina!Q81</f>
        <v xml:space="preserve"> </v>
      </c>
      <c r="D213" s="350" t="str">
        <f ca="1">Start.listina!R81</f>
        <v xml:space="preserve"> </v>
      </c>
      <c r="E213" s="350">
        <f ca="1">Start.listina!S81</f>
        <v>9999</v>
      </c>
      <c r="F213" s="350">
        <f ca="1">Start.listina!T81</f>
        <v>0</v>
      </c>
      <c r="G213" s="7"/>
    </row>
    <row r="214" spans="1:7">
      <c r="A214" s="350" t="str">
        <f ca="1">Start.listina!O82</f>
        <v/>
      </c>
      <c r="B214" s="399" t="str">
        <f ca="1">Start.listina!P82</f>
        <v xml:space="preserve"> </v>
      </c>
      <c r="C214" s="350" t="str">
        <f ca="1">Start.listina!Q82</f>
        <v xml:space="preserve"> </v>
      </c>
      <c r="D214" s="350" t="str">
        <f ca="1">Start.listina!R82</f>
        <v xml:space="preserve"> </v>
      </c>
      <c r="E214" s="350">
        <f ca="1">Start.listina!S82</f>
        <v>9999</v>
      </c>
      <c r="F214" s="350">
        <f ca="1">Start.listina!T82</f>
        <v>0</v>
      </c>
      <c r="G214" s="7"/>
    </row>
    <row r="215" spans="1:7">
      <c r="A215" s="350" t="str">
        <f ca="1">Start.listina!O83</f>
        <v/>
      </c>
      <c r="B215" s="399" t="str">
        <f ca="1">Start.listina!P83</f>
        <v xml:space="preserve"> </v>
      </c>
      <c r="C215" s="350" t="str">
        <f ca="1">Start.listina!Q83</f>
        <v xml:space="preserve"> </v>
      </c>
      <c r="D215" s="350" t="str">
        <f ca="1">Start.listina!R83</f>
        <v xml:space="preserve"> </v>
      </c>
      <c r="E215" s="350">
        <f ca="1">Start.listina!S83</f>
        <v>9999</v>
      </c>
      <c r="F215" s="350">
        <f ca="1">Start.listina!T83</f>
        <v>0</v>
      </c>
      <c r="G215" s="7"/>
    </row>
    <row r="216" spans="1:7">
      <c r="A216" s="350" t="str">
        <f ca="1">Start.listina!O84</f>
        <v/>
      </c>
      <c r="B216" s="399" t="str">
        <f ca="1">Start.listina!P84</f>
        <v xml:space="preserve"> </v>
      </c>
      <c r="C216" s="350" t="str">
        <f ca="1">Start.listina!Q84</f>
        <v xml:space="preserve"> </v>
      </c>
      <c r="D216" s="350" t="str">
        <f ca="1">Start.listina!R84</f>
        <v xml:space="preserve"> </v>
      </c>
      <c r="E216" s="350">
        <f ca="1">Start.listina!S84</f>
        <v>9999</v>
      </c>
      <c r="F216" s="350">
        <f ca="1">Start.listina!T84</f>
        <v>0</v>
      </c>
      <c r="G216" s="7"/>
    </row>
    <row r="217" spans="1:7">
      <c r="A217" s="350" t="str">
        <f ca="1">Start.listina!O85</f>
        <v/>
      </c>
      <c r="B217" s="399" t="str">
        <f ca="1">Start.listina!P85</f>
        <v xml:space="preserve"> </v>
      </c>
      <c r="C217" s="350" t="str">
        <f ca="1">Start.listina!Q85</f>
        <v xml:space="preserve"> </v>
      </c>
      <c r="D217" s="350" t="str">
        <f ca="1">Start.listina!R85</f>
        <v xml:space="preserve"> </v>
      </c>
      <c r="E217" s="350">
        <f ca="1">Start.listina!S85</f>
        <v>9999</v>
      </c>
      <c r="F217" s="350">
        <f ca="1">Start.listina!T85</f>
        <v>0</v>
      </c>
      <c r="G217" s="7"/>
    </row>
    <row r="218" spans="1:7">
      <c r="A218" s="350" t="str">
        <f ca="1">Start.listina!O86</f>
        <v/>
      </c>
      <c r="B218" s="399" t="str">
        <f ca="1">Start.listina!P86</f>
        <v xml:space="preserve"> </v>
      </c>
      <c r="C218" s="350" t="str">
        <f ca="1">Start.listina!Q86</f>
        <v xml:space="preserve"> </v>
      </c>
      <c r="D218" s="350" t="str">
        <f ca="1">Start.listina!R86</f>
        <v xml:space="preserve"> </v>
      </c>
      <c r="E218" s="350">
        <f ca="1">Start.listina!S86</f>
        <v>9999</v>
      </c>
      <c r="F218" s="350">
        <f ca="1">Start.listina!T86</f>
        <v>0</v>
      </c>
      <c r="G218" s="7"/>
    </row>
    <row r="219" spans="1:7">
      <c r="A219" s="350" t="str">
        <f ca="1">Start.listina!O87</f>
        <v/>
      </c>
      <c r="B219" s="399" t="str">
        <f ca="1">Start.listina!P87</f>
        <v xml:space="preserve"> </v>
      </c>
      <c r="C219" s="350" t="str">
        <f ca="1">Start.listina!Q87</f>
        <v xml:space="preserve"> </v>
      </c>
      <c r="D219" s="350" t="str">
        <f ca="1">Start.listina!R87</f>
        <v xml:space="preserve"> </v>
      </c>
      <c r="E219" s="350">
        <f ca="1">Start.listina!S87</f>
        <v>9999</v>
      </c>
      <c r="F219" s="350">
        <f ca="1">Start.listina!T87</f>
        <v>0</v>
      </c>
      <c r="G219" s="7"/>
    </row>
    <row r="220" spans="1:7">
      <c r="A220" s="350" t="str">
        <f ca="1">Start.listina!O88</f>
        <v/>
      </c>
      <c r="B220" s="399" t="str">
        <f ca="1">Start.listina!P88</f>
        <v xml:space="preserve"> </v>
      </c>
      <c r="C220" s="350" t="str">
        <f ca="1">Start.listina!Q88</f>
        <v xml:space="preserve"> </v>
      </c>
      <c r="D220" s="350" t="str">
        <f ca="1">Start.listina!R88</f>
        <v xml:space="preserve"> </v>
      </c>
      <c r="E220" s="350">
        <f ca="1">Start.listina!S88</f>
        <v>9999</v>
      </c>
      <c r="F220" s="350">
        <f ca="1">Start.listina!T88</f>
        <v>0</v>
      </c>
      <c r="G220" s="7"/>
    </row>
    <row r="221" spans="1:7">
      <c r="A221" s="350" t="str">
        <f ca="1">Start.listina!O89</f>
        <v/>
      </c>
      <c r="B221" s="399" t="str">
        <f ca="1">Start.listina!P89</f>
        <v xml:space="preserve"> </v>
      </c>
      <c r="C221" s="350" t="str">
        <f ca="1">Start.listina!Q89</f>
        <v xml:space="preserve"> </v>
      </c>
      <c r="D221" s="350" t="str">
        <f ca="1">Start.listina!R89</f>
        <v xml:space="preserve"> </v>
      </c>
      <c r="E221" s="350">
        <f ca="1">Start.listina!S89</f>
        <v>9999</v>
      </c>
      <c r="F221" s="350">
        <f ca="1">Start.listina!T89</f>
        <v>0</v>
      </c>
      <c r="G221" s="7"/>
    </row>
    <row r="222" spans="1:7">
      <c r="A222" s="350" t="str">
        <f ca="1">Start.listina!O90</f>
        <v/>
      </c>
      <c r="B222" s="399" t="str">
        <f ca="1">Start.listina!P90</f>
        <v xml:space="preserve"> </v>
      </c>
      <c r="C222" s="350" t="str">
        <f ca="1">Start.listina!Q90</f>
        <v xml:space="preserve"> </v>
      </c>
      <c r="D222" s="350" t="str">
        <f ca="1">Start.listina!R90</f>
        <v xml:space="preserve"> </v>
      </c>
      <c r="E222" s="350">
        <f ca="1">Start.listina!S90</f>
        <v>9999</v>
      </c>
      <c r="F222" s="350">
        <f ca="1">Start.listina!T90</f>
        <v>0</v>
      </c>
      <c r="G222" s="7"/>
    </row>
    <row r="223" spans="1:7">
      <c r="A223" s="350" t="str">
        <f ca="1">Start.listina!O91</f>
        <v/>
      </c>
      <c r="B223" s="399" t="str">
        <f ca="1">Start.listina!P91</f>
        <v xml:space="preserve"> </v>
      </c>
      <c r="C223" s="350" t="str">
        <f ca="1">Start.listina!Q91</f>
        <v xml:space="preserve"> </v>
      </c>
      <c r="D223" s="350" t="str">
        <f ca="1">Start.listina!R91</f>
        <v xml:space="preserve"> </v>
      </c>
      <c r="E223" s="350">
        <f ca="1">Start.listina!S91</f>
        <v>9999</v>
      </c>
      <c r="F223" s="350">
        <f ca="1">Start.listina!T91</f>
        <v>0</v>
      </c>
      <c r="G223" s="7"/>
    </row>
    <row r="224" spans="1:7">
      <c r="A224" s="350" t="str">
        <f ca="1">Start.listina!O92</f>
        <v/>
      </c>
      <c r="B224" s="399" t="str">
        <f ca="1">Start.listina!P92</f>
        <v xml:space="preserve"> </v>
      </c>
      <c r="C224" s="350" t="str">
        <f ca="1">Start.listina!Q92</f>
        <v xml:space="preserve"> </v>
      </c>
      <c r="D224" s="350" t="str">
        <f ca="1">Start.listina!R92</f>
        <v xml:space="preserve"> </v>
      </c>
      <c r="E224" s="350">
        <f ca="1">Start.listina!S92</f>
        <v>9999</v>
      </c>
      <c r="F224" s="350">
        <f ca="1">Start.listina!T92</f>
        <v>0</v>
      </c>
      <c r="G224" s="7"/>
    </row>
    <row r="225" spans="1:7">
      <c r="A225" s="350" t="str">
        <f ca="1">Start.listina!O93</f>
        <v/>
      </c>
      <c r="B225" s="399" t="str">
        <f ca="1">Start.listina!P93</f>
        <v xml:space="preserve"> </v>
      </c>
      <c r="C225" s="350" t="str">
        <f ca="1">Start.listina!Q93</f>
        <v xml:space="preserve"> </v>
      </c>
      <c r="D225" s="350" t="str">
        <f ca="1">Start.listina!R93</f>
        <v xml:space="preserve"> </v>
      </c>
      <c r="E225" s="350">
        <f ca="1">Start.listina!S93</f>
        <v>9999</v>
      </c>
      <c r="F225" s="350">
        <f ca="1">Start.listina!T93</f>
        <v>0</v>
      </c>
      <c r="G225" s="7"/>
    </row>
    <row r="226" spans="1:7">
      <c r="A226" s="350" t="str">
        <f ca="1">Start.listina!O94</f>
        <v/>
      </c>
      <c r="B226" s="399" t="str">
        <f ca="1">Start.listina!P94</f>
        <v xml:space="preserve"> </v>
      </c>
      <c r="C226" s="350" t="str">
        <f ca="1">Start.listina!Q94</f>
        <v xml:space="preserve"> </v>
      </c>
      <c r="D226" s="350" t="str">
        <f ca="1">Start.listina!R94</f>
        <v xml:space="preserve"> </v>
      </c>
      <c r="E226" s="350">
        <f ca="1">Start.listina!S94</f>
        <v>9999</v>
      </c>
      <c r="F226" s="350">
        <f ca="1">Start.listina!T94</f>
        <v>0</v>
      </c>
      <c r="G226" s="7"/>
    </row>
    <row r="227" spans="1:7">
      <c r="A227" s="350" t="str">
        <f ca="1">Start.listina!O95</f>
        <v/>
      </c>
      <c r="B227" s="399" t="str">
        <f ca="1">Start.listina!P95</f>
        <v xml:space="preserve"> </v>
      </c>
      <c r="C227" s="350" t="str">
        <f ca="1">Start.listina!Q95</f>
        <v xml:space="preserve"> </v>
      </c>
      <c r="D227" s="350" t="str">
        <f ca="1">Start.listina!R95</f>
        <v xml:space="preserve"> </v>
      </c>
      <c r="E227" s="350">
        <f ca="1">Start.listina!S95</f>
        <v>9999</v>
      </c>
      <c r="F227" s="350">
        <f ca="1">Start.listina!T95</f>
        <v>0</v>
      </c>
      <c r="G227" s="7"/>
    </row>
    <row r="228" spans="1:7">
      <c r="A228" s="350" t="str">
        <f ca="1">Start.listina!O96</f>
        <v/>
      </c>
      <c r="B228" s="399" t="str">
        <f ca="1">Start.listina!P96</f>
        <v xml:space="preserve"> </v>
      </c>
      <c r="C228" s="350" t="str">
        <f ca="1">Start.listina!Q96</f>
        <v xml:space="preserve"> </v>
      </c>
      <c r="D228" s="350" t="str">
        <f ca="1">Start.listina!R96</f>
        <v xml:space="preserve"> </v>
      </c>
      <c r="E228" s="350">
        <f ca="1">Start.listina!S96</f>
        <v>9999</v>
      </c>
      <c r="F228" s="350">
        <f ca="1">Start.listina!T96</f>
        <v>0</v>
      </c>
      <c r="G228" s="7"/>
    </row>
    <row r="229" spans="1:7">
      <c r="A229" s="350" t="str">
        <f ca="1">Start.listina!O97</f>
        <v/>
      </c>
      <c r="B229" s="399" t="str">
        <f ca="1">Start.listina!P97</f>
        <v xml:space="preserve"> </v>
      </c>
      <c r="C229" s="350" t="str">
        <f ca="1">Start.listina!Q97</f>
        <v xml:space="preserve"> </v>
      </c>
      <c r="D229" s="350" t="str">
        <f ca="1">Start.listina!R97</f>
        <v xml:space="preserve"> </v>
      </c>
      <c r="E229" s="350">
        <f ca="1">Start.listina!S97</f>
        <v>9999</v>
      </c>
      <c r="F229" s="350">
        <f ca="1">Start.listina!T97</f>
        <v>0</v>
      </c>
      <c r="G229" s="7"/>
    </row>
    <row r="230" spans="1:7">
      <c r="A230" s="350" t="str">
        <f ca="1">Start.listina!O98</f>
        <v/>
      </c>
      <c r="B230" s="399" t="str">
        <f ca="1">Start.listina!P98</f>
        <v xml:space="preserve"> </v>
      </c>
      <c r="C230" s="350" t="str">
        <f ca="1">Start.listina!Q98</f>
        <v xml:space="preserve"> </v>
      </c>
      <c r="D230" s="350" t="str">
        <f ca="1">Start.listina!R98</f>
        <v xml:space="preserve"> </v>
      </c>
      <c r="E230" s="350">
        <f ca="1">Start.listina!S98</f>
        <v>9999</v>
      </c>
      <c r="F230" s="350">
        <f ca="1">Start.listina!T98</f>
        <v>0</v>
      </c>
      <c r="G230" s="7"/>
    </row>
    <row r="231" spans="1:7">
      <c r="A231" s="350" t="str">
        <f ca="1">Start.listina!O99</f>
        <v/>
      </c>
      <c r="B231" s="399" t="str">
        <f ca="1">Start.listina!P99</f>
        <v xml:space="preserve"> </v>
      </c>
      <c r="C231" s="350" t="str">
        <f ca="1">Start.listina!Q99</f>
        <v xml:space="preserve"> </v>
      </c>
      <c r="D231" s="350" t="str">
        <f ca="1">Start.listina!R99</f>
        <v xml:space="preserve"> </v>
      </c>
      <c r="E231" s="350">
        <f ca="1">Start.listina!S99</f>
        <v>9999</v>
      </c>
      <c r="F231" s="350">
        <f ca="1">Start.listina!T99</f>
        <v>0</v>
      </c>
      <c r="G231" s="7"/>
    </row>
    <row r="232" spans="1:7">
      <c r="A232" s="350" t="str">
        <f ca="1">Start.listina!O100</f>
        <v/>
      </c>
      <c r="B232" s="399" t="str">
        <f ca="1">Start.listina!P100</f>
        <v xml:space="preserve"> </v>
      </c>
      <c r="C232" s="350" t="str">
        <f ca="1">Start.listina!Q100</f>
        <v xml:space="preserve"> </v>
      </c>
      <c r="D232" s="350" t="str">
        <f ca="1">Start.listina!R100</f>
        <v xml:space="preserve"> </v>
      </c>
      <c r="E232" s="350">
        <f ca="1">Start.listina!S100</f>
        <v>9999</v>
      </c>
      <c r="F232" s="350">
        <f ca="1">Start.listina!T100</f>
        <v>0</v>
      </c>
      <c r="G232" s="7"/>
    </row>
    <row r="233" spans="1:7">
      <c r="A233" s="350" t="str">
        <f ca="1">Start.listina!O101</f>
        <v/>
      </c>
      <c r="B233" s="399" t="str">
        <f ca="1">Start.listina!P101</f>
        <v xml:space="preserve"> </v>
      </c>
      <c r="C233" s="350" t="str">
        <f ca="1">Start.listina!Q101</f>
        <v xml:space="preserve"> </v>
      </c>
      <c r="D233" s="350" t="str">
        <f ca="1">Start.listina!R101</f>
        <v xml:space="preserve"> </v>
      </c>
      <c r="E233" s="350">
        <f ca="1">Start.listina!S101</f>
        <v>9999</v>
      </c>
      <c r="F233" s="350">
        <f ca="1">Start.listina!T101</f>
        <v>0</v>
      </c>
      <c r="G233" s="7"/>
    </row>
    <row r="234" spans="1:7">
      <c r="A234" s="350" t="str">
        <f ca="1">Start.listina!O102</f>
        <v/>
      </c>
      <c r="B234" s="399" t="str">
        <f ca="1">Start.listina!P102</f>
        <v xml:space="preserve"> </v>
      </c>
      <c r="C234" s="350" t="str">
        <f ca="1">Start.listina!Q102</f>
        <v xml:space="preserve"> </v>
      </c>
      <c r="D234" s="350" t="str">
        <f ca="1">Start.listina!R102</f>
        <v xml:space="preserve"> </v>
      </c>
      <c r="E234" s="350">
        <f ca="1">Start.listina!S102</f>
        <v>9999</v>
      </c>
      <c r="F234" s="350">
        <f ca="1">Start.listina!T102</f>
        <v>0</v>
      </c>
      <c r="G234" s="7"/>
    </row>
    <row r="235" spans="1:7">
      <c r="A235" s="350" t="str">
        <f ca="1">Start.listina!O103</f>
        <v/>
      </c>
      <c r="B235" s="399" t="str">
        <f ca="1">Start.listina!P103</f>
        <v xml:space="preserve"> </v>
      </c>
      <c r="C235" s="350" t="str">
        <f ca="1">Start.listina!Q103</f>
        <v xml:space="preserve"> </v>
      </c>
      <c r="D235" s="350" t="str">
        <f ca="1">Start.listina!R103</f>
        <v xml:space="preserve"> </v>
      </c>
      <c r="E235" s="350">
        <f ca="1">Start.listina!S103</f>
        <v>9999</v>
      </c>
      <c r="F235" s="350">
        <f ca="1">Start.listina!T103</f>
        <v>0</v>
      </c>
      <c r="G235" s="7"/>
    </row>
    <row r="236" spans="1:7">
      <c r="A236" s="350" t="str">
        <f ca="1">Start.listina!O104</f>
        <v/>
      </c>
      <c r="B236" s="399" t="str">
        <f ca="1">Start.listina!P104</f>
        <v xml:space="preserve"> </v>
      </c>
      <c r="C236" s="350" t="str">
        <f ca="1">Start.listina!Q104</f>
        <v xml:space="preserve"> </v>
      </c>
      <c r="D236" s="350" t="str">
        <f ca="1">Start.listina!R104</f>
        <v xml:space="preserve"> </v>
      </c>
      <c r="E236" s="350">
        <f ca="1">Start.listina!S104</f>
        <v>9999</v>
      </c>
      <c r="F236" s="350">
        <f ca="1">Start.listina!T104</f>
        <v>0</v>
      </c>
      <c r="G236" s="7"/>
    </row>
    <row r="237" spans="1:7">
      <c r="A237" s="350" t="str">
        <f ca="1">Start.listina!O105</f>
        <v/>
      </c>
      <c r="B237" s="399" t="str">
        <f ca="1">Start.listina!P105</f>
        <v xml:space="preserve"> </v>
      </c>
      <c r="C237" s="350" t="str">
        <f ca="1">Start.listina!Q105</f>
        <v xml:space="preserve"> </v>
      </c>
      <c r="D237" s="350" t="str">
        <f ca="1">Start.listina!R105</f>
        <v xml:space="preserve"> </v>
      </c>
      <c r="E237" s="350">
        <f ca="1">Start.listina!S105</f>
        <v>9999</v>
      </c>
      <c r="F237" s="350">
        <f ca="1">Start.listina!T105</f>
        <v>0</v>
      </c>
      <c r="G237" s="7"/>
    </row>
    <row r="238" spans="1:7">
      <c r="A238" s="350" t="str">
        <f ca="1">Start.listina!O106</f>
        <v/>
      </c>
      <c r="B238" s="399" t="str">
        <f ca="1">Start.listina!P106</f>
        <v xml:space="preserve"> </v>
      </c>
      <c r="C238" s="350" t="str">
        <f ca="1">Start.listina!Q106</f>
        <v xml:space="preserve"> </v>
      </c>
      <c r="D238" s="350" t="str">
        <f ca="1">Start.listina!R106</f>
        <v xml:space="preserve"> </v>
      </c>
      <c r="E238" s="350">
        <f ca="1">Start.listina!S106</f>
        <v>9999</v>
      </c>
      <c r="F238" s="350">
        <f ca="1">Start.listina!T106</f>
        <v>0</v>
      </c>
      <c r="G238" s="7"/>
    </row>
    <row r="239" spans="1:7">
      <c r="A239" s="350" t="str">
        <f ca="1">Start.listina!O107</f>
        <v/>
      </c>
      <c r="B239" s="399" t="str">
        <f ca="1">Start.listina!P107</f>
        <v xml:space="preserve"> </v>
      </c>
      <c r="C239" s="350" t="str">
        <f ca="1">Start.listina!Q107</f>
        <v xml:space="preserve"> </v>
      </c>
      <c r="D239" s="350" t="str">
        <f ca="1">Start.listina!R107</f>
        <v xml:space="preserve"> </v>
      </c>
      <c r="E239" s="350">
        <f ca="1">Start.listina!S107</f>
        <v>9999</v>
      </c>
      <c r="F239" s="350">
        <f ca="1">Start.listina!T107</f>
        <v>0</v>
      </c>
      <c r="G239" s="7"/>
    </row>
    <row r="240" spans="1:7">
      <c r="A240" s="350" t="str">
        <f ca="1">Start.listina!O108</f>
        <v/>
      </c>
      <c r="B240" s="399" t="str">
        <f ca="1">Start.listina!P108</f>
        <v xml:space="preserve"> </v>
      </c>
      <c r="C240" s="350" t="str">
        <f ca="1">Start.listina!Q108</f>
        <v xml:space="preserve"> </v>
      </c>
      <c r="D240" s="350" t="str">
        <f ca="1">Start.listina!R108</f>
        <v xml:space="preserve"> </v>
      </c>
      <c r="E240" s="350">
        <f ca="1">Start.listina!S108</f>
        <v>9999</v>
      </c>
      <c r="F240" s="350">
        <f ca="1">Start.listina!T108</f>
        <v>0</v>
      </c>
      <c r="G240" s="7"/>
    </row>
    <row r="241" spans="1:7">
      <c r="A241" s="350" t="str">
        <f ca="1">Start.listina!O109</f>
        <v/>
      </c>
      <c r="B241" s="399" t="str">
        <f ca="1">Start.listina!P109</f>
        <v xml:space="preserve"> </v>
      </c>
      <c r="C241" s="350" t="str">
        <f ca="1">Start.listina!Q109</f>
        <v xml:space="preserve"> </v>
      </c>
      <c r="D241" s="350" t="str">
        <f ca="1">Start.listina!R109</f>
        <v xml:space="preserve"> </v>
      </c>
      <c r="E241" s="350">
        <f ca="1">Start.listina!S109</f>
        <v>9999</v>
      </c>
      <c r="F241" s="350">
        <f ca="1">Start.listina!T109</f>
        <v>0</v>
      </c>
      <c r="G241" s="7"/>
    </row>
    <row r="242" spans="1:7">
      <c r="A242" s="350" t="str">
        <f ca="1">Start.listina!O110</f>
        <v/>
      </c>
      <c r="B242" s="399" t="str">
        <f ca="1">Start.listina!P110</f>
        <v xml:space="preserve"> </v>
      </c>
      <c r="C242" s="350" t="str">
        <f ca="1">Start.listina!Q110</f>
        <v xml:space="preserve"> </v>
      </c>
      <c r="D242" s="350" t="str">
        <f ca="1">Start.listina!R110</f>
        <v xml:space="preserve"> </v>
      </c>
      <c r="E242" s="350">
        <f ca="1">Start.listina!S110</f>
        <v>9999</v>
      </c>
      <c r="F242" s="350">
        <f ca="1">Start.listina!T110</f>
        <v>0</v>
      </c>
      <c r="G242" s="7"/>
    </row>
    <row r="243" spans="1:7">
      <c r="A243" s="350" t="str">
        <f ca="1">Start.listina!O111</f>
        <v/>
      </c>
      <c r="B243" s="399" t="str">
        <f ca="1">Start.listina!P111</f>
        <v xml:space="preserve"> </v>
      </c>
      <c r="C243" s="350" t="str">
        <f ca="1">Start.listina!Q111</f>
        <v xml:space="preserve"> </v>
      </c>
      <c r="D243" s="350" t="str">
        <f ca="1">Start.listina!R111</f>
        <v xml:space="preserve"> </v>
      </c>
      <c r="E243" s="350">
        <f ca="1">Start.listina!S111</f>
        <v>9999</v>
      </c>
      <c r="F243" s="350">
        <f ca="1">Start.listina!T111</f>
        <v>0</v>
      </c>
      <c r="G243" s="7"/>
    </row>
    <row r="244" spans="1:7">
      <c r="A244" s="350" t="str">
        <f ca="1">Start.listina!O112</f>
        <v/>
      </c>
      <c r="B244" s="399" t="str">
        <f ca="1">Start.listina!P112</f>
        <v xml:space="preserve"> </v>
      </c>
      <c r="C244" s="350" t="str">
        <f ca="1">Start.listina!Q112</f>
        <v xml:space="preserve"> </v>
      </c>
      <c r="D244" s="350" t="str">
        <f ca="1">Start.listina!R112</f>
        <v xml:space="preserve"> </v>
      </c>
      <c r="E244" s="350">
        <f ca="1">Start.listina!S112</f>
        <v>9999</v>
      </c>
      <c r="F244" s="350">
        <f ca="1">Start.listina!T112</f>
        <v>0</v>
      </c>
      <c r="G244" s="7"/>
    </row>
    <row r="245" spans="1:7">
      <c r="A245" s="350" t="str">
        <f ca="1">Start.listina!O113</f>
        <v/>
      </c>
      <c r="B245" s="399" t="str">
        <f ca="1">Start.listina!P113</f>
        <v xml:space="preserve"> </v>
      </c>
      <c r="C245" s="350" t="str">
        <f ca="1">Start.listina!Q113</f>
        <v xml:space="preserve"> </v>
      </c>
      <c r="D245" s="350" t="str">
        <f ca="1">Start.listina!R113</f>
        <v xml:space="preserve"> </v>
      </c>
      <c r="E245" s="350">
        <f ca="1">Start.listina!S113</f>
        <v>9999</v>
      </c>
      <c r="F245" s="350">
        <f ca="1">Start.listina!T113</f>
        <v>0</v>
      </c>
      <c r="G245" s="7"/>
    </row>
    <row r="246" spans="1:7">
      <c r="A246" s="350" t="str">
        <f ca="1">Start.listina!O114</f>
        <v/>
      </c>
      <c r="B246" s="399" t="str">
        <f ca="1">Start.listina!P114</f>
        <v xml:space="preserve"> </v>
      </c>
      <c r="C246" s="350" t="str">
        <f ca="1">Start.listina!Q114</f>
        <v xml:space="preserve"> </v>
      </c>
      <c r="D246" s="350" t="str">
        <f ca="1">Start.listina!R114</f>
        <v xml:space="preserve"> </v>
      </c>
      <c r="E246" s="350">
        <f ca="1">Start.listina!S114</f>
        <v>9999</v>
      </c>
      <c r="F246" s="350">
        <f ca="1">Start.listina!T114</f>
        <v>0</v>
      </c>
      <c r="G246" s="7"/>
    </row>
    <row r="247" spans="1:7">
      <c r="A247" s="350" t="str">
        <f ca="1">Start.listina!O115</f>
        <v/>
      </c>
      <c r="B247" s="399" t="str">
        <f ca="1">Start.listina!P115</f>
        <v xml:space="preserve"> </v>
      </c>
      <c r="C247" s="350" t="str">
        <f ca="1">Start.listina!Q115</f>
        <v xml:space="preserve"> </v>
      </c>
      <c r="D247" s="350" t="str">
        <f ca="1">Start.listina!R115</f>
        <v xml:space="preserve"> </v>
      </c>
      <c r="E247" s="350">
        <f ca="1">Start.listina!S115</f>
        <v>9999</v>
      </c>
      <c r="F247" s="350">
        <f ca="1">Start.listina!T115</f>
        <v>0</v>
      </c>
      <c r="G247" s="7"/>
    </row>
    <row r="248" spans="1:7">
      <c r="A248" s="350" t="str">
        <f ca="1">Start.listina!O116</f>
        <v/>
      </c>
      <c r="B248" s="399" t="str">
        <f ca="1">Start.listina!P116</f>
        <v xml:space="preserve"> </v>
      </c>
      <c r="C248" s="350" t="str">
        <f ca="1">Start.listina!Q116</f>
        <v xml:space="preserve"> </v>
      </c>
      <c r="D248" s="350" t="str">
        <f ca="1">Start.listina!R116</f>
        <v xml:space="preserve"> </v>
      </c>
      <c r="E248" s="350">
        <f ca="1">Start.listina!S116</f>
        <v>9999</v>
      </c>
      <c r="F248" s="350">
        <f ca="1">Start.listina!T116</f>
        <v>0</v>
      </c>
      <c r="G248" s="7"/>
    </row>
    <row r="249" spans="1:7">
      <c r="A249" s="350" t="str">
        <f ca="1">Start.listina!O117</f>
        <v/>
      </c>
      <c r="B249" s="399" t="str">
        <f ca="1">Start.listina!P117</f>
        <v xml:space="preserve"> </v>
      </c>
      <c r="C249" s="350" t="str">
        <f ca="1">Start.listina!Q117</f>
        <v xml:space="preserve"> </v>
      </c>
      <c r="D249" s="350" t="str">
        <f ca="1">Start.listina!R117</f>
        <v xml:space="preserve"> </v>
      </c>
      <c r="E249" s="350">
        <f ca="1">Start.listina!S117</f>
        <v>9999</v>
      </c>
      <c r="F249" s="350">
        <f ca="1">Start.listina!T117</f>
        <v>0</v>
      </c>
      <c r="G249" s="7"/>
    </row>
    <row r="250" spans="1:7">
      <c r="A250" s="350" t="str">
        <f ca="1">Start.listina!O118</f>
        <v/>
      </c>
      <c r="B250" s="399" t="str">
        <f ca="1">Start.listina!P118</f>
        <v xml:space="preserve"> </v>
      </c>
      <c r="C250" s="350" t="str">
        <f ca="1">Start.listina!Q118</f>
        <v xml:space="preserve"> </v>
      </c>
      <c r="D250" s="350" t="str">
        <f ca="1">Start.listina!R118</f>
        <v xml:space="preserve"> </v>
      </c>
      <c r="E250" s="350">
        <f ca="1">Start.listina!S118</f>
        <v>9999</v>
      </c>
      <c r="F250" s="350">
        <f ca="1">Start.listina!T118</f>
        <v>0</v>
      </c>
      <c r="G250" s="7"/>
    </row>
    <row r="251" spans="1:7">
      <c r="A251" s="350" t="str">
        <f ca="1">Start.listina!O119</f>
        <v/>
      </c>
      <c r="B251" s="399" t="str">
        <f ca="1">Start.listina!P119</f>
        <v xml:space="preserve"> </v>
      </c>
      <c r="C251" s="350" t="str">
        <f ca="1">Start.listina!Q119</f>
        <v xml:space="preserve"> </v>
      </c>
      <c r="D251" s="350" t="str">
        <f ca="1">Start.listina!R119</f>
        <v xml:space="preserve"> </v>
      </c>
      <c r="E251" s="350">
        <f ca="1">Start.listina!S119</f>
        <v>9999</v>
      </c>
      <c r="F251" s="350">
        <f ca="1">Start.listina!T119</f>
        <v>0</v>
      </c>
      <c r="G251" s="7"/>
    </row>
    <row r="252" spans="1:7">
      <c r="A252" s="350" t="str">
        <f ca="1">Start.listina!O120</f>
        <v/>
      </c>
      <c r="B252" s="399" t="str">
        <f ca="1">Start.listina!P120</f>
        <v xml:space="preserve"> </v>
      </c>
      <c r="C252" s="350" t="str">
        <f ca="1">Start.listina!Q120</f>
        <v xml:space="preserve"> </v>
      </c>
      <c r="D252" s="350" t="str">
        <f ca="1">Start.listina!R120</f>
        <v xml:space="preserve"> </v>
      </c>
      <c r="E252" s="350">
        <f ca="1">Start.listina!S120</f>
        <v>9999</v>
      </c>
      <c r="F252" s="350">
        <f ca="1">Start.listina!T120</f>
        <v>0</v>
      </c>
      <c r="G252" s="7"/>
    </row>
    <row r="253" spans="1:7">
      <c r="A253" s="350" t="str">
        <f ca="1">Start.listina!O121</f>
        <v/>
      </c>
      <c r="B253" s="399" t="str">
        <f ca="1">Start.listina!P121</f>
        <v xml:space="preserve"> </v>
      </c>
      <c r="C253" s="350" t="str">
        <f ca="1">Start.listina!Q121</f>
        <v xml:space="preserve"> </v>
      </c>
      <c r="D253" s="350" t="str">
        <f ca="1">Start.listina!R121</f>
        <v xml:space="preserve"> </v>
      </c>
      <c r="E253" s="350">
        <f ca="1">Start.listina!S121</f>
        <v>9999</v>
      </c>
      <c r="F253" s="350">
        <f ca="1">Start.listina!T121</f>
        <v>0</v>
      </c>
      <c r="G253" s="7"/>
    </row>
    <row r="254" spans="1:7">
      <c r="A254" s="350" t="str">
        <f ca="1">Start.listina!O122</f>
        <v/>
      </c>
      <c r="B254" s="399" t="str">
        <f ca="1">Start.listina!P122</f>
        <v xml:space="preserve"> </v>
      </c>
      <c r="C254" s="350" t="str">
        <f ca="1">Start.listina!Q122</f>
        <v xml:space="preserve"> </v>
      </c>
      <c r="D254" s="350" t="str">
        <f ca="1">Start.listina!R122</f>
        <v xml:space="preserve"> </v>
      </c>
      <c r="E254" s="350">
        <f ca="1">Start.listina!S122</f>
        <v>9999</v>
      </c>
      <c r="F254" s="350">
        <f ca="1">Start.listina!T122</f>
        <v>0</v>
      </c>
      <c r="G254" s="7"/>
    </row>
    <row r="255" spans="1:7">
      <c r="A255" s="350" t="str">
        <f ca="1">Start.listina!O123</f>
        <v/>
      </c>
      <c r="B255" s="399" t="str">
        <f ca="1">Start.listina!P123</f>
        <v xml:space="preserve"> </v>
      </c>
      <c r="C255" s="350" t="str">
        <f ca="1">Start.listina!Q123</f>
        <v xml:space="preserve"> </v>
      </c>
      <c r="D255" s="350" t="str">
        <f ca="1">Start.listina!R123</f>
        <v xml:space="preserve"> </v>
      </c>
      <c r="E255" s="350">
        <f ca="1">Start.listina!S123</f>
        <v>9999</v>
      </c>
      <c r="F255" s="350">
        <f ca="1">Start.listina!T123</f>
        <v>0</v>
      </c>
      <c r="G255" s="7"/>
    </row>
    <row r="256" spans="1:7">
      <c r="A256" s="350" t="str">
        <f ca="1">Start.listina!O124</f>
        <v/>
      </c>
      <c r="B256" s="399" t="str">
        <f ca="1">Start.listina!P124</f>
        <v xml:space="preserve"> </v>
      </c>
      <c r="C256" s="350" t="str">
        <f ca="1">Start.listina!Q124</f>
        <v xml:space="preserve"> </v>
      </c>
      <c r="D256" s="350" t="str">
        <f ca="1">Start.listina!R124</f>
        <v xml:space="preserve"> </v>
      </c>
      <c r="E256" s="350">
        <f ca="1">Start.listina!S124</f>
        <v>9999</v>
      </c>
      <c r="F256" s="350">
        <f ca="1">Start.listina!T124</f>
        <v>0</v>
      </c>
      <c r="G256" s="7"/>
    </row>
    <row r="257" spans="1:7">
      <c r="A257" s="350" t="str">
        <f ca="1">Start.listina!O125</f>
        <v/>
      </c>
      <c r="B257" s="399" t="str">
        <f ca="1">Start.listina!P125</f>
        <v xml:space="preserve"> </v>
      </c>
      <c r="C257" s="350" t="str">
        <f ca="1">Start.listina!Q125</f>
        <v xml:space="preserve"> </v>
      </c>
      <c r="D257" s="350" t="str">
        <f ca="1">Start.listina!R125</f>
        <v xml:space="preserve"> </v>
      </c>
      <c r="E257" s="350">
        <f ca="1">Start.listina!S125</f>
        <v>9999</v>
      </c>
      <c r="F257" s="350">
        <f ca="1">Start.listina!T125</f>
        <v>0</v>
      </c>
      <c r="G257" s="7"/>
    </row>
    <row r="258" spans="1:7">
      <c r="A258" s="350" t="str">
        <f ca="1">Start.listina!O126</f>
        <v/>
      </c>
      <c r="B258" s="399" t="str">
        <f ca="1">Start.listina!P126</f>
        <v xml:space="preserve"> </v>
      </c>
      <c r="C258" s="350" t="str">
        <f ca="1">Start.listina!Q126</f>
        <v xml:space="preserve"> </v>
      </c>
      <c r="D258" s="350" t="str">
        <f ca="1">Start.listina!R126</f>
        <v xml:space="preserve"> </v>
      </c>
      <c r="E258" s="350">
        <f ca="1">Start.listina!S126</f>
        <v>9999</v>
      </c>
      <c r="F258" s="350">
        <f ca="1">Start.listina!T126</f>
        <v>0</v>
      </c>
      <c r="G258" s="7"/>
    </row>
    <row r="259" spans="1:7">
      <c r="A259" s="350" t="str">
        <f ca="1">Start.listina!O127</f>
        <v/>
      </c>
      <c r="B259" s="399" t="str">
        <f ca="1">Start.listina!P127</f>
        <v xml:space="preserve"> </v>
      </c>
      <c r="C259" s="350" t="str">
        <f ca="1">Start.listina!Q127</f>
        <v xml:space="preserve"> </v>
      </c>
      <c r="D259" s="350" t="str">
        <f ca="1">Start.listina!R127</f>
        <v xml:space="preserve"> </v>
      </c>
      <c r="E259" s="350">
        <f ca="1">Start.listina!S127</f>
        <v>9999</v>
      </c>
      <c r="F259" s="350">
        <f ca="1">Start.listina!T127</f>
        <v>0</v>
      </c>
      <c r="G259" s="7"/>
    </row>
    <row r="260" spans="1:7">
      <c r="A260" s="350" t="str">
        <f ca="1">Start.listina!O128</f>
        <v/>
      </c>
      <c r="B260" s="399" t="str">
        <f ca="1">Start.listina!P128</f>
        <v xml:space="preserve"> </v>
      </c>
      <c r="C260" s="350" t="str">
        <f ca="1">Start.listina!Q128</f>
        <v xml:space="preserve"> </v>
      </c>
      <c r="D260" s="350" t="str">
        <f ca="1">Start.listina!R128</f>
        <v xml:space="preserve"> </v>
      </c>
      <c r="E260" s="350">
        <f ca="1">Start.listina!S128</f>
        <v>9999</v>
      </c>
      <c r="F260" s="350">
        <f ca="1">Start.listina!T128</f>
        <v>0</v>
      </c>
      <c r="G260" s="7"/>
    </row>
    <row r="261" spans="1:7">
      <c r="A261" s="350" t="str">
        <f ca="1">Start.listina!O129</f>
        <v/>
      </c>
      <c r="B261" s="399" t="str">
        <f ca="1">Start.listina!P129</f>
        <v xml:space="preserve"> </v>
      </c>
      <c r="C261" s="350" t="str">
        <f ca="1">Start.listina!Q129</f>
        <v xml:space="preserve"> </v>
      </c>
      <c r="D261" s="350" t="str">
        <f ca="1">Start.listina!R129</f>
        <v xml:space="preserve"> </v>
      </c>
      <c r="E261" s="350">
        <f ca="1">Start.listina!S129</f>
        <v>9999</v>
      </c>
      <c r="F261" s="350">
        <f ca="1">Start.listina!T129</f>
        <v>0</v>
      </c>
      <c r="G261" s="7"/>
    </row>
    <row r="262" spans="1:7">
      <c r="A262" s="350" t="str">
        <f ca="1">Start.listina!O130</f>
        <v/>
      </c>
      <c r="B262" s="399" t="str">
        <f ca="1">Start.listina!P130</f>
        <v xml:space="preserve"> </v>
      </c>
      <c r="C262" s="350" t="str">
        <f ca="1">Start.listina!Q130</f>
        <v xml:space="preserve"> </v>
      </c>
      <c r="D262" s="350" t="str">
        <f ca="1">Start.listina!R130</f>
        <v xml:space="preserve"> </v>
      </c>
      <c r="E262" s="350">
        <f ca="1">Start.listina!S130</f>
        <v>9999</v>
      </c>
      <c r="F262" s="350">
        <f ca="1">Start.listina!T130</f>
        <v>0</v>
      </c>
      <c r="G262" s="7"/>
    </row>
    <row r="263" spans="1:7">
      <c r="A263" s="350" t="str">
        <f ca="1">Start.listina!O131</f>
        <v/>
      </c>
      <c r="B263" s="399" t="str">
        <f ca="1">Start.listina!P131</f>
        <v xml:space="preserve"> </v>
      </c>
      <c r="C263" s="350" t="str">
        <f ca="1">Start.listina!Q131</f>
        <v xml:space="preserve"> </v>
      </c>
      <c r="D263" s="350" t="str">
        <f ca="1">Start.listina!R131</f>
        <v xml:space="preserve"> </v>
      </c>
      <c r="E263" s="350">
        <f ca="1">Start.listina!S131</f>
        <v>9999</v>
      </c>
      <c r="F263" s="350">
        <f ca="1">Start.listina!T131</f>
        <v>0</v>
      </c>
      <c r="G263" s="7"/>
    </row>
    <row r="264" spans="1:7">
      <c r="A264" s="350" t="str">
        <f ca="1">Start.listina!O132</f>
        <v/>
      </c>
      <c r="B264" s="399" t="str">
        <f ca="1">Start.listina!P132</f>
        <v xml:space="preserve"> </v>
      </c>
      <c r="C264" s="350" t="str">
        <f ca="1">Start.listina!Q132</f>
        <v xml:space="preserve"> </v>
      </c>
      <c r="D264" s="350" t="str">
        <f ca="1">Start.listina!R132</f>
        <v xml:space="preserve"> </v>
      </c>
      <c r="E264" s="350">
        <f ca="1">Start.listina!S132</f>
        <v>9999</v>
      </c>
      <c r="F264" s="350">
        <f ca="1">Start.listina!T132</f>
        <v>0</v>
      </c>
      <c r="G264" s="7"/>
    </row>
    <row r="265" spans="1:7">
      <c r="A265" s="350" t="str">
        <f ca="1">Start.listina!O133</f>
        <v/>
      </c>
      <c r="B265" s="399" t="str">
        <f ca="1">Start.listina!P133</f>
        <v xml:space="preserve"> </v>
      </c>
      <c r="C265" s="350" t="str">
        <f ca="1">Start.listina!Q133</f>
        <v xml:space="preserve"> </v>
      </c>
      <c r="D265" s="350" t="str">
        <f ca="1">Start.listina!R133</f>
        <v xml:space="preserve"> </v>
      </c>
      <c r="E265" s="350">
        <f ca="1">Start.listina!S133</f>
        <v>9999</v>
      </c>
      <c r="F265" s="350">
        <f ca="1">Start.listina!T133</f>
        <v>0</v>
      </c>
      <c r="G265" s="7"/>
    </row>
    <row r="266" spans="1:7">
      <c r="A266" s="350" t="str">
        <f ca="1">Start.listina!O134</f>
        <v/>
      </c>
      <c r="B266" s="399" t="str">
        <f ca="1">Start.listina!P134</f>
        <v xml:space="preserve"> </v>
      </c>
      <c r="C266" s="350" t="str">
        <f ca="1">Start.listina!Q134</f>
        <v xml:space="preserve"> </v>
      </c>
      <c r="D266" s="350" t="str">
        <f ca="1">Start.listina!R134</f>
        <v xml:space="preserve"> </v>
      </c>
      <c r="E266" s="350">
        <f ca="1">Start.listina!S134</f>
        <v>9999</v>
      </c>
      <c r="F266" s="350">
        <f ca="1">Start.listina!T134</f>
        <v>0</v>
      </c>
      <c r="G266" s="7"/>
    </row>
    <row r="267" spans="1:7">
      <c r="A267" s="350" t="str">
        <f ca="1">Start.listina!O135</f>
        <v/>
      </c>
      <c r="B267" s="399" t="str">
        <f ca="1">Start.listina!P135</f>
        <v xml:space="preserve"> </v>
      </c>
      <c r="C267" s="350" t="str">
        <f ca="1">Start.listina!Q135</f>
        <v xml:space="preserve"> </v>
      </c>
      <c r="D267" s="350" t="str">
        <f ca="1">Start.listina!R135</f>
        <v xml:space="preserve"> </v>
      </c>
      <c r="E267" s="350">
        <f ca="1">Start.listina!S135</f>
        <v>9999</v>
      </c>
      <c r="F267" s="350">
        <f ca="1">Start.listina!T135</f>
        <v>0</v>
      </c>
      <c r="G267" s="7"/>
    </row>
    <row r="268" spans="1:7">
      <c r="A268" s="350" t="str">
        <f ca="1">Start.listina!O136</f>
        <v/>
      </c>
      <c r="B268" s="399" t="str">
        <f ca="1">Start.listina!P136</f>
        <v xml:space="preserve"> </v>
      </c>
      <c r="C268" s="350" t="str">
        <f ca="1">Start.listina!Q136</f>
        <v xml:space="preserve"> </v>
      </c>
      <c r="D268" s="350" t="str">
        <f ca="1">Start.listina!R136</f>
        <v xml:space="preserve"> </v>
      </c>
      <c r="E268" s="350">
        <f ca="1">Start.listina!S136</f>
        <v>9999</v>
      </c>
      <c r="F268" s="350">
        <f ca="1">Start.listina!T136</f>
        <v>0</v>
      </c>
      <c r="G268" s="7"/>
    </row>
    <row r="269" spans="1:7">
      <c r="A269" s="350" t="str">
        <f ca="1">Start.listina!O137</f>
        <v/>
      </c>
      <c r="B269" s="399" t="str">
        <f ca="1">Start.listina!P137</f>
        <v xml:space="preserve"> </v>
      </c>
      <c r="C269" s="350" t="str">
        <f ca="1">Start.listina!Q137</f>
        <v xml:space="preserve"> </v>
      </c>
      <c r="D269" s="350" t="str">
        <f ca="1">Start.listina!R137</f>
        <v xml:space="preserve"> </v>
      </c>
      <c r="E269" s="350">
        <f ca="1">Start.listina!S137</f>
        <v>9999</v>
      </c>
      <c r="F269" s="350">
        <f ca="1">Start.listina!T137</f>
        <v>0</v>
      </c>
      <c r="G269" s="7"/>
    </row>
    <row r="270" spans="1:7">
      <c r="A270" s="350" t="str">
        <f ca="1">Start.listina!O138</f>
        <v/>
      </c>
      <c r="B270" s="399" t="str">
        <f ca="1">Start.listina!P138</f>
        <v xml:space="preserve"> </v>
      </c>
      <c r="C270" s="350" t="str">
        <f ca="1">Start.listina!Q138</f>
        <v xml:space="preserve"> </v>
      </c>
      <c r="D270" s="350" t="str">
        <f ca="1">Start.listina!R138</f>
        <v xml:space="preserve"> </v>
      </c>
      <c r="E270" s="350">
        <f ca="1">Start.listina!S138</f>
        <v>9999</v>
      </c>
      <c r="F270" s="350">
        <f ca="1">Start.listina!T138</f>
        <v>0</v>
      </c>
      <c r="G270" s="7"/>
    </row>
    <row r="271" spans="1:7">
      <c r="A271" s="350" t="str">
        <f ca="1">Start.listina!O139</f>
        <v/>
      </c>
      <c r="B271" s="399" t="str">
        <f ca="1">Start.listina!P139</f>
        <v xml:space="preserve"> </v>
      </c>
      <c r="C271" s="350" t="str">
        <f ca="1">Start.listina!Q139</f>
        <v xml:space="preserve"> </v>
      </c>
      <c r="D271" s="350" t="str">
        <f ca="1">Start.listina!R139</f>
        <v xml:space="preserve"> </v>
      </c>
      <c r="E271" s="350">
        <f ca="1">Start.listina!S139</f>
        <v>9999</v>
      </c>
      <c r="F271" s="350">
        <f ca="1">Start.listina!T139</f>
        <v>0</v>
      </c>
      <c r="G271" s="7"/>
    </row>
    <row r="272" spans="1:7">
      <c r="A272" s="350" t="str">
        <f ca="1">Start.listina!O140</f>
        <v/>
      </c>
      <c r="B272" s="399" t="str">
        <f ca="1">Start.listina!P140</f>
        <v xml:space="preserve"> </v>
      </c>
      <c r="C272" s="350" t="str">
        <f ca="1">Start.listina!Q140</f>
        <v xml:space="preserve"> </v>
      </c>
      <c r="D272" s="350" t="str">
        <f ca="1">Start.listina!R140</f>
        <v xml:space="preserve"> </v>
      </c>
      <c r="E272" s="350">
        <f ca="1">Start.listina!S140</f>
        <v>9999</v>
      </c>
      <c r="F272" s="350">
        <f ca="1">Start.listina!T140</f>
        <v>0</v>
      </c>
      <c r="G272" s="7"/>
    </row>
    <row r="273" spans="1:7">
      <c r="A273" s="350" t="str">
        <f ca="1">Start.listina!O141</f>
        <v/>
      </c>
      <c r="B273" s="399" t="str">
        <f ca="1">Start.listina!P141</f>
        <v xml:space="preserve"> </v>
      </c>
      <c r="C273" s="350" t="str">
        <f ca="1">Start.listina!Q141</f>
        <v xml:space="preserve"> </v>
      </c>
      <c r="D273" s="350" t="str">
        <f ca="1">Start.listina!R141</f>
        <v xml:space="preserve"> </v>
      </c>
      <c r="E273" s="350">
        <f ca="1">Start.listina!S141</f>
        <v>9999</v>
      </c>
      <c r="F273" s="350">
        <f ca="1">Start.listina!T141</f>
        <v>0</v>
      </c>
      <c r="G273" s="7"/>
    </row>
    <row r="274" spans="1:7">
      <c r="A274" s="350" t="str">
        <f ca="1">Start.listina!O142</f>
        <v/>
      </c>
      <c r="B274" s="399" t="str">
        <f ca="1">Start.listina!P142</f>
        <v xml:space="preserve"> </v>
      </c>
      <c r="C274" s="350" t="str">
        <f ca="1">Start.listina!Q142</f>
        <v xml:space="preserve"> </v>
      </c>
      <c r="D274" s="350" t="str">
        <f ca="1">Start.listina!R142</f>
        <v xml:space="preserve"> </v>
      </c>
      <c r="E274" s="350">
        <f ca="1">Start.listina!S142</f>
        <v>9999</v>
      </c>
      <c r="F274" s="350">
        <f ca="1">Start.listina!T142</f>
        <v>0</v>
      </c>
      <c r="G274" s="7"/>
    </row>
    <row r="275" spans="1:7">
      <c r="A275" s="350" t="str">
        <f ca="1">Start.listina!O143</f>
        <v/>
      </c>
      <c r="B275" s="399" t="str">
        <f ca="1">Start.listina!P143</f>
        <v xml:space="preserve"> </v>
      </c>
      <c r="C275" s="350" t="str">
        <f ca="1">Start.listina!Q143</f>
        <v xml:space="preserve"> </v>
      </c>
      <c r="D275" s="350" t="str">
        <f ca="1">Start.listina!R143</f>
        <v xml:space="preserve"> </v>
      </c>
      <c r="E275" s="350">
        <f ca="1">Start.listina!S143</f>
        <v>9999</v>
      </c>
      <c r="F275" s="350">
        <f ca="1">Start.listina!T143</f>
        <v>0</v>
      </c>
      <c r="G275" s="7"/>
    </row>
    <row r="276" spans="1:7">
      <c r="A276" s="350" t="str">
        <f ca="1">Start.listina!O144</f>
        <v/>
      </c>
      <c r="B276" s="399" t="str">
        <f ca="1">Start.listina!P144</f>
        <v xml:space="preserve"> </v>
      </c>
      <c r="C276" s="350" t="str">
        <f ca="1">Start.listina!Q144</f>
        <v xml:space="preserve"> </v>
      </c>
      <c r="D276" s="350" t="str">
        <f ca="1">Start.listina!R144</f>
        <v xml:space="preserve"> </v>
      </c>
      <c r="E276" s="350">
        <f ca="1">Start.listina!S144</f>
        <v>9999</v>
      </c>
      <c r="F276" s="350">
        <f ca="1">Start.listina!T144</f>
        <v>0</v>
      </c>
      <c r="G276" s="7"/>
    </row>
    <row r="277" spans="1:7">
      <c r="A277" s="350" t="str">
        <f ca="1">Start.listina!O145</f>
        <v/>
      </c>
      <c r="B277" s="399" t="str">
        <f ca="1">Start.listina!P145</f>
        <v xml:space="preserve"> </v>
      </c>
      <c r="C277" s="350" t="str">
        <f ca="1">Start.listina!Q145</f>
        <v xml:space="preserve"> </v>
      </c>
      <c r="D277" s="350" t="str">
        <f ca="1">Start.listina!R145</f>
        <v xml:space="preserve"> </v>
      </c>
      <c r="E277" s="350">
        <f ca="1">Start.listina!S145</f>
        <v>9999</v>
      </c>
      <c r="F277" s="350">
        <f ca="1">Start.listina!T145</f>
        <v>0</v>
      </c>
      <c r="G277" s="7"/>
    </row>
    <row r="278" spans="1:7">
      <c r="A278" s="350" t="str">
        <f ca="1">Start.listina!O146</f>
        <v/>
      </c>
      <c r="B278" s="399" t="str">
        <f ca="1">Start.listina!P146</f>
        <v xml:space="preserve"> </v>
      </c>
      <c r="C278" s="350" t="str">
        <f ca="1">Start.listina!Q146</f>
        <v xml:space="preserve"> </v>
      </c>
      <c r="D278" s="350" t="str">
        <f ca="1">Start.listina!R146</f>
        <v xml:space="preserve"> </v>
      </c>
      <c r="E278" s="350">
        <f ca="1">Start.listina!S146</f>
        <v>9999</v>
      </c>
      <c r="F278" s="350">
        <f ca="1">Start.listina!T146</f>
        <v>0</v>
      </c>
      <c r="G278" s="7"/>
    </row>
    <row r="279" spans="1:7">
      <c r="A279" s="350" t="str">
        <f ca="1">Start.listina!O147</f>
        <v/>
      </c>
      <c r="B279" s="399" t="str">
        <f ca="1">Start.listina!P147</f>
        <v xml:space="preserve"> </v>
      </c>
      <c r="C279" s="350" t="str">
        <f ca="1">Start.listina!Q147</f>
        <v xml:space="preserve"> </v>
      </c>
      <c r="D279" s="350" t="str">
        <f ca="1">Start.listina!R147</f>
        <v xml:space="preserve"> </v>
      </c>
      <c r="E279" s="350">
        <f ca="1">Start.listina!S147</f>
        <v>9999</v>
      </c>
      <c r="F279" s="350">
        <f ca="1">Start.listina!T147</f>
        <v>0</v>
      </c>
      <c r="G279" s="7"/>
    </row>
    <row r="280" spans="1:7">
      <c r="A280" s="350" t="str">
        <f ca="1">Start.listina!O148</f>
        <v/>
      </c>
      <c r="B280" s="399" t="str">
        <f ca="1">Start.listina!P148</f>
        <v xml:space="preserve"> </v>
      </c>
      <c r="C280" s="350" t="str">
        <f ca="1">Start.listina!Q148</f>
        <v xml:space="preserve"> </v>
      </c>
      <c r="D280" s="350" t="str">
        <f ca="1">Start.listina!R148</f>
        <v xml:space="preserve"> </v>
      </c>
      <c r="E280" s="350">
        <f ca="1">Start.listina!S148</f>
        <v>9999</v>
      </c>
      <c r="F280" s="350">
        <f ca="1">Start.listina!T148</f>
        <v>0</v>
      </c>
      <c r="G280" s="7"/>
    </row>
    <row r="281" spans="1:7">
      <c r="A281" s="350" t="str">
        <f ca="1">Start.listina!O149</f>
        <v/>
      </c>
      <c r="B281" s="399" t="str">
        <f ca="1">Start.listina!P149</f>
        <v xml:space="preserve"> </v>
      </c>
      <c r="C281" s="350" t="str">
        <f ca="1">Start.listina!Q149</f>
        <v xml:space="preserve"> </v>
      </c>
      <c r="D281" s="350" t="str">
        <f ca="1">Start.listina!R149</f>
        <v xml:space="preserve"> </v>
      </c>
      <c r="E281" s="350">
        <f ca="1">Start.listina!S149</f>
        <v>9999</v>
      </c>
      <c r="F281" s="350">
        <f ca="1">Start.listina!T149</f>
        <v>0</v>
      </c>
      <c r="G281" s="7"/>
    </row>
    <row r="282" spans="1:7">
      <c r="A282" s="350" t="str">
        <f ca="1">Start.listina!O150</f>
        <v/>
      </c>
      <c r="B282" s="399" t="str">
        <f ca="1">Start.listina!P150</f>
        <v xml:space="preserve"> </v>
      </c>
      <c r="C282" s="350" t="str">
        <f ca="1">Start.listina!Q150</f>
        <v xml:space="preserve"> </v>
      </c>
      <c r="D282" s="350" t="str">
        <f ca="1">Start.listina!R150</f>
        <v xml:space="preserve"> </v>
      </c>
      <c r="E282" s="350">
        <f ca="1">Start.listina!S150</f>
        <v>9999</v>
      </c>
      <c r="F282" s="350">
        <f ca="1">Start.listina!T150</f>
        <v>0</v>
      </c>
      <c r="G282" s="7"/>
    </row>
    <row r="283" spans="1:7">
      <c r="A283" s="350" t="str">
        <f ca="1">Start.listina!O151</f>
        <v/>
      </c>
      <c r="B283" s="399" t="str">
        <f ca="1">Start.listina!P151</f>
        <v xml:space="preserve"> </v>
      </c>
      <c r="C283" s="350" t="str">
        <f ca="1">Start.listina!Q151</f>
        <v xml:space="preserve"> </v>
      </c>
      <c r="D283" s="350" t="str">
        <f ca="1">Start.listina!R151</f>
        <v xml:space="preserve"> </v>
      </c>
      <c r="E283" s="350">
        <f ca="1">Start.listina!S151</f>
        <v>9999</v>
      </c>
      <c r="F283" s="350">
        <f ca="1">Start.listina!T151</f>
        <v>0</v>
      </c>
      <c r="G283" s="7"/>
    </row>
    <row r="284" spans="1:7">
      <c r="A284" s="350" t="str">
        <f ca="1">Start.listina!O152</f>
        <v/>
      </c>
      <c r="B284" s="399" t="str">
        <f ca="1">Start.listina!P152</f>
        <v xml:space="preserve"> </v>
      </c>
      <c r="C284" s="350" t="str">
        <f ca="1">Start.listina!Q152</f>
        <v xml:space="preserve"> </v>
      </c>
      <c r="D284" s="350" t="str">
        <f ca="1">Start.listina!R152</f>
        <v xml:space="preserve"> </v>
      </c>
      <c r="E284" s="350">
        <f ca="1">Start.listina!S152</f>
        <v>9999</v>
      </c>
      <c r="F284" s="350">
        <f ca="1">Start.listina!T152</f>
        <v>0</v>
      </c>
      <c r="G284" s="7"/>
    </row>
    <row r="285" spans="1:7">
      <c r="A285" s="350" t="str">
        <f ca="1">Start.listina!O153</f>
        <v/>
      </c>
      <c r="B285" s="399" t="str">
        <f ca="1">Start.listina!P153</f>
        <v xml:space="preserve"> </v>
      </c>
      <c r="C285" s="350" t="str">
        <f ca="1">Start.listina!Q153</f>
        <v xml:space="preserve"> </v>
      </c>
      <c r="D285" s="350" t="str">
        <f ca="1">Start.listina!R153</f>
        <v xml:space="preserve"> </v>
      </c>
      <c r="E285" s="350">
        <f ca="1">Start.listina!S153</f>
        <v>9999</v>
      </c>
      <c r="F285" s="350">
        <f ca="1">Start.listina!T153</f>
        <v>0</v>
      </c>
      <c r="G285" s="7"/>
    </row>
    <row r="286" spans="1:7">
      <c r="A286" s="350" t="str">
        <f ca="1">Start.listina!O154</f>
        <v/>
      </c>
      <c r="B286" s="399" t="str">
        <f ca="1">Start.listina!P154</f>
        <v xml:space="preserve"> </v>
      </c>
      <c r="C286" s="350" t="str">
        <f ca="1">Start.listina!Q154</f>
        <v xml:space="preserve"> </v>
      </c>
      <c r="D286" s="350" t="str">
        <f ca="1">Start.listina!R154</f>
        <v xml:space="preserve"> </v>
      </c>
      <c r="E286" s="350">
        <f ca="1">Start.listina!S154</f>
        <v>9999</v>
      </c>
      <c r="F286" s="350">
        <f ca="1">Start.listina!T154</f>
        <v>0</v>
      </c>
      <c r="G286" s="7"/>
    </row>
    <row r="287" spans="1:7">
      <c r="A287" s="350" t="str">
        <f ca="1">Start.listina!O155</f>
        <v/>
      </c>
      <c r="B287" s="399" t="str">
        <f ca="1">Start.listina!P155</f>
        <v xml:space="preserve"> </v>
      </c>
      <c r="C287" s="350" t="str">
        <f ca="1">Start.listina!Q155</f>
        <v xml:space="preserve"> </v>
      </c>
      <c r="D287" s="350" t="str">
        <f ca="1">Start.listina!R155</f>
        <v xml:space="preserve"> </v>
      </c>
      <c r="E287" s="350">
        <f ca="1">Start.listina!S155</f>
        <v>9999</v>
      </c>
      <c r="F287" s="350">
        <f ca="1">Start.listina!T155</f>
        <v>0</v>
      </c>
      <c r="G287" s="7"/>
    </row>
    <row r="288" spans="1:7">
      <c r="A288" s="350" t="str">
        <f ca="1">Start.listina!O156</f>
        <v/>
      </c>
      <c r="B288" s="399" t="str">
        <f ca="1">Start.listina!P156</f>
        <v xml:space="preserve"> </v>
      </c>
      <c r="C288" s="350" t="str">
        <f ca="1">Start.listina!Q156</f>
        <v xml:space="preserve"> </v>
      </c>
      <c r="D288" s="350" t="str">
        <f ca="1">Start.listina!R156</f>
        <v xml:space="preserve"> </v>
      </c>
      <c r="E288" s="350">
        <f ca="1">Start.listina!S156</f>
        <v>9999</v>
      </c>
      <c r="F288" s="350">
        <f ca="1">Start.listina!T156</f>
        <v>0</v>
      </c>
      <c r="G288" s="7"/>
    </row>
    <row r="289" spans="1:7">
      <c r="A289" s="350" t="str">
        <f ca="1">Start.listina!O157</f>
        <v/>
      </c>
      <c r="B289" s="399" t="str">
        <f ca="1">Start.listina!P157</f>
        <v xml:space="preserve"> </v>
      </c>
      <c r="C289" s="350" t="str">
        <f ca="1">Start.listina!Q157</f>
        <v xml:space="preserve"> </v>
      </c>
      <c r="D289" s="350" t="str">
        <f ca="1">Start.listina!R157</f>
        <v xml:space="preserve"> </v>
      </c>
      <c r="E289" s="350">
        <f ca="1">Start.listina!S157</f>
        <v>9999</v>
      </c>
      <c r="F289" s="350">
        <f ca="1">Start.listina!T157</f>
        <v>0</v>
      </c>
      <c r="G289" s="7"/>
    </row>
    <row r="290" spans="1:7">
      <c r="A290" s="350" t="str">
        <f ca="1">Start.listina!O158</f>
        <v/>
      </c>
      <c r="B290" s="399" t="str">
        <f ca="1">Start.listina!P158</f>
        <v xml:space="preserve"> </v>
      </c>
      <c r="C290" s="350" t="str">
        <f ca="1">Start.listina!Q158</f>
        <v xml:space="preserve"> </v>
      </c>
      <c r="D290" s="350" t="str">
        <f ca="1">Start.listina!R158</f>
        <v xml:space="preserve"> </v>
      </c>
      <c r="E290" s="350">
        <f ca="1">Start.listina!S158</f>
        <v>9999</v>
      </c>
      <c r="F290" s="350">
        <f ca="1">Start.listina!T158</f>
        <v>0</v>
      </c>
      <c r="G290" s="7"/>
    </row>
    <row r="291" spans="1:7">
      <c r="A291" s="350" t="str">
        <f ca="1">Start.listina!O159</f>
        <v/>
      </c>
      <c r="B291" s="399" t="str">
        <f ca="1">Start.listina!P159</f>
        <v xml:space="preserve"> </v>
      </c>
      <c r="C291" s="350" t="str">
        <f ca="1">Start.listina!Q159</f>
        <v xml:space="preserve"> </v>
      </c>
      <c r="D291" s="350" t="str">
        <f ca="1">Start.listina!R159</f>
        <v xml:space="preserve"> </v>
      </c>
      <c r="E291" s="350">
        <f ca="1">Start.listina!S159</f>
        <v>9999</v>
      </c>
      <c r="F291" s="350">
        <f ca="1">Start.listina!T159</f>
        <v>0</v>
      </c>
      <c r="G291" s="7"/>
    </row>
    <row r="292" spans="1:7">
      <c r="A292" s="350" t="str">
        <f ca="1">Start.listina!O160</f>
        <v/>
      </c>
      <c r="B292" s="399" t="str">
        <f ca="1">Start.listina!P160</f>
        <v xml:space="preserve"> </v>
      </c>
      <c r="C292" s="350" t="str">
        <f ca="1">Start.listina!Q160</f>
        <v xml:space="preserve"> </v>
      </c>
      <c r="D292" s="350" t="str">
        <f ca="1">Start.listina!R160</f>
        <v xml:space="preserve"> </v>
      </c>
      <c r="E292" s="350">
        <f ca="1">Start.listina!S160</f>
        <v>9999</v>
      </c>
      <c r="F292" s="350">
        <f ca="1">Start.listina!T160</f>
        <v>0</v>
      </c>
      <c r="G292" s="7"/>
    </row>
    <row r="293" spans="1:7">
      <c r="A293" s="350" t="str">
        <f ca="1">Start.listina!O161</f>
        <v/>
      </c>
      <c r="B293" s="399" t="str">
        <f ca="1">Start.listina!P161</f>
        <v xml:space="preserve"> </v>
      </c>
      <c r="C293" s="350" t="str">
        <f ca="1">Start.listina!Q161</f>
        <v xml:space="preserve"> </v>
      </c>
      <c r="D293" s="350" t="str">
        <f ca="1">Start.listina!R161</f>
        <v xml:space="preserve"> </v>
      </c>
      <c r="E293" s="350">
        <f ca="1">Start.listina!S161</f>
        <v>9999</v>
      </c>
      <c r="F293" s="350">
        <f ca="1">Start.listina!T161</f>
        <v>0</v>
      </c>
      <c r="G293" s="7"/>
    </row>
    <row r="294" spans="1:7">
      <c r="A294" s="350" t="str">
        <f ca="1">Start.listina!O162</f>
        <v/>
      </c>
      <c r="B294" s="399" t="str">
        <f ca="1">Start.listina!P162</f>
        <v xml:space="preserve"> </v>
      </c>
      <c r="C294" s="350" t="str">
        <f ca="1">Start.listina!Q162</f>
        <v xml:space="preserve"> </v>
      </c>
      <c r="D294" s="350" t="str">
        <f ca="1">Start.listina!R162</f>
        <v xml:space="preserve"> </v>
      </c>
      <c r="E294" s="350">
        <f ca="1">Start.listina!S162</f>
        <v>9999</v>
      </c>
      <c r="F294" s="350">
        <f ca="1">Start.listina!T162</f>
        <v>0</v>
      </c>
      <c r="G294" s="7"/>
    </row>
    <row r="295" spans="1:7">
      <c r="A295" s="350" t="str">
        <f ca="1">Start.listina!O163</f>
        <v/>
      </c>
      <c r="B295" s="399" t="str">
        <f ca="1">Start.listina!P163</f>
        <v xml:space="preserve"> </v>
      </c>
      <c r="C295" s="350" t="str">
        <f ca="1">Start.listina!Q163</f>
        <v xml:space="preserve"> </v>
      </c>
      <c r="D295" s="350" t="str">
        <f ca="1">Start.listina!R163</f>
        <v xml:space="preserve"> </v>
      </c>
      <c r="E295" s="350">
        <f ca="1">Start.listina!S163</f>
        <v>9999</v>
      </c>
      <c r="F295" s="350">
        <f ca="1">Start.listina!T163</f>
        <v>0</v>
      </c>
      <c r="G295" s="7"/>
    </row>
    <row r="296" spans="1:7">
      <c r="A296" s="350" t="str">
        <f ca="1">Start.listina!O164</f>
        <v/>
      </c>
      <c r="B296" s="399" t="str">
        <f ca="1">Start.listina!P164</f>
        <v xml:space="preserve"> </v>
      </c>
      <c r="C296" s="350" t="str">
        <f ca="1">Start.listina!Q164</f>
        <v xml:space="preserve"> </v>
      </c>
      <c r="D296" s="350" t="str">
        <f ca="1">Start.listina!R164</f>
        <v xml:space="preserve"> </v>
      </c>
      <c r="E296" s="350">
        <f ca="1">Start.listina!S164</f>
        <v>9999</v>
      </c>
      <c r="F296" s="350">
        <f ca="1">Start.listina!T164</f>
        <v>0</v>
      </c>
      <c r="G296" s="7"/>
    </row>
    <row r="297" spans="1:7">
      <c r="A297" s="350" t="str">
        <f ca="1">Start.listina!O165</f>
        <v/>
      </c>
      <c r="B297" s="399" t="str">
        <f ca="1">Start.listina!P165</f>
        <v xml:space="preserve"> </v>
      </c>
      <c r="C297" s="350" t="str">
        <f ca="1">Start.listina!Q165</f>
        <v xml:space="preserve"> </v>
      </c>
      <c r="D297" s="350" t="str">
        <f ca="1">Start.listina!R165</f>
        <v xml:space="preserve"> </v>
      </c>
      <c r="E297" s="350">
        <f ca="1">Start.listina!S165</f>
        <v>9999</v>
      </c>
      <c r="F297" s="350">
        <f ca="1">Start.listina!T165</f>
        <v>0</v>
      </c>
      <c r="G297" s="7"/>
    </row>
    <row r="298" spans="1:7">
      <c r="A298" s="350" t="str">
        <f ca="1">Start.listina!O166</f>
        <v/>
      </c>
      <c r="B298" s="399" t="str">
        <f ca="1">Start.listina!P166</f>
        <v xml:space="preserve"> </v>
      </c>
      <c r="C298" s="350" t="str">
        <f ca="1">Start.listina!Q166</f>
        <v xml:space="preserve"> </v>
      </c>
      <c r="D298" s="350" t="str">
        <f ca="1">Start.listina!R166</f>
        <v xml:space="preserve"> </v>
      </c>
      <c r="E298" s="350">
        <f ca="1">Start.listina!S166</f>
        <v>9999</v>
      </c>
      <c r="F298" s="350">
        <f ca="1">Start.listina!T166</f>
        <v>0</v>
      </c>
      <c r="G298" s="7"/>
    </row>
    <row r="299" spans="1:7">
      <c r="A299" s="350" t="str">
        <f ca="1">Start.listina!O167</f>
        <v/>
      </c>
      <c r="B299" s="399" t="str">
        <f ca="1">Start.listina!P167</f>
        <v xml:space="preserve"> </v>
      </c>
      <c r="C299" s="350" t="str">
        <f ca="1">Start.listina!Q167</f>
        <v xml:space="preserve"> </v>
      </c>
      <c r="D299" s="350" t="str">
        <f ca="1">Start.listina!R167</f>
        <v xml:space="preserve"> </v>
      </c>
      <c r="E299" s="350">
        <f ca="1">Start.listina!S167</f>
        <v>9999</v>
      </c>
      <c r="F299" s="350">
        <f ca="1">Start.listina!T167</f>
        <v>0</v>
      </c>
      <c r="G299" s="7"/>
    </row>
    <row r="300" spans="1:7">
      <c r="A300" s="350" t="str">
        <f ca="1">Start.listina!O168</f>
        <v/>
      </c>
      <c r="B300" s="399" t="str">
        <f ca="1">Start.listina!P168</f>
        <v xml:space="preserve"> </v>
      </c>
      <c r="C300" s="350" t="str">
        <f ca="1">Start.listina!Q168</f>
        <v xml:space="preserve"> </v>
      </c>
      <c r="D300" s="350" t="str">
        <f ca="1">Start.listina!R168</f>
        <v xml:space="preserve"> </v>
      </c>
      <c r="E300" s="350">
        <f ca="1">Start.listina!S168</f>
        <v>9999</v>
      </c>
      <c r="F300" s="350">
        <f ca="1">Start.listina!T168</f>
        <v>0</v>
      </c>
      <c r="G300" s="7"/>
    </row>
    <row r="301" spans="1:7">
      <c r="A301" s="350" t="str">
        <f ca="1">Start.listina!O169</f>
        <v/>
      </c>
      <c r="B301" s="399" t="str">
        <f ca="1">Start.listina!P169</f>
        <v xml:space="preserve"> </v>
      </c>
      <c r="C301" s="350" t="str">
        <f ca="1">Start.listina!Q169</f>
        <v xml:space="preserve"> </v>
      </c>
      <c r="D301" s="350" t="str">
        <f ca="1">Start.listina!R169</f>
        <v xml:space="preserve"> </v>
      </c>
      <c r="E301" s="350">
        <f ca="1">Start.listina!S169</f>
        <v>9999</v>
      </c>
      <c r="F301" s="350">
        <f ca="1">Start.listina!T169</f>
        <v>0</v>
      </c>
      <c r="G301" s="7"/>
    </row>
    <row r="302" spans="1:7">
      <c r="A302" s="350" t="str">
        <f ca="1">Start.listina!O170</f>
        <v/>
      </c>
      <c r="B302" s="399" t="str">
        <f ca="1">Start.listina!P170</f>
        <v xml:space="preserve"> </v>
      </c>
      <c r="C302" s="350" t="str">
        <f ca="1">Start.listina!Q170</f>
        <v xml:space="preserve"> </v>
      </c>
      <c r="D302" s="350" t="str">
        <f ca="1">Start.listina!R170</f>
        <v xml:space="preserve"> </v>
      </c>
      <c r="E302" s="350">
        <f ca="1">Start.listina!S170</f>
        <v>9999</v>
      </c>
      <c r="F302" s="350">
        <f ca="1">Start.listina!T170</f>
        <v>0</v>
      </c>
      <c r="G302" s="7"/>
    </row>
    <row r="303" spans="1:7">
      <c r="A303" s="350" t="str">
        <f ca="1">Start.listina!O171</f>
        <v/>
      </c>
      <c r="B303" s="399" t="str">
        <f ca="1">Start.listina!P171</f>
        <v xml:space="preserve"> </v>
      </c>
      <c r="C303" s="350" t="str">
        <f ca="1">Start.listina!Q171</f>
        <v xml:space="preserve"> </v>
      </c>
      <c r="D303" s="350" t="str">
        <f ca="1">Start.listina!R171</f>
        <v xml:space="preserve"> </v>
      </c>
      <c r="E303" s="350">
        <f ca="1">Start.listina!S171</f>
        <v>9999</v>
      </c>
      <c r="F303" s="350">
        <f ca="1">Start.listina!T171</f>
        <v>0</v>
      </c>
      <c r="G303" s="7"/>
    </row>
    <row r="304" spans="1:7">
      <c r="A304" s="350" t="str">
        <f ca="1">Start.listina!O172</f>
        <v/>
      </c>
      <c r="B304" s="399" t="str">
        <f ca="1">Start.listina!P172</f>
        <v xml:space="preserve"> </v>
      </c>
      <c r="C304" s="350" t="str">
        <f ca="1">Start.listina!Q172</f>
        <v xml:space="preserve"> </v>
      </c>
      <c r="D304" s="350" t="str">
        <f ca="1">Start.listina!R172</f>
        <v xml:space="preserve"> </v>
      </c>
      <c r="E304" s="350">
        <f ca="1">Start.listina!S172</f>
        <v>9999</v>
      </c>
      <c r="F304" s="350">
        <f ca="1">Start.listina!T172</f>
        <v>0</v>
      </c>
      <c r="G304" s="7"/>
    </row>
    <row r="305" spans="1:7">
      <c r="A305" s="350" t="str">
        <f ca="1">Start.listina!O173</f>
        <v/>
      </c>
      <c r="B305" s="399" t="str">
        <f ca="1">Start.listina!P173</f>
        <v xml:space="preserve"> </v>
      </c>
      <c r="C305" s="350" t="str">
        <f ca="1">Start.listina!Q173</f>
        <v xml:space="preserve"> </v>
      </c>
      <c r="D305" s="350" t="str">
        <f ca="1">Start.listina!R173</f>
        <v xml:space="preserve"> </v>
      </c>
      <c r="E305" s="350">
        <f ca="1">Start.listina!S173</f>
        <v>9999</v>
      </c>
      <c r="F305" s="350">
        <f ca="1">Start.listina!T173</f>
        <v>0</v>
      </c>
      <c r="G305" s="7"/>
    </row>
    <row r="306" spans="1:7">
      <c r="A306" s="350" t="str">
        <f ca="1">Start.listina!O174</f>
        <v/>
      </c>
      <c r="B306" s="399" t="str">
        <f ca="1">Start.listina!P174</f>
        <v xml:space="preserve"> </v>
      </c>
      <c r="C306" s="350" t="str">
        <f ca="1">Start.listina!Q174</f>
        <v xml:space="preserve"> </v>
      </c>
      <c r="D306" s="350" t="str">
        <f ca="1">Start.listina!R174</f>
        <v xml:space="preserve"> </v>
      </c>
      <c r="E306" s="350">
        <f ca="1">Start.listina!S174</f>
        <v>9999</v>
      </c>
      <c r="F306" s="350">
        <f ca="1">Start.listina!T174</f>
        <v>0</v>
      </c>
      <c r="G306" s="7"/>
    </row>
    <row r="307" spans="1:7">
      <c r="A307" s="350" t="str">
        <f ca="1">Start.listina!O175</f>
        <v/>
      </c>
      <c r="B307" s="399" t="str">
        <f ca="1">Start.listina!P175</f>
        <v xml:space="preserve"> </v>
      </c>
      <c r="C307" s="350" t="str">
        <f ca="1">Start.listina!Q175</f>
        <v xml:space="preserve"> </v>
      </c>
      <c r="D307" s="350" t="str">
        <f ca="1">Start.listina!R175</f>
        <v xml:space="preserve"> </v>
      </c>
      <c r="E307" s="350">
        <f ca="1">Start.listina!S175</f>
        <v>9999</v>
      </c>
      <c r="F307" s="350">
        <f ca="1">Start.listina!T175</f>
        <v>0</v>
      </c>
      <c r="G307" s="7"/>
    </row>
    <row r="308" spans="1:7">
      <c r="A308" s="350" t="str">
        <f ca="1">Start.listina!O176</f>
        <v/>
      </c>
      <c r="B308" s="399" t="str">
        <f ca="1">Start.listina!P176</f>
        <v xml:space="preserve"> </v>
      </c>
      <c r="C308" s="350" t="str">
        <f ca="1">Start.listina!Q176</f>
        <v xml:space="preserve"> </v>
      </c>
      <c r="D308" s="350" t="str">
        <f ca="1">Start.listina!R176</f>
        <v xml:space="preserve"> </v>
      </c>
      <c r="E308" s="350">
        <f ca="1">Start.listina!S176</f>
        <v>9999</v>
      </c>
      <c r="F308" s="350">
        <f ca="1">Start.listina!T176</f>
        <v>0</v>
      </c>
      <c r="G308" s="7"/>
    </row>
    <row r="309" spans="1:7">
      <c r="A309" s="350" t="str">
        <f ca="1">Start.listina!O177</f>
        <v/>
      </c>
      <c r="B309" s="399" t="str">
        <f ca="1">Start.listina!P177</f>
        <v xml:space="preserve"> </v>
      </c>
      <c r="C309" s="350" t="str">
        <f ca="1">Start.listina!Q177</f>
        <v xml:space="preserve"> </v>
      </c>
      <c r="D309" s="350" t="str">
        <f ca="1">Start.listina!R177</f>
        <v xml:space="preserve"> </v>
      </c>
      <c r="E309" s="350">
        <f ca="1">Start.listina!S177</f>
        <v>9999</v>
      </c>
      <c r="F309" s="350">
        <f ca="1">Start.listina!T177</f>
        <v>0</v>
      </c>
      <c r="G309" s="7"/>
    </row>
    <row r="310" spans="1:7">
      <c r="A310" s="350" t="str">
        <f ca="1">Start.listina!O178</f>
        <v/>
      </c>
      <c r="B310" s="399" t="str">
        <f ca="1">Start.listina!P178</f>
        <v xml:space="preserve"> </v>
      </c>
      <c r="C310" s="350" t="str">
        <f ca="1">Start.listina!Q178</f>
        <v xml:space="preserve"> </v>
      </c>
      <c r="D310" s="350" t="str">
        <f ca="1">Start.listina!R178</f>
        <v xml:space="preserve"> </v>
      </c>
      <c r="E310" s="350">
        <f ca="1">Start.listina!S178</f>
        <v>9999</v>
      </c>
      <c r="F310" s="350">
        <f ca="1">Start.listina!T178</f>
        <v>0</v>
      </c>
      <c r="G310" s="7"/>
    </row>
    <row r="311" spans="1:7">
      <c r="A311" s="350" t="str">
        <f ca="1">Start.listina!O179</f>
        <v/>
      </c>
      <c r="B311" s="399" t="str">
        <f ca="1">Start.listina!P179</f>
        <v xml:space="preserve"> </v>
      </c>
      <c r="C311" s="350" t="str">
        <f ca="1">Start.listina!Q179</f>
        <v xml:space="preserve"> </v>
      </c>
      <c r="D311" s="350" t="str">
        <f ca="1">Start.listina!R179</f>
        <v xml:space="preserve"> </v>
      </c>
      <c r="E311" s="350">
        <f ca="1">Start.listina!S179</f>
        <v>9999</v>
      </c>
      <c r="F311" s="350">
        <f ca="1">Start.listina!T179</f>
        <v>0</v>
      </c>
      <c r="G311" s="7"/>
    </row>
    <row r="312" spans="1:7">
      <c r="A312" s="350" t="str">
        <f ca="1">Start.listina!O180</f>
        <v/>
      </c>
      <c r="B312" s="399" t="str">
        <f ca="1">Start.listina!P180</f>
        <v xml:space="preserve"> </v>
      </c>
      <c r="C312" s="350" t="str">
        <f ca="1">Start.listina!Q180</f>
        <v xml:space="preserve"> </v>
      </c>
      <c r="D312" s="350" t="str">
        <f ca="1">Start.listina!R180</f>
        <v xml:space="preserve"> </v>
      </c>
      <c r="E312" s="350">
        <f ca="1">Start.listina!S180</f>
        <v>9999</v>
      </c>
      <c r="F312" s="350">
        <f ca="1">Start.listina!T180</f>
        <v>0</v>
      </c>
      <c r="G312" s="7"/>
    </row>
    <row r="313" spans="1:7">
      <c r="A313" s="350" t="str">
        <f ca="1">Start.listina!O181</f>
        <v/>
      </c>
      <c r="B313" s="399" t="str">
        <f ca="1">Start.listina!P181</f>
        <v xml:space="preserve"> </v>
      </c>
      <c r="C313" s="350" t="str">
        <f ca="1">Start.listina!Q181</f>
        <v xml:space="preserve"> </v>
      </c>
      <c r="D313" s="350" t="str">
        <f ca="1">Start.listina!R181</f>
        <v xml:space="preserve"> </v>
      </c>
      <c r="E313" s="350">
        <f ca="1">Start.listina!S181</f>
        <v>9999</v>
      </c>
      <c r="F313" s="350">
        <f ca="1">Start.listina!T181</f>
        <v>0</v>
      </c>
      <c r="G313" s="7"/>
    </row>
    <row r="314" spans="1:7">
      <c r="A314" s="350" t="str">
        <f ca="1">Start.listina!O182</f>
        <v/>
      </c>
      <c r="B314" s="399" t="str">
        <f ca="1">Start.listina!P182</f>
        <v xml:space="preserve"> </v>
      </c>
      <c r="C314" s="350" t="str">
        <f ca="1">Start.listina!Q182</f>
        <v xml:space="preserve"> </v>
      </c>
      <c r="D314" s="350" t="str">
        <f ca="1">Start.listina!R182</f>
        <v xml:space="preserve"> </v>
      </c>
      <c r="E314" s="350">
        <f ca="1">Start.listina!S182</f>
        <v>9999</v>
      </c>
      <c r="F314" s="350">
        <f ca="1">Start.listina!T182</f>
        <v>0</v>
      </c>
      <c r="G314" s="7"/>
    </row>
    <row r="315" spans="1:7">
      <c r="A315" s="350" t="str">
        <f ca="1">Start.listina!O183</f>
        <v/>
      </c>
      <c r="B315" s="399" t="str">
        <f ca="1">Start.listina!P183</f>
        <v xml:space="preserve"> </v>
      </c>
      <c r="C315" s="350" t="str">
        <f ca="1">Start.listina!Q183</f>
        <v xml:space="preserve"> </v>
      </c>
      <c r="D315" s="350" t="str">
        <f ca="1">Start.listina!R183</f>
        <v xml:space="preserve"> </v>
      </c>
      <c r="E315" s="350">
        <f ca="1">Start.listina!S183</f>
        <v>9999</v>
      </c>
      <c r="F315" s="350">
        <f ca="1">Start.listina!T183</f>
        <v>0</v>
      </c>
      <c r="G315" s="7"/>
    </row>
    <row r="316" spans="1:7">
      <c r="A316" s="350" t="str">
        <f ca="1">Start.listina!O184</f>
        <v/>
      </c>
      <c r="B316" s="399" t="str">
        <f ca="1">Start.listina!P184</f>
        <v xml:space="preserve"> </v>
      </c>
      <c r="C316" s="350" t="str">
        <f ca="1">Start.listina!Q184</f>
        <v xml:space="preserve"> </v>
      </c>
      <c r="D316" s="350" t="str">
        <f ca="1">Start.listina!R184</f>
        <v xml:space="preserve"> </v>
      </c>
      <c r="E316" s="350">
        <f ca="1">Start.listina!S184</f>
        <v>9999</v>
      </c>
      <c r="F316" s="350">
        <f ca="1">Start.listina!T184</f>
        <v>0</v>
      </c>
      <c r="G316" s="7"/>
    </row>
    <row r="317" spans="1:7">
      <c r="A317" s="350" t="str">
        <f ca="1">Start.listina!O185</f>
        <v/>
      </c>
      <c r="B317" s="399" t="str">
        <f ca="1">Start.listina!P185</f>
        <v xml:space="preserve"> </v>
      </c>
      <c r="C317" s="350" t="str">
        <f ca="1">Start.listina!Q185</f>
        <v xml:space="preserve"> </v>
      </c>
      <c r="D317" s="350" t="str">
        <f ca="1">Start.listina!R185</f>
        <v xml:space="preserve"> </v>
      </c>
      <c r="E317" s="350">
        <f ca="1">Start.listina!S185</f>
        <v>9999</v>
      </c>
      <c r="F317" s="350">
        <f ca="1">Start.listina!T185</f>
        <v>0</v>
      </c>
      <c r="G317" s="7"/>
    </row>
    <row r="318" spans="1:7">
      <c r="A318" s="350" t="str">
        <f ca="1">Start.listina!O186</f>
        <v/>
      </c>
      <c r="B318" s="399" t="str">
        <f ca="1">Start.listina!P186</f>
        <v xml:space="preserve"> </v>
      </c>
      <c r="C318" s="350" t="str">
        <f ca="1">Start.listina!Q186</f>
        <v xml:space="preserve"> </v>
      </c>
      <c r="D318" s="350" t="str">
        <f ca="1">Start.listina!R186</f>
        <v xml:space="preserve"> </v>
      </c>
      <c r="E318" s="350">
        <f ca="1">Start.listina!S186</f>
        <v>9999</v>
      </c>
      <c r="F318" s="350">
        <f ca="1">Start.listina!T186</f>
        <v>0</v>
      </c>
      <c r="G318" s="7"/>
    </row>
    <row r="319" spans="1:7">
      <c r="A319" s="350" t="str">
        <f ca="1">Start.listina!O187</f>
        <v/>
      </c>
      <c r="B319" s="399" t="str">
        <f ca="1">Start.listina!P187</f>
        <v xml:space="preserve"> </v>
      </c>
      <c r="C319" s="350" t="str">
        <f ca="1">Start.listina!Q187</f>
        <v xml:space="preserve"> </v>
      </c>
      <c r="D319" s="350" t="str">
        <f ca="1">Start.listina!R187</f>
        <v xml:space="preserve"> </v>
      </c>
      <c r="E319" s="350">
        <f ca="1">Start.listina!S187</f>
        <v>9999</v>
      </c>
      <c r="F319" s="350">
        <f ca="1">Start.listina!T187</f>
        <v>0</v>
      </c>
      <c r="G319" s="7"/>
    </row>
    <row r="320" spans="1:7">
      <c r="A320" s="350" t="str">
        <f ca="1">Start.listina!O188</f>
        <v/>
      </c>
      <c r="B320" s="399" t="str">
        <f ca="1">Start.listina!P188</f>
        <v xml:space="preserve"> </v>
      </c>
      <c r="C320" s="350" t="str">
        <f ca="1">Start.listina!Q188</f>
        <v xml:space="preserve"> </v>
      </c>
      <c r="D320" s="350" t="str">
        <f ca="1">Start.listina!R188</f>
        <v xml:space="preserve"> </v>
      </c>
      <c r="E320" s="350">
        <f ca="1">Start.listina!S188</f>
        <v>9999</v>
      </c>
      <c r="F320" s="350">
        <f ca="1">Start.listina!T188</f>
        <v>0</v>
      </c>
      <c r="G320" s="7"/>
    </row>
    <row r="321" spans="1:7">
      <c r="A321" s="350" t="str">
        <f ca="1">Start.listina!O189</f>
        <v/>
      </c>
      <c r="B321" s="399" t="str">
        <f ca="1">Start.listina!P189</f>
        <v xml:space="preserve"> </v>
      </c>
      <c r="C321" s="350" t="str">
        <f ca="1">Start.listina!Q189</f>
        <v xml:space="preserve"> </v>
      </c>
      <c r="D321" s="350" t="str">
        <f ca="1">Start.listina!R189</f>
        <v xml:space="preserve"> </v>
      </c>
      <c r="E321" s="350">
        <f ca="1">Start.listina!S189</f>
        <v>9999</v>
      </c>
      <c r="F321" s="350">
        <f ca="1">Start.listina!T189</f>
        <v>0</v>
      </c>
      <c r="G321" s="7"/>
    </row>
    <row r="322" spans="1:7">
      <c r="A322" s="350" t="str">
        <f ca="1">Start.listina!O190</f>
        <v/>
      </c>
      <c r="B322" s="399" t="str">
        <f ca="1">Start.listina!P190</f>
        <v xml:space="preserve"> </v>
      </c>
      <c r="C322" s="350" t="str">
        <f ca="1">Start.listina!Q190</f>
        <v xml:space="preserve"> </v>
      </c>
      <c r="D322" s="350" t="str">
        <f ca="1">Start.listina!R190</f>
        <v xml:space="preserve"> </v>
      </c>
      <c r="E322" s="350">
        <f ca="1">Start.listina!S190</f>
        <v>9999</v>
      </c>
      <c r="F322" s="350">
        <f ca="1">Start.listina!T190</f>
        <v>0</v>
      </c>
      <c r="G322" s="7"/>
    </row>
    <row r="323" spans="1:7">
      <c r="A323" s="350" t="str">
        <f ca="1">Start.listina!O191</f>
        <v/>
      </c>
      <c r="B323" s="399" t="str">
        <f ca="1">Start.listina!P191</f>
        <v xml:space="preserve"> </v>
      </c>
      <c r="C323" s="350" t="str">
        <f ca="1">Start.listina!Q191</f>
        <v xml:space="preserve"> </v>
      </c>
      <c r="D323" s="350" t="str">
        <f ca="1">Start.listina!R191</f>
        <v xml:space="preserve"> </v>
      </c>
      <c r="E323" s="350">
        <f ca="1">Start.listina!S191</f>
        <v>9999</v>
      </c>
      <c r="F323" s="350">
        <f ca="1">Start.listina!T191</f>
        <v>0</v>
      </c>
      <c r="G323" s="7"/>
    </row>
    <row r="324" spans="1:7">
      <c r="A324" s="350" t="str">
        <f ca="1">Start.listina!O192</f>
        <v/>
      </c>
      <c r="B324" s="399" t="str">
        <f ca="1">Start.listina!P192</f>
        <v xml:space="preserve"> </v>
      </c>
      <c r="C324" s="350" t="str">
        <f ca="1">Start.listina!Q192</f>
        <v xml:space="preserve"> </v>
      </c>
      <c r="D324" s="350" t="str">
        <f ca="1">Start.listina!R192</f>
        <v xml:space="preserve"> </v>
      </c>
      <c r="E324" s="350">
        <f ca="1">Start.listina!S192</f>
        <v>9999</v>
      </c>
      <c r="F324" s="350">
        <f ca="1">Start.listina!T192</f>
        <v>0</v>
      </c>
      <c r="G324" s="7"/>
    </row>
    <row r="325" spans="1:7">
      <c r="A325" s="350" t="str">
        <f ca="1">Start.listina!O193</f>
        <v/>
      </c>
      <c r="B325" s="399" t="str">
        <f ca="1">Start.listina!P193</f>
        <v xml:space="preserve"> </v>
      </c>
      <c r="C325" s="350" t="str">
        <f ca="1">Start.listina!Q193</f>
        <v xml:space="preserve"> </v>
      </c>
      <c r="D325" s="350" t="str">
        <f ca="1">Start.listina!R193</f>
        <v xml:space="preserve"> </v>
      </c>
      <c r="E325" s="350">
        <f ca="1">Start.listina!S193</f>
        <v>9999</v>
      </c>
      <c r="F325" s="350">
        <f ca="1">Start.listina!T193</f>
        <v>0</v>
      </c>
      <c r="G325" s="7"/>
    </row>
    <row r="326" spans="1:7">
      <c r="A326" s="350" t="str">
        <f ca="1">Start.listina!O194</f>
        <v/>
      </c>
      <c r="B326" s="399" t="str">
        <f ca="1">Start.listina!P194</f>
        <v xml:space="preserve"> </v>
      </c>
      <c r="C326" s="350" t="str">
        <f ca="1">Start.listina!Q194</f>
        <v xml:space="preserve"> </v>
      </c>
      <c r="D326" s="350" t="str">
        <f ca="1">Start.listina!R194</f>
        <v xml:space="preserve"> </v>
      </c>
      <c r="E326" s="350">
        <f ca="1">Start.listina!S194</f>
        <v>9999</v>
      </c>
      <c r="F326" s="350">
        <f ca="1">Start.listina!T194</f>
        <v>0</v>
      </c>
      <c r="G326" s="7"/>
    </row>
    <row r="327" spans="1:7">
      <c r="A327" s="350" t="str">
        <f ca="1">Start.listina!O195</f>
        <v/>
      </c>
      <c r="B327" s="399" t="str">
        <f ca="1">Start.listina!P195</f>
        <v xml:space="preserve"> </v>
      </c>
      <c r="C327" s="350" t="str">
        <f ca="1">Start.listina!Q195</f>
        <v xml:space="preserve"> </v>
      </c>
      <c r="D327" s="350" t="str">
        <f ca="1">Start.listina!R195</f>
        <v xml:space="preserve"> </v>
      </c>
      <c r="E327" s="350">
        <f ca="1">Start.listina!S195</f>
        <v>9999</v>
      </c>
      <c r="F327" s="350">
        <f ca="1">Start.listina!T195</f>
        <v>0</v>
      </c>
      <c r="G327" s="7"/>
    </row>
    <row r="328" spans="1:7">
      <c r="A328" s="350" t="str">
        <f ca="1">Start.listina!O196</f>
        <v/>
      </c>
      <c r="B328" s="399" t="str">
        <f ca="1">Start.listina!P196</f>
        <v xml:space="preserve"> </v>
      </c>
      <c r="C328" s="350" t="str">
        <f ca="1">Start.listina!Q196</f>
        <v xml:space="preserve"> </v>
      </c>
      <c r="D328" s="350" t="str">
        <f ca="1">Start.listina!R196</f>
        <v xml:space="preserve"> </v>
      </c>
      <c r="E328" s="350">
        <f ca="1">Start.listina!S196</f>
        <v>9999</v>
      </c>
      <c r="F328" s="350">
        <f ca="1">Start.listina!T196</f>
        <v>0</v>
      </c>
      <c r="G328" s="7"/>
    </row>
    <row r="329" spans="1:7">
      <c r="A329" s="350" t="str">
        <f ca="1">Start.listina!O197</f>
        <v/>
      </c>
      <c r="B329" s="399" t="str">
        <f ca="1">Start.listina!P197</f>
        <v xml:space="preserve"> </v>
      </c>
      <c r="C329" s="350" t="str">
        <f ca="1">Start.listina!Q197</f>
        <v xml:space="preserve"> </v>
      </c>
      <c r="D329" s="350" t="str">
        <f ca="1">Start.listina!R197</f>
        <v xml:space="preserve"> </v>
      </c>
      <c r="E329" s="350">
        <f ca="1">Start.listina!S197</f>
        <v>9999</v>
      </c>
      <c r="F329" s="350">
        <f ca="1">Start.listina!T197</f>
        <v>0</v>
      </c>
      <c r="G329" s="7"/>
    </row>
    <row r="330" spans="1:7">
      <c r="A330" s="350" t="str">
        <f ca="1">Start.listina!O198</f>
        <v/>
      </c>
      <c r="B330" s="399" t="str">
        <f ca="1">Start.listina!P198</f>
        <v xml:space="preserve"> </v>
      </c>
      <c r="C330" s="350" t="str">
        <f ca="1">Start.listina!Q198</f>
        <v xml:space="preserve"> </v>
      </c>
      <c r="D330" s="350" t="str">
        <f ca="1">Start.listina!R198</f>
        <v xml:space="preserve"> </v>
      </c>
      <c r="E330" s="350">
        <f ca="1">Start.listina!S198</f>
        <v>9999</v>
      </c>
      <c r="F330" s="350">
        <f ca="1">Start.listina!T198</f>
        <v>0</v>
      </c>
      <c r="G330" s="7"/>
    </row>
    <row r="331" spans="1:7">
      <c r="A331" s="350" t="str">
        <f ca="1">Start.listina!O199</f>
        <v/>
      </c>
      <c r="B331" s="399" t="str">
        <f ca="1">Start.listina!P199</f>
        <v xml:space="preserve"> </v>
      </c>
      <c r="C331" s="350" t="str">
        <f ca="1">Start.listina!Q199</f>
        <v xml:space="preserve"> </v>
      </c>
      <c r="D331" s="350" t="str">
        <f ca="1">Start.listina!R199</f>
        <v xml:space="preserve"> </v>
      </c>
      <c r="E331" s="350">
        <f ca="1">Start.listina!S199</f>
        <v>9999</v>
      </c>
      <c r="F331" s="350">
        <f ca="1">Start.listina!T199</f>
        <v>0</v>
      </c>
      <c r="G331" s="7"/>
    </row>
    <row r="332" spans="1:7">
      <c r="A332" s="350" t="str">
        <f ca="1">Start.listina!O200</f>
        <v/>
      </c>
      <c r="B332" s="399" t="str">
        <f ca="1">Start.listina!P200</f>
        <v xml:space="preserve"> </v>
      </c>
      <c r="C332" s="350" t="str">
        <f ca="1">Start.listina!Q200</f>
        <v xml:space="preserve"> </v>
      </c>
      <c r="D332" s="350" t="str">
        <f ca="1">Start.listina!R200</f>
        <v xml:space="preserve"> </v>
      </c>
      <c r="E332" s="350">
        <f ca="1">Start.listina!S200</f>
        <v>9999</v>
      </c>
      <c r="F332" s="350">
        <f ca="1">Start.listina!T200</f>
        <v>0</v>
      </c>
      <c r="G332" s="7"/>
    </row>
    <row r="333" spans="1:7">
      <c r="A333" s="350" t="str">
        <f ca="1">Start.listina!O201</f>
        <v/>
      </c>
      <c r="B333" s="399" t="str">
        <f ca="1">Start.listina!P201</f>
        <v xml:space="preserve"> </v>
      </c>
      <c r="C333" s="350" t="str">
        <f ca="1">Start.listina!Q201</f>
        <v xml:space="preserve"> </v>
      </c>
      <c r="D333" s="350" t="str">
        <f ca="1">Start.listina!R201</f>
        <v xml:space="preserve"> </v>
      </c>
      <c r="E333" s="350">
        <f ca="1">Start.listina!S201</f>
        <v>9999</v>
      </c>
      <c r="F333" s="350">
        <f ca="1">Start.listina!T201</f>
        <v>0</v>
      </c>
      <c r="G333" s="7"/>
    </row>
    <row r="334" spans="1:7">
      <c r="A334" s="350" t="str">
        <f ca="1">Start.listina!O202</f>
        <v/>
      </c>
      <c r="B334" s="399" t="str">
        <f ca="1">Start.listina!P202</f>
        <v xml:space="preserve"> </v>
      </c>
      <c r="C334" s="350" t="str">
        <f ca="1">Start.listina!Q202</f>
        <v xml:space="preserve"> </v>
      </c>
      <c r="D334" s="350" t="str">
        <f ca="1">Start.listina!R202</f>
        <v xml:space="preserve"> </v>
      </c>
      <c r="E334" s="350">
        <f ca="1">Start.listina!S202</f>
        <v>9999</v>
      </c>
      <c r="F334" s="350">
        <f ca="1">Start.listina!T202</f>
        <v>0</v>
      </c>
      <c r="G334" s="7"/>
    </row>
    <row r="335" spans="1:7">
      <c r="A335" s="350" t="str">
        <f ca="1">Start.listina!O203</f>
        <v/>
      </c>
      <c r="B335" s="399" t="str">
        <f ca="1">Start.listina!P203</f>
        <v xml:space="preserve"> </v>
      </c>
      <c r="C335" s="350" t="str">
        <f ca="1">Start.listina!Q203</f>
        <v xml:space="preserve"> </v>
      </c>
      <c r="D335" s="350" t="str">
        <f ca="1">Start.listina!R203</f>
        <v xml:space="preserve"> </v>
      </c>
      <c r="E335" s="350">
        <f ca="1">Start.listina!S203</f>
        <v>9999</v>
      </c>
      <c r="F335" s="350">
        <f ca="1">Start.listina!T203</f>
        <v>0</v>
      </c>
      <c r="G335" s="7"/>
    </row>
    <row r="336" spans="1:7">
      <c r="A336" s="350" t="str">
        <f ca="1">Start.listina!O204</f>
        <v/>
      </c>
      <c r="B336" s="399" t="str">
        <f ca="1">Start.listina!P204</f>
        <v xml:space="preserve"> </v>
      </c>
      <c r="C336" s="350" t="str">
        <f ca="1">Start.listina!Q204</f>
        <v xml:space="preserve"> </v>
      </c>
      <c r="D336" s="350" t="str">
        <f ca="1">Start.listina!R204</f>
        <v xml:space="preserve"> </v>
      </c>
      <c r="E336" s="350">
        <f ca="1">Start.listina!S204</f>
        <v>9999</v>
      </c>
      <c r="F336" s="350">
        <f ca="1">Start.listina!T204</f>
        <v>0</v>
      </c>
      <c r="G336" s="7"/>
    </row>
    <row r="337" spans="1:7">
      <c r="A337" s="350" t="str">
        <f ca="1">Start.listina!O205</f>
        <v/>
      </c>
      <c r="B337" s="399" t="str">
        <f ca="1">Start.listina!P205</f>
        <v xml:space="preserve"> </v>
      </c>
      <c r="C337" s="350" t="str">
        <f ca="1">Start.listina!Q205</f>
        <v xml:space="preserve"> </v>
      </c>
      <c r="D337" s="350" t="str">
        <f ca="1">Start.listina!R205</f>
        <v xml:space="preserve"> </v>
      </c>
      <c r="E337" s="350">
        <f ca="1">Start.listina!S205</f>
        <v>9999</v>
      </c>
      <c r="F337" s="350">
        <f ca="1">Start.listina!T205</f>
        <v>0</v>
      </c>
      <c r="G337" s="7"/>
    </row>
    <row r="338" spans="1:7">
      <c r="A338" s="350" t="str">
        <f ca="1">Start.listina!O206</f>
        <v/>
      </c>
      <c r="B338" s="399" t="str">
        <f ca="1">Start.listina!P206</f>
        <v xml:space="preserve"> </v>
      </c>
      <c r="C338" s="350" t="str">
        <f ca="1">Start.listina!Q206</f>
        <v xml:space="preserve"> </v>
      </c>
      <c r="D338" s="350" t="str">
        <f ca="1">Start.listina!R206</f>
        <v xml:space="preserve"> </v>
      </c>
      <c r="E338" s="350">
        <f ca="1">Start.listina!S206</f>
        <v>9999</v>
      </c>
      <c r="F338" s="350">
        <f ca="1">Start.listina!T206</f>
        <v>0</v>
      </c>
      <c r="G338" s="7"/>
    </row>
    <row r="339" spans="1:7">
      <c r="A339" s="350" t="str">
        <f ca="1">Start.listina!O207</f>
        <v/>
      </c>
      <c r="B339" s="399" t="str">
        <f ca="1">Start.listina!P207</f>
        <v xml:space="preserve"> </v>
      </c>
      <c r="C339" s="350" t="str">
        <f ca="1">Start.listina!Q207</f>
        <v xml:space="preserve"> </v>
      </c>
      <c r="D339" s="350" t="str">
        <f ca="1">Start.listina!R207</f>
        <v xml:space="preserve"> </v>
      </c>
      <c r="E339" s="350">
        <f ca="1">Start.listina!S207</f>
        <v>9999</v>
      </c>
      <c r="F339" s="350">
        <f ca="1">Start.listina!T207</f>
        <v>0</v>
      </c>
      <c r="G339" s="7"/>
    </row>
    <row r="340" spans="1:7">
      <c r="A340" s="350" t="str">
        <f ca="1">Start.listina!O208</f>
        <v/>
      </c>
      <c r="B340" s="399" t="str">
        <f ca="1">Start.listina!P208</f>
        <v xml:space="preserve"> </v>
      </c>
      <c r="C340" s="350" t="str">
        <f ca="1">Start.listina!Q208</f>
        <v xml:space="preserve"> </v>
      </c>
      <c r="D340" s="350" t="str">
        <f ca="1">Start.listina!R208</f>
        <v xml:space="preserve"> </v>
      </c>
      <c r="E340" s="350">
        <f ca="1">Start.listina!S208</f>
        <v>9999</v>
      </c>
      <c r="F340" s="350">
        <f ca="1">Start.listina!T208</f>
        <v>0</v>
      </c>
      <c r="G340" s="7"/>
    </row>
    <row r="341" spans="1:7">
      <c r="A341" s="350" t="str">
        <f ca="1">Start.listina!O209</f>
        <v/>
      </c>
      <c r="B341" s="399" t="str">
        <f ca="1">Start.listina!P209</f>
        <v xml:space="preserve"> </v>
      </c>
      <c r="C341" s="350" t="str">
        <f ca="1">Start.listina!Q209</f>
        <v xml:space="preserve"> </v>
      </c>
      <c r="D341" s="350" t="str">
        <f ca="1">Start.listina!R209</f>
        <v xml:space="preserve"> </v>
      </c>
      <c r="E341" s="350">
        <f ca="1">Start.listina!S209</f>
        <v>9999</v>
      </c>
      <c r="F341" s="350">
        <f ca="1">Start.listina!T209</f>
        <v>0</v>
      </c>
      <c r="G341" s="7"/>
    </row>
    <row r="342" spans="1:7">
      <c r="A342" s="350" t="str">
        <f ca="1">Start.listina!O210</f>
        <v/>
      </c>
      <c r="B342" s="399" t="str">
        <f ca="1">Start.listina!P210</f>
        <v xml:space="preserve"> </v>
      </c>
      <c r="C342" s="350" t="str">
        <f ca="1">Start.listina!Q210</f>
        <v xml:space="preserve"> </v>
      </c>
      <c r="D342" s="350" t="str">
        <f ca="1">Start.listina!R210</f>
        <v xml:space="preserve"> </v>
      </c>
      <c r="E342" s="350">
        <f ca="1">Start.listina!S210</f>
        <v>9999</v>
      </c>
      <c r="F342" s="350">
        <f ca="1">Start.listina!T210</f>
        <v>0</v>
      </c>
      <c r="G342" s="7"/>
    </row>
    <row r="343" spans="1:7">
      <c r="A343" s="350" t="str">
        <f ca="1">Start.listina!O211</f>
        <v/>
      </c>
      <c r="B343" s="399" t="str">
        <f ca="1">Start.listina!P211</f>
        <v xml:space="preserve"> </v>
      </c>
      <c r="C343" s="350" t="str">
        <f ca="1">Start.listina!Q211</f>
        <v xml:space="preserve"> </v>
      </c>
      <c r="D343" s="350" t="str">
        <f ca="1">Start.listina!R211</f>
        <v xml:space="preserve"> </v>
      </c>
      <c r="E343" s="350">
        <f ca="1">Start.listina!S211</f>
        <v>9999</v>
      </c>
      <c r="F343" s="350">
        <f ca="1">Start.listina!T211</f>
        <v>0</v>
      </c>
      <c r="G343" s="7"/>
    </row>
    <row r="344" spans="1:7">
      <c r="A344" s="350" t="str">
        <f ca="1">Start.listina!O212</f>
        <v/>
      </c>
      <c r="B344" s="399" t="str">
        <f ca="1">Start.listina!P212</f>
        <v xml:space="preserve"> </v>
      </c>
      <c r="C344" s="350" t="str">
        <f ca="1">Start.listina!Q212</f>
        <v xml:space="preserve"> </v>
      </c>
      <c r="D344" s="350" t="str">
        <f ca="1">Start.listina!R212</f>
        <v xml:space="preserve"> </v>
      </c>
      <c r="E344" s="350">
        <f ca="1">Start.listina!S212</f>
        <v>9999</v>
      </c>
      <c r="F344" s="350">
        <f ca="1">Start.listina!T212</f>
        <v>0</v>
      </c>
      <c r="G344" s="7"/>
    </row>
    <row r="345" spans="1:7">
      <c r="A345" s="350" t="str">
        <f ca="1">Start.listina!O213</f>
        <v/>
      </c>
      <c r="B345" s="399" t="str">
        <f ca="1">Start.listina!P213</f>
        <v xml:space="preserve"> </v>
      </c>
      <c r="C345" s="350" t="str">
        <f ca="1">Start.listina!Q213</f>
        <v xml:space="preserve"> </v>
      </c>
      <c r="D345" s="350" t="str">
        <f ca="1">Start.listina!R213</f>
        <v xml:space="preserve"> </v>
      </c>
      <c r="E345" s="350">
        <f ca="1">Start.listina!S213</f>
        <v>9999</v>
      </c>
      <c r="F345" s="350">
        <f ca="1">Start.listina!T213</f>
        <v>0</v>
      </c>
      <c r="G345" s="7"/>
    </row>
    <row r="346" spans="1:7">
      <c r="A346" s="350" t="str">
        <f ca="1">Start.listina!O214</f>
        <v/>
      </c>
      <c r="B346" s="399" t="str">
        <f ca="1">Start.listina!P214</f>
        <v xml:space="preserve"> </v>
      </c>
      <c r="C346" s="350" t="str">
        <f ca="1">Start.listina!Q214</f>
        <v xml:space="preserve"> </v>
      </c>
      <c r="D346" s="350" t="str">
        <f ca="1">Start.listina!R214</f>
        <v xml:space="preserve"> </v>
      </c>
      <c r="E346" s="350">
        <f ca="1">Start.listina!S214</f>
        <v>9999</v>
      </c>
      <c r="F346" s="350">
        <f ca="1">Start.listina!T214</f>
        <v>0</v>
      </c>
      <c r="G346" s="7"/>
    </row>
    <row r="347" spans="1:7">
      <c r="A347" s="350" t="str">
        <f ca="1">Start.listina!O215</f>
        <v/>
      </c>
      <c r="B347" s="399" t="str">
        <f ca="1">Start.listina!P215</f>
        <v xml:space="preserve"> </v>
      </c>
      <c r="C347" s="350" t="str">
        <f ca="1">Start.listina!Q215</f>
        <v xml:space="preserve"> </v>
      </c>
      <c r="D347" s="350" t="str">
        <f ca="1">Start.listina!R215</f>
        <v xml:space="preserve"> </v>
      </c>
      <c r="E347" s="350">
        <f ca="1">Start.listina!S215</f>
        <v>9999</v>
      </c>
      <c r="F347" s="350">
        <f ca="1">Start.listina!T215</f>
        <v>0</v>
      </c>
      <c r="G347" s="7"/>
    </row>
    <row r="348" spans="1:7">
      <c r="A348" s="350" t="str">
        <f ca="1">Start.listina!O216</f>
        <v/>
      </c>
      <c r="B348" s="399" t="str">
        <f ca="1">Start.listina!P216</f>
        <v xml:space="preserve"> </v>
      </c>
      <c r="C348" s="350" t="str">
        <f ca="1">Start.listina!Q216</f>
        <v xml:space="preserve"> </v>
      </c>
      <c r="D348" s="350" t="str">
        <f ca="1">Start.listina!R216</f>
        <v xml:space="preserve"> </v>
      </c>
      <c r="E348" s="350">
        <f ca="1">Start.listina!S216</f>
        <v>9999</v>
      </c>
      <c r="F348" s="350">
        <f ca="1">Start.listina!T216</f>
        <v>0</v>
      </c>
      <c r="G348" s="7"/>
    </row>
    <row r="349" spans="1:7">
      <c r="A349" s="350" t="str">
        <f ca="1">Start.listina!O217</f>
        <v/>
      </c>
      <c r="B349" s="399" t="str">
        <f ca="1">Start.listina!P217</f>
        <v xml:space="preserve"> </v>
      </c>
      <c r="C349" s="350" t="str">
        <f ca="1">Start.listina!Q217</f>
        <v xml:space="preserve"> </v>
      </c>
      <c r="D349" s="350" t="str">
        <f ca="1">Start.listina!R217</f>
        <v xml:space="preserve"> </v>
      </c>
      <c r="E349" s="350">
        <f ca="1">Start.listina!S217</f>
        <v>9999</v>
      </c>
      <c r="F349" s="350">
        <f ca="1">Start.listina!T217</f>
        <v>0</v>
      </c>
      <c r="G349" s="7"/>
    </row>
    <row r="350" spans="1:7">
      <c r="A350" s="350" t="str">
        <f ca="1">Start.listina!O218</f>
        <v/>
      </c>
      <c r="B350" s="399" t="str">
        <f ca="1">Start.listina!P218</f>
        <v xml:space="preserve"> </v>
      </c>
      <c r="C350" s="350" t="str">
        <f ca="1">Start.listina!Q218</f>
        <v xml:space="preserve"> </v>
      </c>
      <c r="D350" s="350" t="str">
        <f ca="1">Start.listina!R218</f>
        <v xml:space="preserve"> </v>
      </c>
      <c r="E350" s="350">
        <f ca="1">Start.listina!S218</f>
        <v>9999</v>
      </c>
      <c r="F350" s="350">
        <f ca="1">Start.listina!T218</f>
        <v>0</v>
      </c>
      <c r="G350" s="7"/>
    </row>
    <row r="351" spans="1:7">
      <c r="A351" s="350" t="str">
        <f ca="1">Start.listina!O219</f>
        <v/>
      </c>
      <c r="B351" s="399" t="str">
        <f ca="1">Start.listina!P219</f>
        <v xml:space="preserve"> </v>
      </c>
      <c r="C351" s="350" t="str">
        <f ca="1">Start.listina!Q219</f>
        <v xml:space="preserve"> </v>
      </c>
      <c r="D351" s="350" t="str">
        <f ca="1">Start.listina!R219</f>
        <v xml:space="preserve"> </v>
      </c>
      <c r="E351" s="350">
        <f ca="1">Start.listina!S219</f>
        <v>9999</v>
      </c>
      <c r="F351" s="350">
        <f ca="1">Start.listina!T219</f>
        <v>0</v>
      </c>
      <c r="G351" s="7"/>
    </row>
    <row r="352" spans="1:7">
      <c r="A352" s="350" t="str">
        <f ca="1">Start.listina!O220</f>
        <v/>
      </c>
      <c r="B352" s="399" t="str">
        <f ca="1">Start.listina!P220</f>
        <v xml:space="preserve"> </v>
      </c>
      <c r="C352" s="350" t="str">
        <f ca="1">Start.listina!Q220</f>
        <v xml:space="preserve"> </v>
      </c>
      <c r="D352" s="350" t="str">
        <f ca="1">Start.listina!R220</f>
        <v xml:space="preserve"> </v>
      </c>
      <c r="E352" s="350">
        <f ca="1">Start.listina!S220</f>
        <v>9999</v>
      </c>
      <c r="F352" s="350">
        <f ca="1">Start.listina!T220</f>
        <v>0</v>
      </c>
      <c r="G352" s="7"/>
    </row>
    <row r="353" spans="1:7">
      <c r="A353" s="350" t="str">
        <f ca="1">Start.listina!O221</f>
        <v/>
      </c>
      <c r="B353" s="399" t="str">
        <f ca="1">Start.listina!P221</f>
        <v xml:space="preserve"> </v>
      </c>
      <c r="C353" s="350" t="str">
        <f ca="1">Start.listina!Q221</f>
        <v xml:space="preserve"> </v>
      </c>
      <c r="D353" s="350" t="str">
        <f ca="1">Start.listina!R221</f>
        <v xml:space="preserve"> </v>
      </c>
      <c r="E353" s="350">
        <f ca="1">Start.listina!S221</f>
        <v>9999</v>
      </c>
      <c r="F353" s="350">
        <f ca="1">Start.listina!T221</f>
        <v>0</v>
      </c>
      <c r="G353" s="7"/>
    </row>
    <row r="354" spans="1:7">
      <c r="A354" s="350" t="str">
        <f ca="1">Start.listina!O222</f>
        <v/>
      </c>
      <c r="B354" s="399" t="str">
        <f ca="1">Start.listina!P222</f>
        <v xml:space="preserve"> </v>
      </c>
      <c r="C354" s="350" t="str">
        <f ca="1">Start.listina!Q222</f>
        <v xml:space="preserve"> </v>
      </c>
      <c r="D354" s="350" t="str">
        <f ca="1">Start.listina!R222</f>
        <v xml:space="preserve"> </v>
      </c>
      <c r="E354" s="350">
        <f ca="1">Start.listina!S222</f>
        <v>9999</v>
      </c>
      <c r="F354" s="350">
        <f ca="1">Start.listina!T222</f>
        <v>0</v>
      </c>
      <c r="G354" s="7"/>
    </row>
    <row r="355" spans="1:7">
      <c r="A355" s="350" t="str">
        <f ca="1">Start.listina!O223</f>
        <v/>
      </c>
      <c r="B355" s="399" t="str">
        <f ca="1">Start.listina!P223</f>
        <v xml:space="preserve"> </v>
      </c>
      <c r="C355" s="350" t="str">
        <f ca="1">Start.listina!Q223</f>
        <v xml:space="preserve"> </v>
      </c>
      <c r="D355" s="350" t="str">
        <f ca="1">Start.listina!R223</f>
        <v xml:space="preserve"> </v>
      </c>
      <c r="E355" s="350">
        <f ca="1">Start.listina!S223</f>
        <v>9999</v>
      </c>
      <c r="F355" s="350">
        <f ca="1">Start.listina!T223</f>
        <v>0</v>
      </c>
      <c r="G355" s="7"/>
    </row>
    <row r="356" spans="1:7">
      <c r="A356" s="350" t="str">
        <f ca="1">Start.listina!O224</f>
        <v/>
      </c>
      <c r="B356" s="399" t="str">
        <f ca="1">Start.listina!P224</f>
        <v xml:space="preserve"> </v>
      </c>
      <c r="C356" s="350" t="str">
        <f ca="1">Start.listina!Q224</f>
        <v xml:space="preserve"> </v>
      </c>
      <c r="D356" s="350" t="str">
        <f ca="1">Start.listina!R224</f>
        <v xml:space="preserve"> </v>
      </c>
      <c r="E356" s="350">
        <f ca="1">Start.listina!S224</f>
        <v>9999</v>
      </c>
      <c r="F356" s="350">
        <f ca="1">Start.listina!T224</f>
        <v>0</v>
      </c>
      <c r="G356" s="7"/>
    </row>
    <row r="357" spans="1:7">
      <c r="A357" s="350" t="str">
        <f ca="1">Start.listina!O225</f>
        <v/>
      </c>
      <c r="B357" s="399" t="str">
        <f ca="1">Start.listina!P225</f>
        <v xml:space="preserve"> </v>
      </c>
      <c r="C357" s="350" t="str">
        <f ca="1">Start.listina!Q225</f>
        <v xml:space="preserve"> </v>
      </c>
      <c r="D357" s="350" t="str">
        <f ca="1">Start.listina!R225</f>
        <v xml:space="preserve"> </v>
      </c>
      <c r="E357" s="350">
        <f ca="1">Start.listina!S225</f>
        <v>9999</v>
      </c>
      <c r="F357" s="350">
        <f ca="1">Start.listina!T225</f>
        <v>0</v>
      </c>
      <c r="G357" s="7"/>
    </row>
    <row r="358" spans="1:7">
      <c r="A358" s="350" t="str">
        <f ca="1">Start.listina!O226</f>
        <v/>
      </c>
      <c r="B358" s="399" t="str">
        <f ca="1">Start.listina!P226</f>
        <v xml:space="preserve"> </v>
      </c>
      <c r="C358" s="350" t="str">
        <f ca="1">Start.listina!Q226</f>
        <v xml:space="preserve"> </v>
      </c>
      <c r="D358" s="350" t="str">
        <f ca="1">Start.listina!R226</f>
        <v xml:space="preserve"> </v>
      </c>
      <c r="E358" s="350">
        <f ca="1">Start.listina!S226</f>
        <v>9999</v>
      </c>
      <c r="F358" s="350">
        <f ca="1">Start.listina!T226</f>
        <v>0</v>
      </c>
      <c r="G358" s="7"/>
    </row>
    <row r="359" spans="1:7">
      <c r="A359" s="350" t="str">
        <f ca="1">Start.listina!O227</f>
        <v/>
      </c>
      <c r="B359" s="399" t="str">
        <f ca="1">Start.listina!P227</f>
        <v xml:space="preserve"> </v>
      </c>
      <c r="C359" s="350" t="str">
        <f ca="1">Start.listina!Q227</f>
        <v xml:space="preserve"> </v>
      </c>
      <c r="D359" s="350" t="str">
        <f ca="1">Start.listina!R227</f>
        <v xml:space="preserve"> </v>
      </c>
      <c r="E359" s="350">
        <f ca="1">Start.listina!S227</f>
        <v>9999</v>
      </c>
      <c r="F359" s="350">
        <f ca="1">Start.listina!T227</f>
        <v>0</v>
      </c>
      <c r="G359" s="7"/>
    </row>
    <row r="360" spans="1:7">
      <c r="A360" s="350" t="str">
        <f ca="1">Start.listina!O228</f>
        <v/>
      </c>
      <c r="B360" s="399" t="str">
        <f ca="1">Start.listina!P228</f>
        <v xml:space="preserve"> </v>
      </c>
      <c r="C360" s="350" t="str">
        <f ca="1">Start.listina!Q228</f>
        <v xml:space="preserve"> </v>
      </c>
      <c r="D360" s="350" t="str">
        <f ca="1">Start.listina!R228</f>
        <v xml:space="preserve"> </v>
      </c>
      <c r="E360" s="350">
        <f ca="1">Start.listina!S228</f>
        <v>9999</v>
      </c>
      <c r="F360" s="350">
        <f ca="1">Start.listina!T228</f>
        <v>0</v>
      </c>
      <c r="G360" s="7"/>
    </row>
    <row r="361" spans="1:7">
      <c r="A361" s="350" t="str">
        <f ca="1">Start.listina!O229</f>
        <v/>
      </c>
      <c r="B361" s="399" t="str">
        <f ca="1">Start.listina!P229</f>
        <v xml:space="preserve"> </v>
      </c>
      <c r="C361" s="350" t="str">
        <f ca="1">Start.listina!Q229</f>
        <v xml:space="preserve"> </v>
      </c>
      <c r="D361" s="350" t="str">
        <f ca="1">Start.listina!R229</f>
        <v xml:space="preserve"> </v>
      </c>
      <c r="E361" s="350">
        <f ca="1">Start.listina!S229</f>
        <v>9999</v>
      </c>
      <c r="F361" s="350">
        <f ca="1">Start.listina!T229</f>
        <v>0</v>
      </c>
      <c r="G361" s="7"/>
    </row>
    <row r="362" spans="1:7">
      <c r="A362" s="350" t="str">
        <f ca="1">Start.listina!O230</f>
        <v/>
      </c>
      <c r="B362" s="399" t="str">
        <f ca="1">Start.listina!P230</f>
        <v xml:space="preserve"> </v>
      </c>
      <c r="C362" s="350" t="str">
        <f ca="1">Start.listina!Q230</f>
        <v xml:space="preserve"> </v>
      </c>
      <c r="D362" s="350" t="str">
        <f ca="1">Start.listina!R230</f>
        <v xml:space="preserve"> </v>
      </c>
      <c r="E362" s="350">
        <f ca="1">Start.listina!S230</f>
        <v>9999</v>
      </c>
      <c r="F362" s="350">
        <f ca="1">Start.listina!T230</f>
        <v>0</v>
      </c>
      <c r="G362" s="7"/>
    </row>
    <row r="363" spans="1:7">
      <c r="A363" s="350" t="str">
        <f ca="1">Start.listina!O231</f>
        <v/>
      </c>
      <c r="B363" s="399" t="str">
        <f ca="1">Start.listina!P231</f>
        <v xml:space="preserve"> </v>
      </c>
      <c r="C363" s="350" t="str">
        <f ca="1">Start.listina!Q231</f>
        <v xml:space="preserve"> </v>
      </c>
      <c r="D363" s="350" t="str">
        <f ca="1">Start.listina!R231</f>
        <v xml:space="preserve"> </v>
      </c>
      <c r="E363" s="350">
        <f ca="1">Start.listina!S231</f>
        <v>9999</v>
      </c>
      <c r="F363" s="350">
        <f ca="1">Start.listina!T231</f>
        <v>0</v>
      </c>
      <c r="G363" s="7"/>
    </row>
    <row r="364" spans="1:7">
      <c r="A364" s="350" t="str">
        <f ca="1">Start.listina!O232</f>
        <v/>
      </c>
      <c r="B364" s="399" t="str">
        <f ca="1">Start.listina!P232</f>
        <v xml:space="preserve"> </v>
      </c>
      <c r="C364" s="350" t="str">
        <f ca="1">Start.listina!Q232</f>
        <v xml:space="preserve"> </v>
      </c>
      <c r="D364" s="350" t="str">
        <f ca="1">Start.listina!R232</f>
        <v xml:space="preserve"> </v>
      </c>
      <c r="E364" s="350">
        <f ca="1">Start.listina!S232</f>
        <v>9999</v>
      </c>
      <c r="F364" s="350">
        <f ca="1">Start.listina!T232</f>
        <v>0</v>
      </c>
      <c r="G364" s="7"/>
    </row>
    <row r="365" spans="1:7">
      <c r="A365" s="350" t="str">
        <f ca="1">Start.listina!O233</f>
        <v/>
      </c>
      <c r="B365" s="399" t="str">
        <f ca="1">Start.listina!P233</f>
        <v xml:space="preserve"> </v>
      </c>
      <c r="C365" s="350" t="str">
        <f ca="1">Start.listina!Q233</f>
        <v xml:space="preserve"> </v>
      </c>
      <c r="D365" s="350" t="str">
        <f ca="1">Start.listina!R233</f>
        <v xml:space="preserve"> </v>
      </c>
      <c r="E365" s="350">
        <f ca="1">Start.listina!S233</f>
        <v>9999</v>
      </c>
      <c r="F365" s="350">
        <f ca="1">Start.listina!T233</f>
        <v>0</v>
      </c>
      <c r="G365" s="7"/>
    </row>
    <row r="366" spans="1:7">
      <c r="A366" s="350" t="str">
        <f ca="1">Start.listina!O234</f>
        <v/>
      </c>
      <c r="B366" s="399" t="str">
        <f ca="1">Start.listina!P234</f>
        <v xml:space="preserve"> </v>
      </c>
      <c r="C366" s="350" t="str">
        <f ca="1">Start.listina!Q234</f>
        <v xml:space="preserve"> </v>
      </c>
      <c r="D366" s="350" t="str">
        <f ca="1">Start.listina!R234</f>
        <v xml:space="preserve"> </v>
      </c>
      <c r="E366" s="350">
        <f ca="1">Start.listina!S234</f>
        <v>9999</v>
      </c>
      <c r="F366" s="350">
        <f ca="1">Start.listina!T234</f>
        <v>0</v>
      </c>
      <c r="G366" s="7"/>
    </row>
    <row r="367" spans="1:7">
      <c r="A367" s="350" t="str">
        <f ca="1">Start.listina!O235</f>
        <v/>
      </c>
      <c r="B367" s="399" t="str">
        <f ca="1">Start.listina!P235</f>
        <v xml:space="preserve"> </v>
      </c>
      <c r="C367" s="350" t="str">
        <f ca="1">Start.listina!Q235</f>
        <v xml:space="preserve"> </v>
      </c>
      <c r="D367" s="350" t="str">
        <f ca="1">Start.listina!R235</f>
        <v xml:space="preserve"> </v>
      </c>
      <c r="E367" s="350">
        <f ca="1">Start.listina!S235</f>
        <v>9999</v>
      </c>
      <c r="F367" s="350">
        <f ca="1">Start.listina!T235</f>
        <v>0</v>
      </c>
      <c r="G367" s="7"/>
    </row>
    <row r="368" spans="1:7">
      <c r="A368" s="350" t="str">
        <f ca="1">Start.listina!O236</f>
        <v/>
      </c>
      <c r="B368" s="399" t="str">
        <f ca="1">Start.listina!P236</f>
        <v xml:space="preserve"> </v>
      </c>
      <c r="C368" s="350" t="str">
        <f ca="1">Start.listina!Q236</f>
        <v xml:space="preserve"> </v>
      </c>
      <c r="D368" s="350" t="str">
        <f ca="1">Start.listina!R236</f>
        <v xml:space="preserve"> </v>
      </c>
      <c r="E368" s="350">
        <f ca="1">Start.listina!S236</f>
        <v>9999</v>
      </c>
      <c r="F368" s="350">
        <f ca="1">Start.listina!T236</f>
        <v>0</v>
      </c>
      <c r="G368" s="7"/>
    </row>
    <row r="369" spans="1:7">
      <c r="A369" s="350" t="str">
        <f ca="1">Start.listina!O237</f>
        <v/>
      </c>
      <c r="B369" s="399" t="str">
        <f ca="1">Start.listina!P237</f>
        <v xml:space="preserve"> </v>
      </c>
      <c r="C369" s="350" t="str">
        <f ca="1">Start.listina!Q237</f>
        <v xml:space="preserve"> </v>
      </c>
      <c r="D369" s="350" t="str">
        <f ca="1">Start.listina!R237</f>
        <v xml:space="preserve"> </v>
      </c>
      <c r="E369" s="350">
        <f ca="1">Start.listina!S237</f>
        <v>9999</v>
      </c>
      <c r="F369" s="350">
        <f ca="1">Start.listina!T237</f>
        <v>0</v>
      </c>
      <c r="G369" s="7"/>
    </row>
    <row r="370" spans="1:7">
      <c r="A370" s="350" t="str">
        <f ca="1">Start.listina!O238</f>
        <v/>
      </c>
      <c r="B370" s="399" t="str">
        <f ca="1">Start.listina!P238</f>
        <v xml:space="preserve"> </v>
      </c>
      <c r="C370" s="350" t="str">
        <f ca="1">Start.listina!Q238</f>
        <v xml:space="preserve"> </v>
      </c>
      <c r="D370" s="350" t="str">
        <f ca="1">Start.listina!R238</f>
        <v xml:space="preserve"> </v>
      </c>
      <c r="E370" s="350">
        <f ca="1">Start.listina!S238</f>
        <v>9999</v>
      </c>
      <c r="F370" s="350">
        <f ca="1">Start.listina!T238</f>
        <v>0</v>
      </c>
      <c r="G370" s="7"/>
    </row>
    <row r="371" spans="1:7">
      <c r="A371" s="350" t="str">
        <f ca="1">Start.listina!O239</f>
        <v/>
      </c>
      <c r="B371" s="399" t="str">
        <f ca="1">Start.listina!P239</f>
        <v xml:space="preserve"> </v>
      </c>
      <c r="C371" s="350" t="str">
        <f ca="1">Start.listina!Q239</f>
        <v xml:space="preserve"> </v>
      </c>
      <c r="D371" s="350" t="str">
        <f ca="1">Start.listina!R239</f>
        <v xml:space="preserve"> </v>
      </c>
      <c r="E371" s="350">
        <f ca="1">Start.listina!S239</f>
        <v>9999</v>
      </c>
      <c r="F371" s="350">
        <f ca="1">Start.listina!T239</f>
        <v>0</v>
      </c>
      <c r="G371" s="7"/>
    </row>
    <row r="372" spans="1:7">
      <c r="A372" s="350" t="str">
        <f ca="1">Start.listina!O240</f>
        <v/>
      </c>
      <c r="B372" s="399" t="str">
        <f ca="1">Start.listina!P240</f>
        <v xml:space="preserve"> </v>
      </c>
      <c r="C372" s="350" t="str">
        <f ca="1">Start.listina!Q240</f>
        <v xml:space="preserve"> </v>
      </c>
      <c r="D372" s="350" t="str">
        <f ca="1">Start.listina!R240</f>
        <v xml:space="preserve"> </v>
      </c>
      <c r="E372" s="350">
        <f ca="1">Start.listina!S240</f>
        <v>9999</v>
      </c>
      <c r="F372" s="350">
        <f ca="1">Start.listina!T240</f>
        <v>0</v>
      </c>
      <c r="G372" s="7"/>
    </row>
    <row r="373" spans="1:7">
      <c r="A373" s="350" t="str">
        <f ca="1">Start.listina!O241</f>
        <v/>
      </c>
      <c r="B373" s="399" t="str">
        <f ca="1">Start.listina!P241</f>
        <v xml:space="preserve"> </v>
      </c>
      <c r="C373" s="350" t="str">
        <f ca="1">Start.listina!Q241</f>
        <v xml:space="preserve"> </v>
      </c>
      <c r="D373" s="350" t="str">
        <f ca="1">Start.listina!R241</f>
        <v xml:space="preserve"> </v>
      </c>
      <c r="E373" s="350">
        <f ca="1">Start.listina!S241</f>
        <v>9999</v>
      </c>
      <c r="F373" s="350">
        <f ca="1">Start.listina!T241</f>
        <v>0</v>
      </c>
      <c r="G373" s="7"/>
    </row>
    <row r="374" spans="1:7">
      <c r="A374" s="350" t="str">
        <f ca="1">Start.listina!O242</f>
        <v/>
      </c>
      <c r="B374" s="399" t="str">
        <f ca="1">Start.listina!P242</f>
        <v xml:space="preserve"> </v>
      </c>
      <c r="C374" s="350" t="str">
        <f ca="1">Start.listina!Q242</f>
        <v xml:space="preserve"> </v>
      </c>
      <c r="D374" s="350" t="str">
        <f ca="1">Start.listina!R242</f>
        <v xml:space="preserve"> </v>
      </c>
      <c r="E374" s="350">
        <f ca="1">Start.listina!S242</f>
        <v>9999</v>
      </c>
      <c r="F374" s="350">
        <f ca="1">Start.listina!T242</f>
        <v>0</v>
      </c>
      <c r="G374" s="7"/>
    </row>
    <row r="375" spans="1:7">
      <c r="A375" s="350" t="str">
        <f ca="1">Start.listina!O243</f>
        <v/>
      </c>
      <c r="B375" s="399" t="str">
        <f ca="1">Start.listina!P243</f>
        <v xml:space="preserve"> </v>
      </c>
      <c r="C375" s="350" t="str">
        <f ca="1">Start.listina!Q243</f>
        <v xml:space="preserve"> </v>
      </c>
      <c r="D375" s="350" t="str">
        <f ca="1">Start.listina!R243</f>
        <v xml:space="preserve"> </v>
      </c>
      <c r="E375" s="350">
        <f ca="1">Start.listina!S243</f>
        <v>9999</v>
      </c>
      <c r="F375" s="350">
        <f ca="1">Start.listina!T243</f>
        <v>0</v>
      </c>
      <c r="G375" s="7"/>
    </row>
    <row r="376" spans="1:7">
      <c r="A376" s="350" t="str">
        <f ca="1">Start.listina!O244</f>
        <v/>
      </c>
      <c r="B376" s="399" t="str">
        <f ca="1">Start.listina!P244</f>
        <v xml:space="preserve"> </v>
      </c>
      <c r="C376" s="350" t="str">
        <f ca="1">Start.listina!Q244</f>
        <v xml:space="preserve"> </v>
      </c>
      <c r="D376" s="350" t="str">
        <f ca="1">Start.listina!R244</f>
        <v xml:space="preserve"> </v>
      </c>
      <c r="E376" s="350">
        <f ca="1">Start.listina!S244</f>
        <v>9999</v>
      </c>
      <c r="F376" s="350">
        <f ca="1">Start.listina!T244</f>
        <v>0</v>
      </c>
      <c r="G376" s="7"/>
    </row>
    <row r="377" spans="1:7">
      <c r="A377" s="350" t="str">
        <f ca="1">Start.listina!O245</f>
        <v/>
      </c>
      <c r="B377" s="399" t="str">
        <f ca="1">Start.listina!P245</f>
        <v xml:space="preserve"> </v>
      </c>
      <c r="C377" s="350" t="str">
        <f ca="1">Start.listina!Q245</f>
        <v xml:space="preserve"> </v>
      </c>
      <c r="D377" s="350" t="str">
        <f ca="1">Start.listina!R245</f>
        <v xml:space="preserve"> </v>
      </c>
      <c r="E377" s="350">
        <f ca="1">Start.listina!S245</f>
        <v>9999</v>
      </c>
      <c r="F377" s="350">
        <f ca="1">Start.listina!T245</f>
        <v>0</v>
      </c>
      <c r="G377" s="7"/>
    </row>
    <row r="378" spans="1:7">
      <c r="A378" s="350" t="str">
        <f ca="1">Start.listina!O246</f>
        <v/>
      </c>
      <c r="B378" s="399" t="str">
        <f ca="1">Start.listina!P246</f>
        <v xml:space="preserve"> </v>
      </c>
      <c r="C378" s="350" t="str">
        <f ca="1">Start.listina!Q246</f>
        <v xml:space="preserve"> </v>
      </c>
      <c r="D378" s="350" t="str">
        <f ca="1">Start.listina!R246</f>
        <v xml:space="preserve"> </v>
      </c>
      <c r="E378" s="350">
        <f ca="1">Start.listina!S246</f>
        <v>9999</v>
      </c>
      <c r="F378" s="350">
        <f ca="1">Start.listina!T246</f>
        <v>0</v>
      </c>
      <c r="G378" s="7"/>
    </row>
    <row r="379" spans="1:7">
      <c r="A379" s="350" t="str">
        <f ca="1">Start.listina!O247</f>
        <v/>
      </c>
      <c r="B379" s="399" t="str">
        <f ca="1">Start.listina!P247</f>
        <v xml:space="preserve"> </v>
      </c>
      <c r="C379" s="350" t="str">
        <f ca="1">Start.listina!Q247</f>
        <v xml:space="preserve"> </v>
      </c>
      <c r="D379" s="350" t="str">
        <f ca="1">Start.listina!R247</f>
        <v xml:space="preserve"> </v>
      </c>
      <c r="E379" s="350">
        <f ca="1">Start.listina!S247</f>
        <v>9999</v>
      </c>
      <c r="F379" s="350">
        <f ca="1">Start.listina!T247</f>
        <v>0</v>
      </c>
      <c r="G379" s="7"/>
    </row>
    <row r="380" spans="1:7">
      <c r="A380" s="350" t="str">
        <f ca="1">Start.listina!O248</f>
        <v/>
      </c>
      <c r="B380" s="399" t="str">
        <f ca="1">Start.listina!P248</f>
        <v xml:space="preserve"> </v>
      </c>
      <c r="C380" s="350" t="str">
        <f ca="1">Start.listina!Q248</f>
        <v xml:space="preserve"> </v>
      </c>
      <c r="D380" s="350" t="str">
        <f ca="1">Start.listina!R248</f>
        <v xml:space="preserve"> </v>
      </c>
      <c r="E380" s="350">
        <f ca="1">Start.listina!S248</f>
        <v>9999</v>
      </c>
      <c r="F380" s="350">
        <f ca="1">Start.listina!T248</f>
        <v>0</v>
      </c>
      <c r="G380" s="7"/>
    </row>
    <row r="381" spans="1:7">
      <c r="A381" s="350" t="str">
        <f ca="1">Start.listina!O249</f>
        <v/>
      </c>
      <c r="B381" s="399" t="str">
        <f ca="1">Start.listina!P249</f>
        <v xml:space="preserve"> </v>
      </c>
      <c r="C381" s="350" t="str">
        <f ca="1">Start.listina!Q249</f>
        <v xml:space="preserve"> </v>
      </c>
      <c r="D381" s="350" t="str">
        <f ca="1">Start.listina!R249</f>
        <v xml:space="preserve"> </v>
      </c>
      <c r="E381" s="350">
        <f ca="1">Start.listina!S249</f>
        <v>9999</v>
      </c>
      <c r="F381" s="350">
        <f ca="1">Start.listina!T249</f>
        <v>0</v>
      </c>
      <c r="G381" s="7"/>
    </row>
    <row r="382" spans="1:7">
      <c r="A382" s="350" t="str">
        <f ca="1">Start.listina!O250</f>
        <v/>
      </c>
      <c r="B382" s="399" t="str">
        <f ca="1">Start.listina!P250</f>
        <v xml:space="preserve"> </v>
      </c>
      <c r="C382" s="350" t="str">
        <f ca="1">Start.listina!Q250</f>
        <v xml:space="preserve"> </v>
      </c>
      <c r="D382" s="350" t="str">
        <f ca="1">Start.listina!R250</f>
        <v xml:space="preserve"> </v>
      </c>
      <c r="E382" s="350">
        <f ca="1">Start.listina!S250</f>
        <v>9999</v>
      </c>
      <c r="F382" s="350">
        <f ca="1">Start.listina!T250</f>
        <v>0</v>
      </c>
      <c r="G382" s="7"/>
    </row>
    <row r="383" spans="1:7">
      <c r="A383" s="350" t="str">
        <f ca="1">Start.listina!O251</f>
        <v/>
      </c>
      <c r="B383" s="399" t="str">
        <f ca="1">Start.listina!P251</f>
        <v xml:space="preserve"> </v>
      </c>
      <c r="C383" s="350" t="str">
        <f ca="1">Start.listina!Q251</f>
        <v xml:space="preserve"> </v>
      </c>
      <c r="D383" s="350" t="str">
        <f ca="1">Start.listina!R251</f>
        <v xml:space="preserve"> </v>
      </c>
      <c r="E383" s="350">
        <f ca="1">Start.listina!S251</f>
        <v>9999</v>
      </c>
      <c r="F383" s="350">
        <f ca="1">Start.listina!T251</f>
        <v>0</v>
      </c>
      <c r="G383" s="7"/>
    </row>
    <row r="384" spans="1:7">
      <c r="A384" s="350" t="str">
        <f ca="1">Start.listina!O252</f>
        <v/>
      </c>
      <c r="B384" s="399" t="str">
        <f ca="1">Start.listina!P252</f>
        <v xml:space="preserve"> </v>
      </c>
      <c r="C384" s="350" t="str">
        <f ca="1">Start.listina!Q252</f>
        <v xml:space="preserve"> </v>
      </c>
      <c r="D384" s="350" t="str">
        <f ca="1">Start.listina!R252</f>
        <v xml:space="preserve"> </v>
      </c>
      <c r="E384" s="350">
        <f ca="1">Start.listina!S252</f>
        <v>9999</v>
      </c>
      <c r="F384" s="350">
        <f ca="1">Start.listina!T252</f>
        <v>0</v>
      </c>
      <c r="G384" s="7"/>
    </row>
    <row r="385" spans="1:7">
      <c r="A385" s="350" t="str">
        <f ca="1">Start.listina!O253</f>
        <v/>
      </c>
      <c r="B385" s="399" t="str">
        <f ca="1">Start.listina!P253</f>
        <v xml:space="preserve"> </v>
      </c>
      <c r="C385" s="350" t="str">
        <f ca="1">Start.listina!Q253</f>
        <v xml:space="preserve"> </v>
      </c>
      <c r="D385" s="350" t="str">
        <f ca="1">Start.listina!R253</f>
        <v xml:space="preserve"> </v>
      </c>
      <c r="E385" s="350">
        <f ca="1">Start.listina!S253</f>
        <v>9999</v>
      </c>
      <c r="F385" s="350">
        <f ca="1">Start.listina!T253</f>
        <v>0</v>
      </c>
      <c r="G385" s="7"/>
    </row>
    <row r="386" spans="1:7">
      <c r="A386" s="350" t="str">
        <f ca="1">Start.listina!O254</f>
        <v/>
      </c>
      <c r="B386" s="399" t="str">
        <f ca="1">Start.listina!P254</f>
        <v xml:space="preserve"> </v>
      </c>
      <c r="C386" s="350" t="str">
        <f ca="1">Start.listina!Q254</f>
        <v xml:space="preserve"> </v>
      </c>
      <c r="D386" s="350" t="str">
        <f ca="1">Start.listina!R254</f>
        <v xml:space="preserve"> </v>
      </c>
      <c r="E386" s="350">
        <f ca="1">Start.listina!S254</f>
        <v>9999</v>
      </c>
      <c r="F386" s="350">
        <f ca="1">Start.listina!T254</f>
        <v>0</v>
      </c>
      <c r="G386" s="7"/>
    </row>
    <row r="387" spans="1:7">
      <c r="A387" s="350" t="str">
        <f ca="1">Start.listina!O255</f>
        <v/>
      </c>
      <c r="B387" s="399" t="str">
        <f ca="1">Start.listina!P255</f>
        <v xml:space="preserve"> </v>
      </c>
      <c r="C387" s="350" t="str">
        <f ca="1">Start.listina!Q255</f>
        <v xml:space="preserve"> </v>
      </c>
      <c r="D387" s="350" t="str">
        <f ca="1">Start.listina!R255</f>
        <v xml:space="preserve"> </v>
      </c>
      <c r="E387" s="350">
        <f ca="1">Start.listina!S255</f>
        <v>9999</v>
      </c>
      <c r="F387" s="350">
        <f ca="1">Start.listina!T255</f>
        <v>0</v>
      </c>
      <c r="G387" s="7"/>
    </row>
    <row r="388" spans="1:7">
      <c r="A388" s="350" t="str">
        <f ca="1">Start.listina!O256</f>
        <v/>
      </c>
      <c r="B388" s="399" t="str">
        <f ca="1">Start.listina!P256</f>
        <v xml:space="preserve"> </v>
      </c>
      <c r="C388" s="350" t="str">
        <f ca="1">Start.listina!Q256</f>
        <v xml:space="preserve"> </v>
      </c>
      <c r="D388" s="350" t="str">
        <f ca="1">Start.listina!R256</f>
        <v xml:space="preserve"> </v>
      </c>
      <c r="E388" s="350">
        <f ca="1">Start.listina!S256</f>
        <v>9999</v>
      </c>
      <c r="F388" s="350">
        <f ca="1">Start.listina!T256</f>
        <v>0</v>
      </c>
      <c r="G388" s="7"/>
    </row>
    <row r="389" spans="1:7">
      <c r="A389" s="350" t="str">
        <f ca="1">Start.listina!O257</f>
        <v/>
      </c>
      <c r="B389" s="399" t="str">
        <f ca="1">Start.listina!P257</f>
        <v xml:space="preserve"> </v>
      </c>
      <c r="C389" s="350" t="str">
        <f ca="1">Start.listina!Q257</f>
        <v xml:space="preserve"> </v>
      </c>
      <c r="D389" s="350" t="str">
        <f ca="1">Start.listina!R257</f>
        <v xml:space="preserve"> </v>
      </c>
      <c r="E389" s="350">
        <f ca="1">Start.listina!S257</f>
        <v>9999</v>
      </c>
      <c r="F389" s="350">
        <f ca="1">Start.listina!T257</f>
        <v>0</v>
      </c>
      <c r="G389" s="104"/>
    </row>
    <row r="390" spans="1:7">
      <c r="A390" s="350" t="str">
        <f ca="1">Start.listina!O258</f>
        <v/>
      </c>
      <c r="B390" s="399" t="str">
        <f ca="1">Start.listina!P258</f>
        <v xml:space="preserve"> </v>
      </c>
      <c r="C390" s="350" t="str">
        <f ca="1">Start.listina!Q258</f>
        <v xml:space="preserve"> </v>
      </c>
      <c r="D390" s="350" t="str">
        <f ca="1">Start.listina!R258</f>
        <v xml:space="preserve"> </v>
      </c>
      <c r="E390" s="350">
        <f ca="1">Start.listina!S258</f>
        <v>9999</v>
      </c>
      <c r="F390" s="350">
        <f ca="1">Start.listina!T258</f>
        <v>0</v>
      </c>
      <c r="G390" s="104"/>
    </row>
    <row r="391" spans="1:7">
      <c r="A391" s="350" t="str">
        <f ca="1">Start.listina!O259</f>
        <v/>
      </c>
      <c r="B391" s="399" t="str">
        <f ca="1">Start.listina!P259</f>
        <v xml:space="preserve"> </v>
      </c>
      <c r="C391" s="350" t="str">
        <f ca="1">Start.listina!Q259</f>
        <v xml:space="preserve"> </v>
      </c>
      <c r="D391" s="350" t="str">
        <f ca="1">Start.listina!R259</f>
        <v xml:space="preserve"> </v>
      </c>
      <c r="E391" s="350">
        <f ca="1">Start.listina!S259</f>
        <v>9999</v>
      </c>
      <c r="F391" s="350">
        <f ca="1">Start.listina!T259</f>
        <v>0</v>
      </c>
      <c r="G391" s="104"/>
    </row>
    <row r="392" spans="1:7">
      <c r="A392" s="350" t="str">
        <f ca="1">Start.listina!O260</f>
        <v/>
      </c>
      <c r="B392" s="399" t="str">
        <f ca="1">Start.listina!P260</f>
        <v xml:space="preserve"> </v>
      </c>
      <c r="C392" s="350" t="str">
        <f ca="1">Start.listina!Q260</f>
        <v xml:space="preserve"> </v>
      </c>
      <c r="D392" s="350" t="str">
        <f ca="1">Start.listina!R260</f>
        <v xml:space="preserve"> </v>
      </c>
      <c r="E392" s="350">
        <f ca="1">Start.listina!S260</f>
        <v>9999</v>
      </c>
      <c r="F392" s="350">
        <f ca="1">Start.listina!T260</f>
        <v>0</v>
      </c>
      <c r="G392" s="104"/>
    </row>
    <row r="393" spans="1:7">
      <c r="A393" s="350" t="str">
        <f ca="1">Start.listina!O261</f>
        <v/>
      </c>
      <c r="B393" s="399" t="str">
        <f ca="1">Start.listina!P261</f>
        <v xml:space="preserve"> </v>
      </c>
      <c r="C393" s="350" t="str">
        <f ca="1">Start.listina!Q261</f>
        <v xml:space="preserve"> </v>
      </c>
      <c r="D393" s="350" t="str">
        <f ca="1">Start.listina!R261</f>
        <v xml:space="preserve"> </v>
      </c>
      <c r="E393" s="350">
        <f ca="1">Start.listina!S261</f>
        <v>9999</v>
      </c>
      <c r="F393" s="350">
        <f ca="1">Start.listina!T261</f>
        <v>0</v>
      </c>
      <c r="G393" s="104"/>
    </row>
    <row r="394" spans="1:7">
      <c r="A394" s="350" t="str">
        <f ca="1">Start.listina!O262</f>
        <v/>
      </c>
      <c r="B394" s="399" t="str">
        <f ca="1">Start.listina!P262</f>
        <v xml:space="preserve"> </v>
      </c>
      <c r="C394" s="350" t="str">
        <f ca="1">Start.listina!Q262</f>
        <v xml:space="preserve"> </v>
      </c>
      <c r="D394" s="350" t="str">
        <f ca="1">Start.listina!R262</f>
        <v xml:space="preserve"> </v>
      </c>
      <c r="E394" s="350">
        <f ca="1">Start.listina!S262</f>
        <v>9999</v>
      </c>
      <c r="F394" s="350">
        <f ca="1">Start.listina!T262</f>
        <v>0</v>
      </c>
      <c r="G394" s="104"/>
    </row>
    <row r="395" spans="1:7">
      <c r="A395" s="350" t="str">
        <f ca="1">Start.listina!O263</f>
        <v/>
      </c>
      <c r="B395" s="399" t="str">
        <f ca="1">Start.listina!P263</f>
        <v xml:space="preserve"> </v>
      </c>
      <c r="C395" s="350" t="str">
        <f ca="1">Start.listina!Q263</f>
        <v xml:space="preserve"> </v>
      </c>
      <c r="D395" s="350" t="str">
        <f ca="1">Start.listina!R263</f>
        <v xml:space="preserve"> </v>
      </c>
      <c r="E395" s="350">
        <f ca="1">Start.listina!S263</f>
        <v>9999</v>
      </c>
      <c r="F395" s="350">
        <f ca="1">Start.listina!T263</f>
        <v>0</v>
      </c>
      <c r="G395" s="104"/>
    </row>
    <row r="396" spans="1:7">
      <c r="A396" s="350" t="str">
        <f ca="1">Start.listina!O264</f>
        <v/>
      </c>
      <c r="B396" s="399" t="str">
        <f ca="1">Start.listina!P264</f>
        <v xml:space="preserve"> </v>
      </c>
      <c r="C396" s="350" t="str">
        <f ca="1">Start.listina!Q264</f>
        <v xml:space="preserve"> </v>
      </c>
      <c r="D396" s="350" t="str">
        <f ca="1">Start.listina!R264</f>
        <v xml:space="preserve"> </v>
      </c>
      <c r="E396" s="350">
        <f ca="1">Start.listina!S264</f>
        <v>9999</v>
      </c>
      <c r="F396" s="350">
        <f ca="1">Start.listina!T264</f>
        <v>0</v>
      </c>
      <c r="G396" s="104"/>
    </row>
    <row r="397" spans="1:7">
      <c r="A397" s="350" t="str">
        <f ca="1">Start.listina!O265</f>
        <v/>
      </c>
      <c r="B397" s="399" t="str">
        <f ca="1">Start.listina!P265</f>
        <v xml:space="preserve"> </v>
      </c>
      <c r="C397" s="350" t="str">
        <f ca="1">Start.listina!Q265</f>
        <v xml:space="preserve"> </v>
      </c>
      <c r="D397" s="350" t="str">
        <f ca="1">Start.listina!R265</f>
        <v xml:space="preserve"> </v>
      </c>
      <c r="E397" s="350">
        <f ca="1">Start.listina!S265</f>
        <v>9999</v>
      </c>
      <c r="F397" s="350">
        <f ca="1">Start.listina!T265</f>
        <v>0</v>
      </c>
      <c r="G397" s="104"/>
    </row>
    <row r="398" spans="1:7">
      <c r="A398" s="350" t="str">
        <f ca="1">Start.listina!O266</f>
        <v/>
      </c>
      <c r="B398" s="399" t="str">
        <f ca="1">Start.listina!P266</f>
        <v xml:space="preserve"> </v>
      </c>
      <c r="C398" s="350" t="str">
        <f ca="1">Start.listina!Q266</f>
        <v xml:space="preserve"> </v>
      </c>
      <c r="D398" s="350" t="str">
        <f ca="1">Start.listina!R266</f>
        <v xml:space="preserve"> </v>
      </c>
      <c r="E398" s="350">
        <f ca="1">Start.listina!S266</f>
        <v>9999</v>
      </c>
      <c r="F398" s="350">
        <f ca="1">Start.listina!T266</f>
        <v>0</v>
      </c>
      <c r="G398" s="104"/>
    </row>
  </sheetData>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80.xml><?xml version="1.0" encoding="utf-8"?>
<worksheet xmlns="http://schemas.openxmlformats.org/spreadsheetml/2006/main" xmlns:r="http://schemas.openxmlformats.org/officeDocument/2006/relationships">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38</v>
      </c>
      <c r="B1" s="71" t="s">
        <v>113</v>
      </c>
      <c r="C1" s="71" t="s">
        <v>1169</v>
      </c>
      <c r="D1" s="72"/>
      <c r="E1" s="70"/>
      <c r="F1">
        <f>VLOOKUP(A1,'Hra 2P'!I8:J390,2,0)</f>
        <v>230</v>
      </c>
      <c r="L1">
        <f ca="1">IF(TRIM(B3)="-",0,1) + IF(TRIM(B4)="-",0,1) + IF(TRIM(B5)="-",0,1) + IF(TRIM(B6)="-",0,1)</f>
        <v>4</v>
      </c>
      <c r="R1">
        <f ca="1">INDIRECT(ADDRESS(4,A1,1,1,"Hřiště"))</f>
        <v>46</v>
      </c>
      <c r="S1">
        <f ca="1">INDIRECT(ADDRESS(5,A1,1,1,"Hřiště"))</f>
        <v>47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38 FENYX Adamov - Král Pavel</v>
      </c>
      <c r="C3" s="70"/>
      <c r="D3" s="70"/>
      <c r="E3" s="70"/>
    </row>
    <row r="4" spans="1:20" ht="19.5">
      <c r="A4" s="70">
        <v>2</v>
      </c>
      <c r="B4" s="43" t="str">
        <f ca="1">IF(TYPE(VLOOKUP(CONCATENATE($C$1,A4),Skupiny!$A$3:$B$258,2,0))&gt;4," - ",VLOOKUP(CONCATENATE($C$1,A4),Skupiny!$A$3:$B$258,2,0))</f>
        <v>49 1. KPK Vrchlabí - Hančová Alice</v>
      </c>
      <c r="C4" s="70"/>
      <c r="D4" s="70"/>
      <c r="E4" s="70"/>
    </row>
    <row r="5" spans="1:20" ht="19.5">
      <c r="A5" s="70">
        <v>3</v>
      </c>
      <c r="B5" s="43" t="str">
        <f ca="1">IF(TYPE(VLOOKUP(CONCATENATE($C$1,A5),Skupiny!$A$3:$B$258,2,0))&gt;4," - ",VLOOKUP(CONCATENATE($C$1,A5),Skupiny!$A$3:$B$258,2,0))</f>
        <v>124 SK Sahara Vědomice - Suchomel Luděk</v>
      </c>
      <c r="C5" s="70"/>
      <c r="D5" s="70"/>
      <c r="E5" s="70"/>
    </row>
    <row r="6" spans="1:20" ht="19.5">
      <c r="A6" s="70">
        <v>4</v>
      </c>
      <c r="B6" s="43" t="str">
        <f ca="1">IF(TYPE(VLOOKUP(CONCATENATE($C$1,A6),Skupiny!$A$3:$B$258,2,0))&gt;4," - ",VLOOKUP(CONCATENATE($C$1,A6),Skupiny!$A$3:$B$258,2,0))</f>
        <v>135 VARAN - Tintěrová Kateřina</v>
      </c>
      <c r="C6" s="70"/>
      <c r="D6" s="70"/>
      <c r="E6" s="70"/>
    </row>
    <row r="7" spans="1:20" ht="36.6" customHeight="1">
      <c r="A7" s="70"/>
      <c r="B7" s="70" t="s">
        <v>50</v>
      </c>
      <c r="C7" s="73" t="s">
        <v>51</v>
      </c>
      <c r="D7" s="70" t="s">
        <v>51</v>
      </c>
      <c r="E7" s="70"/>
    </row>
    <row r="8" spans="1:20" ht="19.5">
      <c r="A8" s="70"/>
      <c r="B8" s="43" t="str">
        <f ca="1">B3</f>
        <v>38 FENYX Adamov - Král Pavel</v>
      </c>
      <c r="C8" s="74">
        <f>IF(('Hra 2P'!E230=""),"",'Hra 2P'!E230)</f>
        <v>13</v>
      </c>
      <c r="D8" s="74">
        <f>IF(('Hra 2P'!F230=""),"",'Hra 2P'!F230)</f>
        <v>11</v>
      </c>
      <c r="E8" s="43" t="str">
        <f ca="1">B6</f>
        <v>135 VARAN - Tintěrová Kateřina</v>
      </c>
    </row>
    <row r="9" spans="1:20" ht="19.5">
      <c r="A9" s="70"/>
      <c r="B9" s="43" t="str">
        <f ca="1">B4</f>
        <v>49 1. KPK Vrchlabí - Hančová Alice</v>
      </c>
      <c r="C9" s="74">
        <f>IF(('Hra 2P'!E231=""),"",'Hra 2P'!E231)</f>
        <v>12</v>
      </c>
      <c r="D9" s="74">
        <f>IF(('Hra 2P'!F231=""),"",'Hra 2P'!F231)</f>
        <v>13</v>
      </c>
      <c r="E9" s="43" t="str">
        <f ca="1">B5</f>
        <v>124 SK Sahara Vědomice - Suchomel Luděk</v>
      </c>
    </row>
    <row r="10" spans="1:20" ht="19.5">
      <c r="A10" s="75" t="s">
        <v>46</v>
      </c>
      <c r="B10" s="43" t="str">
        <f ca="1">IF(TRIM(E8)="-",B8,IF(AND(C8="",D8="")," ",IF(N(C8)&gt;N(D8),B8,E8)))</f>
        <v>38 FENYX Adamov - Král Pavel</v>
      </c>
      <c r="C10" s="74">
        <f>IF(('Hra 2P'!E232=""),"",'Hra 2P'!E232)</f>
        <v>13</v>
      </c>
      <c r="D10" s="74">
        <f>IF(('Hra 2P'!F232=""),"",'Hra 2P'!F232)</f>
        <v>12</v>
      </c>
      <c r="E10" s="43" t="str">
        <f ca="1">IF(AND(C9="",D9="")," ",IF(N(C9)&gt;N(D9),B9,E9))</f>
        <v>124 SK Sahara Vědomice - Suchomel Luděk</v>
      </c>
    </row>
    <row r="11" spans="1:20" ht="19.5">
      <c r="A11" s="75" t="s">
        <v>47</v>
      </c>
      <c r="B11" s="43" t="str">
        <f ca="1">IF(TRIM(E8)="-",E8,IF(AND(C8="",D8="")," ",IF(N(C8)&gt;N(D8),E8,B8)))</f>
        <v>135 VARAN - Tintěrová Kateřina</v>
      </c>
      <c r="C11" s="74">
        <f>IF(('Hra 2P'!E233=""),"",'Hra 2P'!E233)</f>
        <v>13</v>
      </c>
      <c r="D11" s="74">
        <f>IF(('Hra 2P'!F233=""),"",'Hra 2P'!F233)</f>
        <v>4</v>
      </c>
      <c r="E11" s="43" t="str">
        <f ca="1">IF(TRIM(E9)="",E9,IF(AND(C9="",D9="")," ",IF(N(C9)&gt;N(D9),E9,B9)))</f>
        <v>49 1. KPK Vrchlabí - Hančová Alice</v>
      </c>
    </row>
    <row r="12" spans="1:20" ht="19.5">
      <c r="A12" s="75" t="s">
        <v>48</v>
      </c>
      <c r="B12" s="43" t="str">
        <f ca="1">IF(TRIM(E10)="",E10,IF(AND(C10="",D10="")," ",IF(N(C10)&gt;N(D10),E10,B10)))</f>
        <v>124 SK Sahara Vědomice - Suchomel Luděk</v>
      </c>
      <c r="C12" s="74">
        <f>IF(('Hra 2P'!E234=""),"",'Hra 2P'!E234)</f>
        <v>6</v>
      </c>
      <c r="D12" s="74">
        <f>IF(('Hra 2P'!F234=""),"",'Hra 2P'!F234)</f>
        <v>13</v>
      </c>
      <c r="E12" s="43" t="str">
        <f ca="1">IF(AND(TRIM(B11)="",TRIM(E8)=""),E11,IF(AND(C11="",D11="")," ",IF(N(C11)&gt;N(D11),B11,E11)))</f>
        <v>135 VARAN - Tintěrová Kateřina</v>
      </c>
    </row>
    <row r="13" spans="1:20" ht="37.15" customHeight="1">
      <c r="A13" s="70"/>
      <c r="B13" s="76" t="s">
        <v>52</v>
      </c>
      <c r="C13" s="77" t="s">
        <v>116</v>
      </c>
      <c r="D13" s="70"/>
      <c r="E13" s="70"/>
    </row>
    <row r="14" spans="1:20" ht="19.5">
      <c r="A14" s="70" t="s">
        <v>31</v>
      </c>
      <c r="B14" s="43" t="str">
        <f ca="1">IF(N(C10)+N(D10)&gt;0,IF(N(C10)&gt;N(D10),B10,E10),"")</f>
        <v>38 FENYX Adamov - Král Pavel</v>
      </c>
      <c r="C14" s="73" t="str">
        <f>CONCATENATE($C$1,A3)</f>
        <v>AL1</v>
      </c>
      <c r="D14" s="70"/>
      <c r="E14" s="70"/>
    </row>
    <row r="15" spans="1:20" ht="19.5">
      <c r="A15" s="70" t="s">
        <v>32</v>
      </c>
      <c r="B15" s="43" t="str">
        <f ca="1">IF(N(C12)+N(D12)&gt;0,IF(N(C12)&gt;N(D12),B12,E12),"")</f>
        <v>135 VARAN - Tintěrová Kateřina</v>
      </c>
      <c r="C15" s="73" t="str">
        <f>CONCATENATE($C$1,A4)</f>
        <v>AL2</v>
      </c>
      <c r="D15" s="70"/>
      <c r="E15" s="70"/>
    </row>
    <row r="16" spans="1:20" ht="19.5">
      <c r="A16" s="70" t="s">
        <v>33</v>
      </c>
      <c r="B16" s="43" t="str">
        <f ca="1">IF(N(C12)+N(D12)&gt;0,IF(N(C12)&gt;N(D12),E12,B12),"")</f>
        <v>124 SK Sahara Vědomice - Suchomel Luděk</v>
      </c>
      <c r="C16" s="73" t="str">
        <f>CONCATENATE($C$1,A5)</f>
        <v>AL3</v>
      </c>
      <c r="D16" s="70"/>
      <c r="E16" s="70"/>
    </row>
    <row r="17" spans="1:5" ht="19.5">
      <c r="A17" s="70" t="s">
        <v>34</v>
      </c>
      <c r="B17" s="78" t="str">
        <f ca="1">IF(N(C11)+N(D11)&gt;0,IF(N(C11)&gt;N(D11),E11,B11),"")</f>
        <v>49 1. KPK Vrchlabí - Hančová Alice</v>
      </c>
      <c r="C17" s="73" t="str">
        <f>CONCATENATE($C$1,A6)</f>
        <v>AL4</v>
      </c>
      <c r="D17" s="70"/>
      <c r="E17" s="70"/>
    </row>
    <row r="18" spans="1:5" ht="19.5">
      <c r="A18" s="1"/>
      <c r="B18" s="1"/>
      <c r="C18" s="1"/>
      <c r="D18" s="1"/>
      <c r="E18" s="1"/>
    </row>
  </sheetData>
  <sheetCalcPr fullCalcOnLoad="1"/>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37</v>
      </c>
      <c r="B1" s="71" t="s">
        <v>113</v>
      </c>
      <c r="C1" s="71" t="s">
        <v>1170</v>
      </c>
      <c r="D1" s="72"/>
      <c r="E1" s="70"/>
      <c r="F1">
        <f>VLOOKUP(A1,'Hra 2P'!I8:J390,2,0)</f>
        <v>224</v>
      </c>
      <c r="L1">
        <f ca="1">IF(TRIM(B3)="-",0,1) + IF(TRIM(B4)="-",0,1) + IF(TRIM(B5)="-",0,1) + IF(TRIM(B6)="-",0,1)</f>
        <v>4</v>
      </c>
      <c r="R1">
        <f ca="1">INDIRECT(ADDRESS(4,A1,1,1,"Hřiště"))</f>
        <v>44</v>
      </c>
      <c r="S1">
        <f ca="1">INDIRECT(ADDRESS(5,A1,1,1,"Hřiště"))</f>
        <v>45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37 1. KPK Vrchlabí - Řezníček Jiří</v>
      </c>
      <c r="C3" s="70"/>
      <c r="D3" s="70"/>
      <c r="E3" s="70"/>
    </row>
    <row r="4" spans="1:20" ht="19.5">
      <c r="A4" s="70">
        <v>2</v>
      </c>
      <c r="B4" s="43" t="str">
        <f ca="1">IF(TYPE(VLOOKUP(CONCATENATE($C$1,A4),Skupiny!$A$3:$B$258,2,0))&gt;4," - ",VLOOKUP(CONCATENATE($C$1,A4),Skupiny!$A$3:$B$258,2,0))</f>
        <v>50 SKP Kulová osma - Krejčín Leoš</v>
      </c>
      <c r="C4" s="70"/>
      <c r="D4" s="70"/>
      <c r="E4" s="70"/>
    </row>
    <row r="5" spans="1:20" ht="19.5">
      <c r="A5" s="70">
        <v>3</v>
      </c>
      <c r="B5" s="43" t="str">
        <f ca="1">IF(TYPE(VLOOKUP(CONCATENATE($C$1,A5),Skupiny!$A$3:$B$258,2,0))&gt;4," - ",VLOOKUP(CONCATENATE($C$1,A5),Skupiny!$A$3:$B$258,2,0))</f>
        <v>123 SK Pétanque Řepy - Josífková Eva</v>
      </c>
      <c r="C5" s="70"/>
      <c r="D5" s="70"/>
      <c r="E5" s="70"/>
    </row>
    <row r="6" spans="1:20" ht="19.5">
      <c r="A6" s="70">
        <v>4</v>
      </c>
      <c r="B6" s="43" t="str">
        <f ca="1">IF(TYPE(VLOOKUP(CONCATENATE($C$1,A6),Skupiny!$A$3:$B$258,2,0))&gt;4," - ",VLOOKUP(CONCATENATE($C$1,A6),Skupiny!$A$3:$B$258,2,0))</f>
        <v>136 PC Sokol PP Hr. Králové - Vávrová Ivana</v>
      </c>
      <c r="C6" s="70"/>
      <c r="D6" s="70"/>
      <c r="E6" s="70"/>
    </row>
    <row r="7" spans="1:20" ht="36.6" customHeight="1">
      <c r="A7" s="70"/>
      <c r="B7" s="70" t="s">
        <v>50</v>
      </c>
      <c r="C7" s="73" t="s">
        <v>51</v>
      </c>
      <c r="D7" s="70" t="s">
        <v>51</v>
      </c>
      <c r="E7" s="70"/>
    </row>
    <row r="8" spans="1:20" ht="19.5">
      <c r="A8" s="70"/>
      <c r="B8" s="43" t="str">
        <f ca="1">B3</f>
        <v>37 1. KPK Vrchlabí - Řezníček Jiří</v>
      </c>
      <c r="C8" s="74">
        <f>IF(('Hra 2P'!E224=""),"",'Hra 2P'!E224)</f>
        <v>13</v>
      </c>
      <c r="D8" s="74">
        <f>IF(('Hra 2P'!F224=""),"",'Hra 2P'!F224)</f>
        <v>8</v>
      </c>
      <c r="E8" s="43" t="str">
        <f ca="1">B6</f>
        <v>136 PC Sokol PP Hr. Králové - Vávrová Ivana</v>
      </c>
    </row>
    <row r="9" spans="1:20" ht="19.5">
      <c r="A9" s="70"/>
      <c r="B9" s="43" t="str">
        <f ca="1">B4</f>
        <v>50 SKP Kulová osma - Krejčín Leoš</v>
      </c>
      <c r="C9" s="74">
        <f>IF(('Hra 2P'!E225=""),"",'Hra 2P'!E225)</f>
        <v>13</v>
      </c>
      <c r="D9" s="74">
        <f>IF(('Hra 2P'!F225=""),"",'Hra 2P'!F225)</f>
        <v>9</v>
      </c>
      <c r="E9" s="43" t="str">
        <f ca="1">B5</f>
        <v>123 SK Pétanque Řepy - Josífková Eva</v>
      </c>
    </row>
    <row r="10" spans="1:20" ht="19.5">
      <c r="A10" s="75" t="s">
        <v>46</v>
      </c>
      <c r="B10" s="43" t="str">
        <f ca="1">IF(TRIM(E8)="-",B8,IF(AND(C8="",D8="")," ",IF(N(C8)&gt;N(D8),B8,E8)))</f>
        <v>37 1. KPK Vrchlabí - Řezníček Jiří</v>
      </c>
      <c r="C10" s="74">
        <f>IF(('Hra 2P'!E226=""),"",'Hra 2P'!E226)</f>
        <v>9</v>
      </c>
      <c r="D10" s="74">
        <f>IF(('Hra 2P'!F226=""),"",'Hra 2P'!F226)</f>
        <v>13</v>
      </c>
      <c r="E10" s="43" t="str">
        <f ca="1">IF(AND(C9="",D9="")," ",IF(N(C9)&gt;N(D9),B9,E9))</f>
        <v>50 SKP Kulová osma - Krejčín Leoš</v>
      </c>
    </row>
    <row r="11" spans="1:20" ht="19.5">
      <c r="A11" s="75" t="s">
        <v>47</v>
      </c>
      <c r="B11" s="43" t="str">
        <f ca="1">IF(TRIM(E8)="-",E8,IF(AND(C8="",D8="")," ",IF(N(C8)&gt;N(D8),E8,B8)))</f>
        <v>136 PC Sokol PP Hr. Králové - Vávrová Ivana</v>
      </c>
      <c r="C11" s="74">
        <f>IF(('Hra 2P'!E227=""),"",'Hra 2P'!E227)</f>
        <v>5</v>
      </c>
      <c r="D11" s="74">
        <f>IF(('Hra 2P'!F227=""),"",'Hra 2P'!F227)</f>
        <v>13</v>
      </c>
      <c r="E11" s="43" t="str">
        <f ca="1">IF(TRIM(E9)="",E9,IF(AND(C9="",D9="")," ",IF(N(C9)&gt;N(D9),E9,B9)))</f>
        <v>123 SK Pétanque Řepy - Josífková Eva</v>
      </c>
    </row>
    <row r="12" spans="1:20" ht="19.5">
      <c r="A12" s="75" t="s">
        <v>48</v>
      </c>
      <c r="B12" s="43" t="str">
        <f ca="1">IF(TRIM(E10)="",E10,IF(AND(C10="",D10="")," ",IF(N(C10)&gt;N(D10),E10,B10)))</f>
        <v>37 1. KPK Vrchlabí - Řezníček Jiří</v>
      </c>
      <c r="C12" s="74">
        <f>IF(('Hra 2P'!E228=""),"",'Hra 2P'!E228)</f>
        <v>13</v>
      </c>
      <c r="D12" s="74">
        <f>IF(('Hra 2P'!F228=""),"",'Hra 2P'!F228)</f>
        <v>7</v>
      </c>
      <c r="E12" s="43" t="str">
        <f ca="1">IF(AND(TRIM(B11)="",TRIM(E8)=""),E11,IF(AND(C11="",D11="")," ",IF(N(C11)&gt;N(D11),B11,E11)))</f>
        <v>123 SK Pétanque Řepy - Josífková Eva</v>
      </c>
    </row>
    <row r="13" spans="1:20" ht="37.15" customHeight="1">
      <c r="A13" s="70"/>
      <c r="B13" s="76" t="s">
        <v>52</v>
      </c>
      <c r="C13" s="77" t="s">
        <v>116</v>
      </c>
      <c r="D13" s="70"/>
      <c r="E13" s="70"/>
    </row>
    <row r="14" spans="1:20" ht="19.5">
      <c r="A14" s="70" t="s">
        <v>31</v>
      </c>
      <c r="B14" s="43" t="str">
        <f ca="1">IF(N(C10)+N(D10)&gt;0,IF(N(C10)&gt;N(D10),B10,E10),"")</f>
        <v>50 SKP Kulová osma - Krejčín Leoš</v>
      </c>
      <c r="C14" s="73" t="str">
        <f>CONCATENATE($C$1,A3)</f>
        <v>AK1</v>
      </c>
      <c r="D14" s="70"/>
      <c r="E14" s="70"/>
    </row>
    <row r="15" spans="1:20" ht="19.5">
      <c r="A15" s="70" t="s">
        <v>32</v>
      </c>
      <c r="B15" s="43" t="str">
        <f ca="1">IF(N(C12)+N(D12)&gt;0,IF(N(C12)&gt;N(D12),B12,E12),"")</f>
        <v>37 1. KPK Vrchlabí - Řezníček Jiří</v>
      </c>
      <c r="C15" s="73" t="str">
        <f>CONCATENATE($C$1,A4)</f>
        <v>AK2</v>
      </c>
      <c r="D15" s="70"/>
      <c r="E15" s="70"/>
    </row>
    <row r="16" spans="1:20" ht="19.5">
      <c r="A16" s="70" t="s">
        <v>33</v>
      </c>
      <c r="B16" s="43" t="str">
        <f ca="1">IF(N(C12)+N(D12)&gt;0,IF(N(C12)&gt;N(D12),E12,B12),"")</f>
        <v>123 SK Pétanque Řepy - Josífková Eva</v>
      </c>
      <c r="C16" s="73" t="str">
        <f>CONCATENATE($C$1,A5)</f>
        <v>AK3</v>
      </c>
      <c r="D16" s="70"/>
      <c r="E16" s="70"/>
    </row>
    <row r="17" spans="1:5" ht="19.5">
      <c r="A17" s="70" t="s">
        <v>34</v>
      </c>
      <c r="B17" s="78" t="str">
        <f ca="1">IF(N(C11)+N(D11)&gt;0,IF(N(C11)&gt;N(D11),E11,B11),"")</f>
        <v>136 PC Sokol PP Hr. Králové - Vávrová Ivana</v>
      </c>
      <c r="C17" s="73" t="str">
        <f>CONCATENATE($C$1,A6)</f>
        <v>AK4</v>
      </c>
      <c r="D17" s="70"/>
      <c r="E17" s="70"/>
    </row>
    <row r="18" spans="1:5" ht="19.5">
      <c r="A18" s="1"/>
      <c r="B18" s="1"/>
      <c r="C18" s="1"/>
      <c r="D18" s="1"/>
      <c r="E18" s="1"/>
    </row>
  </sheetData>
  <sheetCalcPr fullCalcOnLoad="1"/>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36</v>
      </c>
      <c r="B1" s="71" t="s">
        <v>113</v>
      </c>
      <c r="C1" s="71" t="s">
        <v>1171</v>
      </c>
      <c r="D1" s="72"/>
      <c r="E1" s="70"/>
      <c r="F1">
        <f>VLOOKUP(A1,'Hra 2P'!I8:J390,2,0)</f>
        <v>218</v>
      </c>
      <c r="L1">
        <f ca="1">IF(TRIM(B3)="-",0,1) + IF(TRIM(B4)="-",0,1) + IF(TRIM(B5)="-",0,1) + IF(TRIM(B6)="-",0,1)</f>
        <v>4</v>
      </c>
      <c r="R1">
        <f ca="1">INDIRECT(ADDRESS(4,A1,1,1,"Hřiště"))</f>
        <v>42</v>
      </c>
      <c r="S1">
        <f ca="1">INDIRECT(ADDRESS(5,A1,1,1,"Hřiště"))</f>
        <v>43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36 HRODE KRUMSÍN - Pírek Martin</v>
      </c>
      <c r="C3" s="70"/>
      <c r="D3" s="70"/>
      <c r="E3" s="70"/>
    </row>
    <row r="4" spans="1:20" ht="19.5">
      <c r="A4" s="70">
        <v>2</v>
      </c>
      <c r="B4" s="43" t="str">
        <f ca="1">IF(TYPE(VLOOKUP(CONCATENATE($C$1,A4),Skupiny!$A$3:$B$258,2,0))&gt;4," - ",VLOOKUP(CONCATENATE($C$1,A4),Skupiny!$A$3:$B$258,2,0))</f>
        <v>51 Orel Řečkovice - Hanák David</v>
      </c>
      <c r="C4" s="70"/>
      <c r="D4" s="70"/>
      <c r="E4" s="70"/>
    </row>
    <row r="5" spans="1:20" ht="19.5">
      <c r="A5" s="70">
        <v>3</v>
      </c>
      <c r="B5" s="43" t="str">
        <f ca="1">IF(TYPE(VLOOKUP(CONCATENATE($C$1,A5),Skupiny!$A$3:$B$258,2,0))&gt;4," - ",VLOOKUP(CONCATENATE($C$1,A5),Skupiny!$A$3:$B$258,2,0))</f>
        <v>122 SK Pétanque Řepy - Koňasová Hana</v>
      </c>
      <c r="C5" s="70"/>
      <c r="D5" s="70"/>
      <c r="E5" s="70"/>
    </row>
    <row r="6" spans="1:20" ht="19.5">
      <c r="A6" s="70">
        <v>4</v>
      </c>
      <c r="B6" s="43" t="str">
        <f ca="1">IF(TYPE(VLOOKUP(CONCATENATE($C$1,A6),Skupiny!$A$3:$B$258,2,0))&gt;4," - ",VLOOKUP(CONCATENATE($C$1,A6),Skupiny!$A$3:$B$258,2,0))</f>
        <v>137 SK Pétanque Řepy - Klazarová Vlasta</v>
      </c>
      <c r="C6" s="70"/>
      <c r="D6" s="70"/>
      <c r="E6" s="70"/>
    </row>
    <row r="7" spans="1:20" ht="36.6" customHeight="1">
      <c r="A7" s="70"/>
      <c r="B7" s="70" t="s">
        <v>50</v>
      </c>
      <c r="C7" s="73" t="s">
        <v>51</v>
      </c>
      <c r="D7" s="70" t="s">
        <v>51</v>
      </c>
      <c r="E7" s="70"/>
    </row>
    <row r="8" spans="1:20" ht="19.5">
      <c r="A8" s="70"/>
      <c r="B8" s="43" t="str">
        <f ca="1">B3</f>
        <v>36 HRODE KRUMSÍN - Pírek Martin</v>
      </c>
      <c r="C8" s="74">
        <f>IF(('Hra 2P'!E218=""),"",'Hra 2P'!E218)</f>
        <v>13</v>
      </c>
      <c r="D8" s="74">
        <f>IF(('Hra 2P'!F218=""),"",'Hra 2P'!F218)</f>
        <v>10</v>
      </c>
      <c r="E8" s="43" t="str">
        <f ca="1">B6</f>
        <v>137 SK Pétanque Řepy - Klazarová Vlasta</v>
      </c>
    </row>
    <row r="9" spans="1:20" ht="19.5">
      <c r="A9" s="70"/>
      <c r="B9" s="43" t="str">
        <f ca="1">B4</f>
        <v>51 Orel Řečkovice - Hanák David</v>
      </c>
      <c r="C9" s="74">
        <f>IF(('Hra 2P'!E219=""),"",'Hra 2P'!E219)</f>
        <v>13</v>
      </c>
      <c r="D9" s="74">
        <f>IF(('Hra 2P'!F219=""),"",'Hra 2P'!F219)</f>
        <v>3</v>
      </c>
      <c r="E9" s="43" t="str">
        <f ca="1">B5</f>
        <v>122 SK Pétanque Řepy - Koňasová Hana</v>
      </c>
    </row>
    <row r="10" spans="1:20" ht="19.5">
      <c r="A10" s="75" t="s">
        <v>46</v>
      </c>
      <c r="B10" s="43" t="str">
        <f ca="1">IF(TRIM(E8)="-",B8,IF(AND(C8="",D8="")," ",IF(N(C8)&gt;N(D8),B8,E8)))</f>
        <v>36 HRODE KRUMSÍN - Pírek Martin</v>
      </c>
      <c r="C10" s="74">
        <f>IF(('Hra 2P'!E220=""),"",'Hra 2P'!E220)</f>
        <v>7</v>
      </c>
      <c r="D10" s="74">
        <f>IF(('Hra 2P'!F220=""),"",'Hra 2P'!F220)</f>
        <v>13</v>
      </c>
      <c r="E10" s="43" t="str">
        <f ca="1">IF(AND(C9="",D9="")," ",IF(N(C9)&gt;N(D9),B9,E9))</f>
        <v>51 Orel Řečkovice - Hanák David</v>
      </c>
    </row>
    <row r="11" spans="1:20" ht="19.5">
      <c r="A11" s="75" t="s">
        <v>47</v>
      </c>
      <c r="B11" s="43" t="str">
        <f ca="1">IF(TRIM(E8)="-",E8,IF(AND(C8="",D8="")," ",IF(N(C8)&gt;N(D8),E8,B8)))</f>
        <v>137 SK Pétanque Řepy - Klazarová Vlasta</v>
      </c>
      <c r="C11" s="74">
        <f>IF(('Hra 2P'!E221=""),"",'Hra 2P'!E221)</f>
        <v>13</v>
      </c>
      <c r="D11" s="74">
        <f>IF(('Hra 2P'!F221=""),"",'Hra 2P'!F221)</f>
        <v>10</v>
      </c>
      <c r="E11" s="43" t="str">
        <f ca="1">IF(TRIM(E9)="",E9,IF(AND(C9="",D9="")," ",IF(N(C9)&gt;N(D9),E9,B9)))</f>
        <v>122 SK Pétanque Řepy - Koňasová Hana</v>
      </c>
    </row>
    <row r="12" spans="1:20" ht="19.5">
      <c r="A12" s="75" t="s">
        <v>48</v>
      </c>
      <c r="B12" s="43" t="str">
        <f ca="1">IF(TRIM(E10)="",E10,IF(AND(C10="",D10="")," ",IF(N(C10)&gt;N(D10),E10,B10)))</f>
        <v>36 HRODE KRUMSÍN - Pírek Martin</v>
      </c>
      <c r="C12" s="74">
        <f>IF(('Hra 2P'!E222=""),"",'Hra 2P'!E222)</f>
        <v>13</v>
      </c>
      <c r="D12" s="74">
        <f>IF(('Hra 2P'!F222=""),"",'Hra 2P'!F222)</f>
        <v>6</v>
      </c>
      <c r="E12" s="43" t="str">
        <f ca="1">IF(AND(TRIM(B11)="",TRIM(E8)=""),E11,IF(AND(C11="",D11="")," ",IF(N(C11)&gt;N(D11),B11,E11)))</f>
        <v>137 SK Pétanque Řepy - Klazarová Vlasta</v>
      </c>
    </row>
    <row r="13" spans="1:20" ht="37.15" customHeight="1">
      <c r="A13" s="70"/>
      <c r="B13" s="76" t="s">
        <v>52</v>
      </c>
      <c r="C13" s="77" t="s">
        <v>116</v>
      </c>
      <c r="D13" s="70"/>
      <c r="E13" s="70"/>
    </row>
    <row r="14" spans="1:20" ht="19.5">
      <c r="A14" s="70" t="s">
        <v>31</v>
      </c>
      <c r="B14" s="43" t="str">
        <f ca="1">IF(N(C10)+N(D10)&gt;0,IF(N(C10)&gt;N(D10),B10,E10),"")</f>
        <v>51 Orel Řečkovice - Hanák David</v>
      </c>
      <c r="C14" s="73" t="str">
        <f>CONCATENATE($C$1,A3)</f>
        <v>AJ1</v>
      </c>
      <c r="D14" s="70"/>
      <c r="E14" s="70"/>
    </row>
    <row r="15" spans="1:20" ht="19.5">
      <c r="A15" s="70" t="s">
        <v>32</v>
      </c>
      <c r="B15" s="43" t="str">
        <f ca="1">IF(N(C12)+N(D12)&gt;0,IF(N(C12)&gt;N(D12),B12,E12),"")</f>
        <v>36 HRODE KRUMSÍN - Pírek Martin</v>
      </c>
      <c r="C15" s="73" t="str">
        <f>CONCATENATE($C$1,A4)</f>
        <v>AJ2</v>
      </c>
      <c r="D15" s="70"/>
      <c r="E15" s="70"/>
    </row>
    <row r="16" spans="1:20" ht="19.5">
      <c r="A16" s="70" t="s">
        <v>33</v>
      </c>
      <c r="B16" s="43" t="str">
        <f ca="1">IF(N(C12)+N(D12)&gt;0,IF(N(C12)&gt;N(D12),E12,B12),"")</f>
        <v>137 SK Pétanque Řepy - Klazarová Vlasta</v>
      </c>
      <c r="C16" s="73" t="str">
        <f>CONCATENATE($C$1,A5)</f>
        <v>AJ3</v>
      </c>
      <c r="D16" s="70"/>
      <c r="E16" s="70"/>
    </row>
    <row r="17" spans="1:5" ht="19.5">
      <c r="A17" s="70" t="s">
        <v>34</v>
      </c>
      <c r="B17" s="78" t="str">
        <f ca="1">IF(N(C11)+N(D11)&gt;0,IF(N(C11)&gt;N(D11),E11,B11),"")</f>
        <v>122 SK Pétanque Řepy - Koňasová Hana</v>
      </c>
      <c r="C17" s="73" t="str">
        <f>CONCATENATE($C$1,A6)</f>
        <v>AJ4</v>
      </c>
      <c r="D17" s="70"/>
      <c r="E17" s="70"/>
    </row>
    <row r="18" spans="1:5" ht="19.5">
      <c r="A18" s="1"/>
      <c r="B18" s="1"/>
      <c r="C18" s="1"/>
      <c r="D18" s="1"/>
      <c r="E18" s="1"/>
    </row>
  </sheetData>
  <sheetCalcPr fullCalcOnLoad="1"/>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35</v>
      </c>
      <c r="B1" s="71" t="s">
        <v>113</v>
      </c>
      <c r="C1" s="71" t="s">
        <v>1172</v>
      </c>
      <c r="D1" s="72"/>
      <c r="E1" s="70"/>
      <c r="F1">
        <f>VLOOKUP(A1,'Hra 2P'!I8:J390,2,0)</f>
        <v>212</v>
      </c>
      <c r="L1">
        <f ca="1">IF(TRIM(B3)="-",0,1) + IF(TRIM(B4)="-",0,1) + IF(TRIM(B5)="-",0,1) + IF(TRIM(B6)="-",0,1)</f>
        <v>4</v>
      </c>
      <c r="R1">
        <f ca="1">INDIRECT(ADDRESS(4,A1,1,1,"Hřiště"))</f>
        <v>40</v>
      </c>
      <c r="S1">
        <f ca="1">INDIRECT(ADDRESS(5,A1,1,1,"Hřiště"))</f>
        <v>41</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35 SK Sahara Vědomice - Demčík Milan St.</v>
      </c>
      <c r="C3" s="70"/>
      <c r="D3" s="70"/>
      <c r="E3" s="70"/>
    </row>
    <row r="4" spans="1:20" ht="19.5">
      <c r="A4" s="70">
        <v>2</v>
      </c>
      <c r="B4" s="43" t="str">
        <f ca="1">IF(TYPE(VLOOKUP(CONCATENATE($C$1,A4),Skupiny!$A$3:$B$258,2,0))&gt;4," - ",VLOOKUP(CONCATENATE($C$1,A4),Skupiny!$A$3:$B$258,2,0))</f>
        <v>52 SKP Kulová osma - Chmelařová Yvetta</v>
      </c>
      <c r="C4" s="70"/>
      <c r="D4" s="70"/>
      <c r="E4" s="70"/>
    </row>
    <row r="5" spans="1:20" ht="19.5">
      <c r="A5" s="70">
        <v>3</v>
      </c>
      <c r="B5" s="43" t="str">
        <f ca="1">IF(TYPE(VLOOKUP(CONCATENATE($C$1,A5),Skupiny!$A$3:$B$258,2,0))&gt;4," - ",VLOOKUP(CONCATENATE($C$1,A5),Skupiny!$A$3:$B$258,2,0))</f>
        <v>121 PCP Lipník - Kmoch Miroslav</v>
      </c>
      <c r="C5" s="70"/>
      <c r="D5" s="70"/>
      <c r="E5" s="70"/>
    </row>
    <row r="6" spans="1:20" ht="19.5">
      <c r="A6" s="70">
        <v>4</v>
      </c>
      <c r="B6" s="43" t="str">
        <f ca="1">IF(TYPE(VLOOKUP(CONCATENATE($C$1,A6),Skupiny!$A$3:$B$258,2,0))&gt;4," - ",VLOOKUP(CONCATENATE($C$1,A6),Skupiny!$A$3:$B$258,2,0))</f>
        <v>138 SK Pétanque Řepy - Mullerová Jiřina</v>
      </c>
      <c r="C6" s="70"/>
      <c r="D6" s="70"/>
      <c r="E6" s="70"/>
    </row>
    <row r="7" spans="1:20" ht="36.6" customHeight="1">
      <c r="A7" s="70"/>
      <c r="B7" s="70" t="s">
        <v>50</v>
      </c>
      <c r="C7" s="73" t="s">
        <v>51</v>
      </c>
      <c r="D7" s="70" t="s">
        <v>51</v>
      </c>
      <c r="E7" s="70"/>
    </row>
    <row r="8" spans="1:20" ht="19.5">
      <c r="A8" s="70"/>
      <c r="B8" s="43" t="str">
        <f ca="1">B3</f>
        <v>35 SK Sahara Vědomice - Demčík Milan St.</v>
      </c>
      <c r="C8" s="74">
        <f>IF(('Hra 2P'!E212=""),"",'Hra 2P'!E212)</f>
        <v>13</v>
      </c>
      <c r="D8" s="74">
        <f>IF(('Hra 2P'!F212=""),"",'Hra 2P'!F212)</f>
        <v>8</v>
      </c>
      <c r="E8" s="43" t="str">
        <f ca="1">B6</f>
        <v>138 SK Pétanque Řepy - Mullerová Jiřina</v>
      </c>
    </row>
    <row r="9" spans="1:20" ht="19.5">
      <c r="A9" s="70"/>
      <c r="B9" s="43" t="str">
        <f ca="1">B4</f>
        <v>52 SKP Kulová osma - Chmelařová Yvetta</v>
      </c>
      <c r="C9" s="74">
        <f>IF(('Hra 2P'!E213=""),"",'Hra 2P'!E213)</f>
        <v>10</v>
      </c>
      <c r="D9" s="74">
        <f>IF(('Hra 2P'!F213=""),"",'Hra 2P'!F213)</f>
        <v>13</v>
      </c>
      <c r="E9" s="43" t="str">
        <f ca="1">B5</f>
        <v>121 PCP Lipník - Kmoch Miroslav</v>
      </c>
    </row>
    <row r="10" spans="1:20" ht="19.5">
      <c r="A10" s="75" t="s">
        <v>46</v>
      </c>
      <c r="B10" s="43" t="str">
        <f ca="1">IF(TRIM(E8)="-",B8,IF(AND(C8="",D8="")," ",IF(N(C8)&gt;N(D8),B8,E8)))</f>
        <v>35 SK Sahara Vědomice - Demčík Milan St.</v>
      </c>
      <c r="C10" s="74">
        <f>IF(('Hra 2P'!E214=""),"",'Hra 2P'!E214)</f>
        <v>10</v>
      </c>
      <c r="D10" s="74">
        <f>IF(('Hra 2P'!F214=""),"",'Hra 2P'!F214)</f>
        <v>13</v>
      </c>
      <c r="E10" s="43" t="str">
        <f ca="1">IF(AND(C9="",D9="")," ",IF(N(C9)&gt;N(D9),B9,E9))</f>
        <v>121 PCP Lipník - Kmoch Miroslav</v>
      </c>
    </row>
    <row r="11" spans="1:20" ht="19.5">
      <c r="A11" s="75" t="s">
        <v>47</v>
      </c>
      <c r="B11" s="43" t="str">
        <f ca="1">IF(TRIM(E8)="-",E8,IF(AND(C8="",D8="")," ",IF(N(C8)&gt;N(D8),E8,B8)))</f>
        <v>138 SK Pétanque Řepy - Mullerová Jiřina</v>
      </c>
      <c r="C11" s="74">
        <f>IF(('Hra 2P'!E215=""),"",'Hra 2P'!E215)</f>
        <v>6</v>
      </c>
      <c r="D11" s="74">
        <f>IF(('Hra 2P'!F215=""),"",'Hra 2P'!F215)</f>
        <v>13</v>
      </c>
      <c r="E11" s="43" t="str">
        <f ca="1">IF(TRIM(E9)="",E9,IF(AND(C9="",D9="")," ",IF(N(C9)&gt;N(D9),E9,B9)))</f>
        <v>52 SKP Kulová osma - Chmelařová Yvetta</v>
      </c>
    </row>
    <row r="12" spans="1:20" ht="19.5">
      <c r="A12" s="75" t="s">
        <v>48</v>
      </c>
      <c r="B12" s="43" t="str">
        <f ca="1">IF(TRIM(E10)="",E10,IF(AND(C10="",D10="")," ",IF(N(C10)&gt;N(D10),E10,B10)))</f>
        <v>35 SK Sahara Vědomice - Demčík Milan St.</v>
      </c>
      <c r="C12" s="74">
        <f>IF(('Hra 2P'!E216=""),"",'Hra 2P'!E216)</f>
        <v>13</v>
      </c>
      <c r="D12" s="74">
        <f>IF(('Hra 2P'!F216=""),"",'Hra 2P'!F216)</f>
        <v>4</v>
      </c>
      <c r="E12" s="43" t="str">
        <f ca="1">IF(AND(TRIM(B11)="",TRIM(E8)=""),E11,IF(AND(C11="",D11="")," ",IF(N(C11)&gt;N(D11),B11,E11)))</f>
        <v>52 SKP Kulová osma - Chmelařová Yvetta</v>
      </c>
    </row>
    <row r="13" spans="1:20" ht="37.15" customHeight="1">
      <c r="A13" s="70"/>
      <c r="B13" s="76" t="s">
        <v>52</v>
      </c>
      <c r="C13" s="77" t="s">
        <v>116</v>
      </c>
      <c r="D13" s="70"/>
      <c r="E13" s="70"/>
    </row>
    <row r="14" spans="1:20" ht="19.5">
      <c r="A14" s="70" t="s">
        <v>31</v>
      </c>
      <c r="B14" s="43" t="str">
        <f ca="1">IF(N(C10)+N(D10)&gt;0,IF(N(C10)&gt;N(D10),B10,E10),"")</f>
        <v>121 PCP Lipník - Kmoch Miroslav</v>
      </c>
      <c r="C14" s="73" t="str">
        <f>CONCATENATE($C$1,A3)</f>
        <v>AI1</v>
      </c>
      <c r="D14" s="70"/>
      <c r="E14" s="70"/>
    </row>
    <row r="15" spans="1:20" ht="19.5">
      <c r="A15" s="70" t="s">
        <v>32</v>
      </c>
      <c r="B15" s="43" t="str">
        <f ca="1">IF(N(C12)+N(D12)&gt;0,IF(N(C12)&gt;N(D12),B12,E12),"")</f>
        <v>35 SK Sahara Vědomice - Demčík Milan St.</v>
      </c>
      <c r="C15" s="73" t="str">
        <f>CONCATENATE($C$1,A4)</f>
        <v>AI2</v>
      </c>
      <c r="D15" s="70"/>
      <c r="E15" s="70"/>
    </row>
    <row r="16" spans="1:20" ht="19.5">
      <c r="A16" s="70" t="s">
        <v>33</v>
      </c>
      <c r="B16" s="43" t="str">
        <f ca="1">IF(N(C12)+N(D12)&gt;0,IF(N(C12)&gt;N(D12),E12,B12),"")</f>
        <v>52 SKP Kulová osma - Chmelařová Yvetta</v>
      </c>
      <c r="C16" s="73" t="str">
        <f>CONCATENATE($C$1,A5)</f>
        <v>AI3</v>
      </c>
      <c r="D16" s="70"/>
      <c r="E16" s="70"/>
    </row>
    <row r="17" spans="1:5" ht="19.5">
      <c r="A17" s="70" t="s">
        <v>34</v>
      </c>
      <c r="B17" s="78" t="str">
        <f ca="1">IF(N(C11)+N(D11)&gt;0,IF(N(C11)&gt;N(D11),E11,B11),"")</f>
        <v>138 SK Pétanque Řepy - Mullerová Jiřina</v>
      </c>
      <c r="C17" s="73" t="str">
        <f>CONCATENATE($C$1,A6)</f>
        <v>AI4</v>
      </c>
      <c r="D17" s="70"/>
      <c r="E17" s="70"/>
    </row>
    <row r="18" spans="1:5" ht="19.5">
      <c r="A18" s="1"/>
      <c r="B18" s="1"/>
      <c r="C18" s="1"/>
      <c r="D18" s="1"/>
      <c r="E18" s="1"/>
    </row>
  </sheetData>
  <sheetCalcPr fullCalcOnLoad="1"/>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34</v>
      </c>
      <c r="B1" s="71" t="s">
        <v>113</v>
      </c>
      <c r="C1" s="71" t="s">
        <v>1173</v>
      </c>
      <c r="D1" s="72"/>
      <c r="E1" s="70"/>
      <c r="F1">
        <f>VLOOKUP(A1,'Hra 2P'!I8:J390,2,0)</f>
        <v>206</v>
      </c>
      <c r="L1">
        <f ca="1">IF(TRIM(B3)="-",0,1) + IF(TRIM(B4)="-",0,1) + IF(TRIM(B5)="-",0,1) + IF(TRIM(B6)="-",0,1)</f>
        <v>4</v>
      </c>
      <c r="R1">
        <f ca="1">INDIRECT(ADDRESS(4,A1,1,1,"Hřiště"))</f>
        <v>38</v>
      </c>
      <c r="S1">
        <f ca="1">INDIRECT(ADDRESS(5,A1,1,1,"Hřiště"))</f>
        <v>39</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34 UBU Únětice - Tomášková Dana</v>
      </c>
      <c r="C3" s="70"/>
      <c r="D3" s="70"/>
      <c r="E3" s="70"/>
    </row>
    <row r="4" spans="1:20" ht="19.5">
      <c r="A4" s="70">
        <v>2</v>
      </c>
      <c r="B4" s="43" t="str">
        <f ca="1">IF(TYPE(VLOOKUP(CONCATENATE($C$1,A4),Skupiny!$A$3:$B$258,2,0))&gt;4," - ",VLOOKUP(CONCATENATE($C$1,A4),Skupiny!$A$3:$B$258,2,0))</f>
        <v>53 SKP Kulová osma - Krejčínová Lenka</v>
      </c>
      <c r="C4" s="70"/>
      <c r="D4" s="70"/>
      <c r="E4" s="70"/>
    </row>
    <row r="5" spans="1:20" ht="19.5">
      <c r="A5" s="70">
        <v>3</v>
      </c>
      <c r="B5" s="43" t="str">
        <f ca="1">IF(TYPE(VLOOKUP(CONCATENATE($C$1,A5),Skupiny!$A$3:$B$258,2,0))&gt;4," - ",VLOOKUP(CONCATENATE($C$1,A5),Skupiny!$A$3:$B$258,2,0))</f>
        <v>120 Petank Club Praha - Křešťáková Jana</v>
      </c>
      <c r="C5" s="70"/>
      <c r="D5" s="70"/>
      <c r="E5" s="70"/>
    </row>
    <row r="6" spans="1:20" ht="19.5">
      <c r="A6" s="70">
        <v>4</v>
      </c>
      <c r="B6" s="43" t="str">
        <f ca="1">IF(TYPE(VLOOKUP(CONCATENATE($C$1,A6),Skupiny!$A$3:$B$258,2,0))&gt;4," - ",VLOOKUP(CONCATENATE($C$1,A6),Skupiny!$A$3:$B$258,2,0))</f>
        <v>139 ČPK Poděbrady - Karbulka Jan</v>
      </c>
      <c r="C6" s="70"/>
      <c r="D6" s="70"/>
      <c r="E6" s="70"/>
    </row>
    <row r="7" spans="1:20" ht="36.6" customHeight="1">
      <c r="A7" s="70"/>
      <c r="B7" s="70" t="s">
        <v>50</v>
      </c>
      <c r="C7" s="73" t="s">
        <v>51</v>
      </c>
      <c r="D7" s="70" t="s">
        <v>51</v>
      </c>
      <c r="E7" s="70"/>
    </row>
    <row r="8" spans="1:20" ht="19.5">
      <c r="A8" s="70"/>
      <c r="B8" s="43" t="str">
        <f ca="1">B3</f>
        <v>34 UBU Únětice - Tomášková Dana</v>
      </c>
      <c r="C8" s="74">
        <f>IF(('Hra 2P'!E206=""),"",'Hra 2P'!E206)</f>
        <v>13</v>
      </c>
      <c r="D8" s="74">
        <f>IF(('Hra 2P'!F206=""),"",'Hra 2P'!F206)</f>
        <v>6</v>
      </c>
      <c r="E8" s="43" t="str">
        <f ca="1">B6</f>
        <v>139 ČPK Poděbrady - Karbulka Jan</v>
      </c>
    </row>
    <row r="9" spans="1:20" ht="19.5">
      <c r="A9" s="70"/>
      <c r="B9" s="43" t="str">
        <f ca="1">B4</f>
        <v>53 SKP Kulová osma - Krejčínová Lenka</v>
      </c>
      <c r="C9" s="74">
        <f>IF(('Hra 2P'!E207=""),"",'Hra 2P'!E207)</f>
        <v>6</v>
      </c>
      <c r="D9" s="74">
        <f>IF(('Hra 2P'!F207=""),"",'Hra 2P'!F207)</f>
        <v>13</v>
      </c>
      <c r="E9" s="43" t="str">
        <f ca="1">B5</f>
        <v>120 Petank Club Praha - Křešťáková Jana</v>
      </c>
    </row>
    <row r="10" spans="1:20" ht="19.5">
      <c r="A10" s="75" t="s">
        <v>46</v>
      </c>
      <c r="B10" s="43" t="str">
        <f ca="1">IF(TRIM(E8)="-",B8,IF(AND(C8="",D8="")," ",IF(N(C8)&gt;N(D8),B8,E8)))</f>
        <v>34 UBU Únětice - Tomášková Dana</v>
      </c>
      <c r="C10" s="74">
        <f>IF(('Hra 2P'!E208=""),"",'Hra 2P'!E208)</f>
        <v>11</v>
      </c>
      <c r="D10" s="74">
        <f>IF(('Hra 2P'!F208=""),"",'Hra 2P'!F208)</f>
        <v>13</v>
      </c>
      <c r="E10" s="43" t="str">
        <f ca="1">IF(AND(C9="",D9="")," ",IF(N(C9)&gt;N(D9),B9,E9))</f>
        <v>120 Petank Club Praha - Křešťáková Jana</v>
      </c>
    </row>
    <row r="11" spans="1:20" ht="19.5">
      <c r="A11" s="75" t="s">
        <v>47</v>
      </c>
      <c r="B11" s="43" t="str">
        <f ca="1">IF(TRIM(E8)="-",E8,IF(AND(C8="",D8="")," ",IF(N(C8)&gt;N(D8),E8,B8)))</f>
        <v>139 ČPK Poděbrady - Karbulka Jan</v>
      </c>
      <c r="C11" s="74">
        <f>IF(('Hra 2P'!E209=""),"",'Hra 2P'!E209)</f>
        <v>13</v>
      </c>
      <c r="D11" s="74">
        <f>IF(('Hra 2P'!F209=""),"",'Hra 2P'!F209)</f>
        <v>10</v>
      </c>
      <c r="E11" s="43" t="str">
        <f ca="1">IF(TRIM(E9)="",E9,IF(AND(C9="",D9="")," ",IF(N(C9)&gt;N(D9),E9,B9)))</f>
        <v>53 SKP Kulová osma - Krejčínová Lenka</v>
      </c>
    </row>
    <row r="12" spans="1:20" ht="19.5">
      <c r="A12" s="75" t="s">
        <v>48</v>
      </c>
      <c r="B12" s="43" t="str">
        <f ca="1">IF(TRIM(E10)="",E10,IF(AND(C10="",D10="")," ",IF(N(C10)&gt;N(D10),E10,B10)))</f>
        <v>34 UBU Únětice - Tomášková Dana</v>
      </c>
      <c r="C12" s="74">
        <f>IF(('Hra 2P'!E210=""),"",'Hra 2P'!E210)</f>
        <v>7</v>
      </c>
      <c r="D12" s="74">
        <f>IF(('Hra 2P'!F210=""),"",'Hra 2P'!F210)</f>
        <v>13</v>
      </c>
      <c r="E12" s="43" t="str">
        <f ca="1">IF(AND(TRIM(B11)="",TRIM(E8)=""),E11,IF(AND(C11="",D11="")," ",IF(N(C11)&gt;N(D11),B11,E11)))</f>
        <v>139 ČPK Poděbrady - Karbulka Jan</v>
      </c>
    </row>
    <row r="13" spans="1:20" ht="37.15" customHeight="1">
      <c r="A13" s="70"/>
      <c r="B13" s="76" t="s">
        <v>52</v>
      </c>
      <c r="C13" s="77" t="s">
        <v>116</v>
      </c>
      <c r="D13" s="70"/>
      <c r="E13" s="70"/>
    </row>
    <row r="14" spans="1:20" ht="19.5">
      <c r="A14" s="70" t="s">
        <v>31</v>
      </c>
      <c r="B14" s="43" t="str">
        <f ca="1">IF(N(C10)+N(D10)&gt;0,IF(N(C10)&gt;N(D10),B10,E10),"")</f>
        <v>120 Petank Club Praha - Křešťáková Jana</v>
      </c>
      <c r="C14" s="73" t="str">
        <f>CONCATENATE($C$1,A3)</f>
        <v>AH1</v>
      </c>
      <c r="D14" s="70"/>
      <c r="E14" s="70"/>
    </row>
    <row r="15" spans="1:20" ht="19.5">
      <c r="A15" s="70" t="s">
        <v>32</v>
      </c>
      <c r="B15" s="43" t="str">
        <f ca="1">IF(N(C12)+N(D12)&gt;0,IF(N(C12)&gt;N(D12),B12,E12),"")</f>
        <v>139 ČPK Poděbrady - Karbulka Jan</v>
      </c>
      <c r="C15" s="73" t="str">
        <f>CONCATENATE($C$1,A4)</f>
        <v>AH2</v>
      </c>
      <c r="D15" s="70"/>
      <c r="E15" s="70"/>
    </row>
    <row r="16" spans="1:20" ht="19.5">
      <c r="A16" s="70" t="s">
        <v>33</v>
      </c>
      <c r="B16" s="43" t="str">
        <f ca="1">IF(N(C12)+N(D12)&gt;0,IF(N(C12)&gt;N(D12),E12,B12),"")</f>
        <v>34 UBU Únětice - Tomášková Dana</v>
      </c>
      <c r="C16" s="73" t="str">
        <f>CONCATENATE($C$1,A5)</f>
        <v>AH3</v>
      </c>
      <c r="D16" s="70"/>
      <c r="E16" s="70"/>
    </row>
    <row r="17" spans="1:5" ht="19.5">
      <c r="A17" s="70" t="s">
        <v>34</v>
      </c>
      <c r="B17" s="78" t="str">
        <f ca="1">IF(N(C11)+N(D11)&gt;0,IF(N(C11)&gt;N(D11),E11,B11),"")</f>
        <v>53 SKP Kulová osma - Krejčínová Lenka</v>
      </c>
      <c r="C17" s="73" t="str">
        <f>CONCATENATE($C$1,A6)</f>
        <v>AH4</v>
      </c>
      <c r="D17" s="70"/>
      <c r="E17" s="70"/>
    </row>
    <row r="18" spans="1:5" ht="19.5">
      <c r="A18" s="1"/>
      <c r="B18" s="1"/>
      <c r="C18" s="1"/>
      <c r="D18" s="1"/>
      <c r="E18" s="1"/>
    </row>
  </sheetData>
  <sheetCalcPr fullCalcOnLoad="1"/>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33</v>
      </c>
      <c r="B1" s="71" t="s">
        <v>113</v>
      </c>
      <c r="C1" s="71" t="s">
        <v>1174</v>
      </c>
      <c r="D1" s="72"/>
      <c r="E1" s="70"/>
      <c r="F1">
        <f>VLOOKUP(A1,'Hra 2P'!I8:J390,2,0)</f>
        <v>200</v>
      </c>
      <c r="L1">
        <f ca="1">IF(TRIM(B3)="-",0,1) + IF(TRIM(B4)="-",0,1) + IF(TRIM(B5)="-",0,1) + IF(TRIM(B6)="-",0,1)</f>
        <v>4</v>
      </c>
      <c r="R1">
        <f ca="1">INDIRECT(ADDRESS(4,A1,1,1,"Hřiště"))</f>
        <v>36</v>
      </c>
      <c r="S1">
        <f ca="1">INDIRECT(ADDRESS(5,A1,1,1,"Hřiště"))</f>
        <v>37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33 1. KPK Vrchlabí - Brázda Vladimír</v>
      </c>
      <c r="C3" s="70"/>
      <c r="D3" s="70"/>
      <c r="E3" s="70"/>
    </row>
    <row r="4" spans="1:20" ht="19.5">
      <c r="A4" s="70">
        <v>2</v>
      </c>
      <c r="B4" s="43" t="str">
        <f ca="1">IF(TYPE(VLOOKUP(CONCATENATE($C$1,A4),Skupiny!$A$3:$B$258,2,0))&gt;4," - ",VLOOKUP(CONCATENATE($C$1,A4),Skupiny!$A$3:$B$258,2,0))</f>
        <v>54 SK Sahara Vědomice - Horáčková Simona</v>
      </c>
      <c r="C4" s="70"/>
      <c r="D4" s="70"/>
      <c r="E4" s="70"/>
    </row>
    <row r="5" spans="1:20" ht="19.5">
      <c r="A5" s="70">
        <v>3</v>
      </c>
      <c r="B5" s="43" t="str">
        <f ca="1">IF(TYPE(VLOOKUP(CONCATENATE($C$1,A5),Skupiny!$A$3:$B$258,2,0))&gt;4," - ",VLOOKUP(CONCATENATE($C$1,A5),Skupiny!$A$3:$B$258,2,0))</f>
        <v>119 Petank Club Praha - Rendjambe Amos</v>
      </c>
      <c r="C5" s="70"/>
      <c r="D5" s="70"/>
      <c r="E5" s="70"/>
    </row>
    <row r="6" spans="1:20" ht="19.5">
      <c r="A6" s="70">
        <v>4</v>
      </c>
      <c r="B6" s="43" t="str">
        <f ca="1">IF(TYPE(VLOOKUP(CONCATENATE($C$1,A6),Skupiny!$A$3:$B$258,2,0))&gt;4," - ",VLOOKUP(CONCATENATE($C$1,A6),Skupiny!$A$3:$B$258,2,0))</f>
        <v>140 PKT Velký Šanc - Loprais Zdeněk</v>
      </c>
      <c r="C6" s="70"/>
      <c r="D6" s="70"/>
      <c r="E6" s="70"/>
    </row>
    <row r="7" spans="1:20" ht="36.6" customHeight="1">
      <c r="A7" s="70"/>
      <c r="B7" s="70" t="s">
        <v>50</v>
      </c>
      <c r="C7" s="73" t="s">
        <v>51</v>
      </c>
      <c r="D7" s="70" t="s">
        <v>51</v>
      </c>
      <c r="E7" s="70"/>
    </row>
    <row r="8" spans="1:20" ht="19.5">
      <c r="A8" s="70"/>
      <c r="B8" s="43" t="str">
        <f ca="1">B3</f>
        <v>33 1. KPK Vrchlabí - Brázda Vladimír</v>
      </c>
      <c r="C8" s="74">
        <f>IF(('Hra 2P'!E200=""),"",'Hra 2P'!E200)</f>
        <v>13</v>
      </c>
      <c r="D8" s="74">
        <f>IF(('Hra 2P'!F200=""),"",'Hra 2P'!F200)</f>
        <v>6</v>
      </c>
      <c r="E8" s="43" t="str">
        <f ca="1">B6</f>
        <v>140 PKT Velký Šanc - Loprais Zdeněk</v>
      </c>
    </row>
    <row r="9" spans="1:20" ht="19.5">
      <c r="A9" s="70"/>
      <c r="B9" s="43" t="str">
        <f ca="1">B4</f>
        <v>54 SK Sahara Vědomice - Horáčková Simona</v>
      </c>
      <c r="C9" s="74">
        <f>IF(('Hra 2P'!E201=""),"",'Hra 2P'!E201)</f>
        <v>13</v>
      </c>
      <c r="D9" s="74">
        <f>IF(('Hra 2P'!F201=""),"",'Hra 2P'!F201)</f>
        <v>7</v>
      </c>
      <c r="E9" s="43" t="str">
        <f ca="1">B5</f>
        <v>119 Petank Club Praha - Rendjambe Amos</v>
      </c>
    </row>
    <row r="10" spans="1:20" ht="19.5">
      <c r="A10" s="75" t="s">
        <v>46</v>
      </c>
      <c r="B10" s="43" t="str">
        <f ca="1">IF(TRIM(E8)="-",B8,IF(AND(C8="",D8="")," ",IF(N(C8)&gt;N(D8),B8,E8)))</f>
        <v>33 1. KPK Vrchlabí - Brázda Vladimír</v>
      </c>
      <c r="C10" s="74">
        <f>IF(('Hra 2P'!E202=""),"",'Hra 2P'!E202)</f>
        <v>13</v>
      </c>
      <c r="D10" s="74">
        <f>IF(('Hra 2P'!F202=""),"",'Hra 2P'!F202)</f>
        <v>9</v>
      </c>
      <c r="E10" s="43" t="str">
        <f ca="1">IF(AND(C9="",D9="")," ",IF(N(C9)&gt;N(D9),B9,E9))</f>
        <v>54 SK Sahara Vědomice - Horáčková Simona</v>
      </c>
    </row>
    <row r="11" spans="1:20" ht="19.5">
      <c r="A11" s="75" t="s">
        <v>47</v>
      </c>
      <c r="B11" s="43" t="str">
        <f ca="1">IF(TRIM(E8)="-",E8,IF(AND(C8="",D8="")," ",IF(N(C8)&gt;N(D8),E8,B8)))</f>
        <v>140 PKT Velký Šanc - Loprais Zdeněk</v>
      </c>
      <c r="C11" s="74">
        <f>IF(('Hra 2P'!E203=""),"",'Hra 2P'!E203)</f>
        <v>13</v>
      </c>
      <c r="D11" s="74">
        <f>IF(('Hra 2P'!F203=""),"",'Hra 2P'!F203)</f>
        <v>7</v>
      </c>
      <c r="E11" s="43" t="str">
        <f ca="1">IF(TRIM(E9)="",E9,IF(AND(C9="",D9="")," ",IF(N(C9)&gt;N(D9),E9,B9)))</f>
        <v>119 Petank Club Praha - Rendjambe Amos</v>
      </c>
    </row>
    <row r="12" spans="1:20" ht="19.5">
      <c r="A12" s="75" t="s">
        <v>48</v>
      </c>
      <c r="B12" s="43" t="str">
        <f ca="1">IF(TRIM(E10)="",E10,IF(AND(C10="",D10="")," ",IF(N(C10)&gt;N(D10),E10,B10)))</f>
        <v>54 SK Sahara Vědomice - Horáčková Simona</v>
      </c>
      <c r="C12" s="74">
        <f>IF(('Hra 2P'!E204=""),"",'Hra 2P'!E204)</f>
        <v>13</v>
      </c>
      <c r="D12" s="74">
        <f>IF(('Hra 2P'!F204=""),"",'Hra 2P'!F204)</f>
        <v>2</v>
      </c>
      <c r="E12" s="43" t="str">
        <f ca="1">IF(AND(TRIM(B11)="",TRIM(E8)=""),E11,IF(AND(C11="",D11="")," ",IF(N(C11)&gt;N(D11),B11,E11)))</f>
        <v>140 PKT Velký Šanc - Loprais Zdeněk</v>
      </c>
    </row>
    <row r="13" spans="1:20" ht="37.15" customHeight="1">
      <c r="A13" s="70"/>
      <c r="B13" s="76" t="s">
        <v>52</v>
      </c>
      <c r="C13" s="77" t="s">
        <v>116</v>
      </c>
      <c r="D13" s="70"/>
      <c r="E13" s="70"/>
    </row>
    <row r="14" spans="1:20" ht="19.5">
      <c r="A14" s="70" t="s">
        <v>31</v>
      </c>
      <c r="B14" s="43" t="str">
        <f ca="1">IF(N(C10)+N(D10)&gt;0,IF(N(C10)&gt;N(D10),B10,E10),"")</f>
        <v>33 1. KPK Vrchlabí - Brázda Vladimír</v>
      </c>
      <c r="C14" s="73" t="str">
        <f>CONCATENATE($C$1,A3)</f>
        <v>AG1</v>
      </c>
      <c r="D14" s="70"/>
      <c r="E14" s="70"/>
    </row>
    <row r="15" spans="1:20" ht="19.5">
      <c r="A15" s="70" t="s">
        <v>32</v>
      </c>
      <c r="B15" s="43" t="str">
        <f ca="1">IF(N(C12)+N(D12)&gt;0,IF(N(C12)&gt;N(D12),B12,E12),"")</f>
        <v>54 SK Sahara Vědomice - Horáčková Simona</v>
      </c>
      <c r="C15" s="73" t="str">
        <f>CONCATENATE($C$1,A4)</f>
        <v>AG2</v>
      </c>
      <c r="D15" s="70"/>
      <c r="E15" s="70"/>
    </row>
    <row r="16" spans="1:20" ht="19.5">
      <c r="A16" s="70" t="s">
        <v>33</v>
      </c>
      <c r="B16" s="43" t="str">
        <f ca="1">IF(N(C12)+N(D12)&gt;0,IF(N(C12)&gt;N(D12),E12,B12),"")</f>
        <v>140 PKT Velký Šanc - Loprais Zdeněk</v>
      </c>
      <c r="C16" s="73" t="str">
        <f>CONCATENATE($C$1,A5)</f>
        <v>AG3</v>
      </c>
      <c r="D16" s="70"/>
      <c r="E16" s="70"/>
    </row>
    <row r="17" spans="1:5" ht="19.5">
      <c r="A17" s="70" t="s">
        <v>34</v>
      </c>
      <c r="B17" s="78" t="str">
        <f ca="1">IF(N(C11)+N(D11)&gt;0,IF(N(C11)&gt;N(D11),E11,B11),"")</f>
        <v>119 Petank Club Praha - Rendjambe Amos</v>
      </c>
      <c r="C17" s="73" t="str">
        <f>CONCATENATE($C$1,A6)</f>
        <v>AG4</v>
      </c>
      <c r="D17" s="70"/>
      <c r="E17" s="70"/>
    </row>
    <row r="18" spans="1:5" ht="19.5">
      <c r="A18" s="1"/>
      <c r="B18" s="1"/>
      <c r="C18" s="1"/>
      <c r="D18" s="1"/>
      <c r="E18" s="1"/>
    </row>
  </sheetData>
  <sheetCalcPr fullCalcOnLoad="1"/>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32</v>
      </c>
      <c r="B1" s="71" t="s">
        <v>113</v>
      </c>
      <c r="C1" s="71" t="s">
        <v>112</v>
      </c>
      <c r="D1" s="72"/>
      <c r="E1" s="70"/>
      <c r="F1">
        <f>VLOOKUP(A1,'Hra 2P'!I8:J390,2,0)</f>
        <v>194</v>
      </c>
      <c r="L1">
        <f ca="1">IF(TRIM(B3)="-",0,1) + IF(TRIM(B4)="-",0,1) + IF(TRIM(B5)="-",0,1) + IF(TRIM(B6)="-",0,1)</f>
        <v>4</v>
      </c>
      <c r="R1">
        <f ca="1">INDIRECT(ADDRESS(4,A1,1,1,"Hřiště"))</f>
        <v>34</v>
      </c>
      <c r="S1">
        <f ca="1">INDIRECT(ADDRESS(5,A1,1,1,"Hřiště"))</f>
        <v>35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32 Club Rodamiento - Kamaryt Josef</v>
      </c>
      <c r="C3" s="70"/>
      <c r="D3" s="70"/>
      <c r="E3" s="70"/>
    </row>
    <row r="4" spans="1:20" ht="19.5">
      <c r="A4" s="70">
        <v>2</v>
      </c>
      <c r="B4" s="43" t="str">
        <f ca="1">IF(TYPE(VLOOKUP(CONCATENATE($C$1,A4),Skupiny!$A$3:$B$258,2,0))&gt;4," - ",VLOOKUP(CONCATENATE($C$1,A4),Skupiny!$A$3:$B$258,2,0))</f>
        <v>55 1. KPK Vrchlabí - Sládková Hana</v>
      </c>
      <c r="C4" s="70"/>
      <c r="D4" s="70"/>
      <c r="E4" s="70"/>
    </row>
    <row r="5" spans="1:20" ht="19.5">
      <c r="A5" s="70">
        <v>3</v>
      </c>
      <c r="B5" s="43" t="str">
        <f ca="1">IF(TYPE(VLOOKUP(CONCATENATE($C$1,A5),Skupiny!$A$3:$B$258,2,0))&gt;4," - ",VLOOKUP(CONCATENATE($C$1,A5),Skupiny!$A$3:$B$258,2,0))</f>
        <v>118 PEK Stolín - Hájková Iveta</v>
      </c>
      <c r="C5" s="70"/>
      <c r="D5" s="70"/>
      <c r="E5" s="70"/>
    </row>
    <row r="6" spans="1:20" ht="19.5">
      <c r="A6" s="70">
        <v>4</v>
      </c>
      <c r="B6" s="43" t="str">
        <f ca="1">IF(TYPE(VLOOKUP(CONCATENATE($C$1,A6),Skupiny!$A$3:$B$258,2,0))&gt;4," - ",VLOOKUP(CONCATENATE($C$1,A6),Skupiny!$A$3:$B$258,2,0))</f>
        <v>141 PC Sokol PP Hr. Králové - Jarouš Vítek</v>
      </c>
      <c r="C6" s="70"/>
      <c r="D6" s="70"/>
      <c r="E6" s="70"/>
    </row>
    <row r="7" spans="1:20" ht="36.6" customHeight="1">
      <c r="A7" s="70"/>
      <c r="B7" s="70" t="s">
        <v>50</v>
      </c>
      <c r="C7" s="73" t="s">
        <v>51</v>
      </c>
      <c r="D7" s="70" t="s">
        <v>51</v>
      </c>
      <c r="E7" s="70"/>
    </row>
    <row r="8" spans="1:20" ht="19.5">
      <c r="A8" s="70"/>
      <c r="B8" s="43" t="str">
        <f ca="1">B3</f>
        <v>32 Club Rodamiento - Kamaryt Josef</v>
      </c>
      <c r="C8" s="74">
        <f>IF(('Hra 2P'!E194=""),"",'Hra 2P'!E194)</f>
        <v>13</v>
      </c>
      <c r="D8" s="74">
        <f>IF(('Hra 2P'!F194=""),"",'Hra 2P'!F194)</f>
        <v>4</v>
      </c>
      <c r="E8" s="43" t="str">
        <f ca="1">B6</f>
        <v>141 PC Sokol PP Hr. Králové - Jarouš Vítek</v>
      </c>
    </row>
    <row r="9" spans="1:20" ht="19.5">
      <c r="A9" s="70"/>
      <c r="B9" s="43" t="str">
        <f ca="1">B4</f>
        <v>55 1. KPK Vrchlabí - Sládková Hana</v>
      </c>
      <c r="C9" s="74">
        <f>IF(('Hra 2P'!E195=""),"",'Hra 2P'!E195)</f>
        <v>1</v>
      </c>
      <c r="D9" s="74">
        <f>IF(('Hra 2P'!F195=""),"",'Hra 2P'!F195)</f>
        <v>13</v>
      </c>
      <c r="E9" s="43" t="str">
        <f ca="1">B5</f>
        <v>118 PEK Stolín - Hájková Iveta</v>
      </c>
    </row>
    <row r="10" spans="1:20" ht="19.5">
      <c r="A10" s="75" t="s">
        <v>46</v>
      </c>
      <c r="B10" s="43" t="str">
        <f ca="1">IF(TRIM(E8)="-",B8,IF(AND(C8="",D8="")," ",IF(N(C8)&gt;N(D8),B8,E8)))</f>
        <v>32 Club Rodamiento - Kamaryt Josef</v>
      </c>
      <c r="C10" s="74">
        <f>IF(('Hra 2P'!E196=""),"",'Hra 2P'!E196)</f>
        <v>13</v>
      </c>
      <c r="D10" s="74">
        <f>IF(('Hra 2P'!F196=""),"",'Hra 2P'!F196)</f>
        <v>3</v>
      </c>
      <c r="E10" s="43" t="str">
        <f ca="1">IF(AND(C9="",D9="")," ",IF(N(C9)&gt;N(D9),B9,E9))</f>
        <v>118 PEK Stolín - Hájková Iveta</v>
      </c>
    </row>
    <row r="11" spans="1:20" ht="19.5">
      <c r="A11" s="75" t="s">
        <v>47</v>
      </c>
      <c r="B11" s="43" t="str">
        <f ca="1">IF(TRIM(E8)="-",E8,IF(AND(C8="",D8="")," ",IF(N(C8)&gt;N(D8),E8,B8)))</f>
        <v>141 PC Sokol PP Hr. Králové - Jarouš Vítek</v>
      </c>
      <c r="C11" s="74">
        <f>IF(('Hra 2P'!E197=""),"",'Hra 2P'!E197)</f>
        <v>7</v>
      </c>
      <c r="D11" s="74">
        <f>IF(('Hra 2P'!F197=""),"",'Hra 2P'!F197)</f>
        <v>13</v>
      </c>
      <c r="E11" s="43" t="str">
        <f ca="1">IF(TRIM(E9)="",E9,IF(AND(C9="",D9="")," ",IF(N(C9)&gt;N(D9),E9,B9)))</f>
        <v>55 1. KPK Vrchlabí - Sládková Hana</v>
      </c>
    </row>
    <row r="12" spans="1:20" ht="19.5">
      <c r="A12" s="75" t="s">
        <v>48</v>
      </c>
      <c r="B12" s="43" t="str">
        <f ca="1">IF(TRIM(E10)="",E10,IF(AND(C10="",D10="")," ",IF(N(C10)&gt;N(D10),E10,B10)))</f>
        <v>118 PEK Stolín - Hájková Iveta</v>
      </c>
      <c r="C12" s="74">
        <f>IF(('Hra 2P'!E198=""),"",'Hra 2P'!E198)</f>
        <v>13</v>
      </c>
      <c r="D12" s="74">
        <f>IF(('Hra 2P'!F198=""),"",'Hra 2P'!F198)</f>
        <v>9</v>
      </c>
      <c r="E12" s="43" t="str">
        <f ca="1">IF(AND(TRIM(B11)="",TRIM(E8)=""),E11,IF(AND(C11="",D11="")," ",IF(N(C11)&gt;N(D11),B11,E11)))</f>
        <v>55 1. KPK Vrchlabí - Sládková Hana</v>
      </c>
    </row>
    <row r="13" spans="1:20" ht="37.15" customHeight="1">
      <c r="A13" s="70"/>
      <c r="B13" s="76" t="s">
        <v>52</v>
      </c>
      <c r="C13" s="77" t="s">
        <v>116</v>
      </c>
      <c r="D13" s="70"/>
      <c r="E13" s="70"/>
    </row>
    <row r="14" spans="1:20" ht="19.5">
      <c r="A14" s="70" t="s">
        <v>31</v>
      </c>
      <c r="B14" s="43" t="str">
        <f ca="1">IF(N(C10)+N(D10)&gt;0,IF(N(C10)&gt;N(D10),B10,E10),"")</f>
        <v>32 Club Rodamiento - Kamaryt Josef</v>
      </c>
      <c r="C14" s="73" t="str">
        <f>CONCATENATE($C$1,A3)</f>
        <v>AF1</v>
      </c>
      <c r="D14" s="70"/>
      <c r="E14" s="70"/>
    </row>
    <row r="15" spans="1:20" ht="19.5">
      <c r="A15" s="70" t="s">
        <v>32</v>
      </c>
      <c r="B15" s="43" t="str">
        <f ca="1">IF(N(C12)+N(D12)&gt;0,IF(N(C12)&gt;N(D12),B12,E12),"")</f>
        <v>118 PEK Stolín - Hájková Iveta</v>
      </c>
      <c r="C15" s="73" t="str">
        <f>CONCATENATE($C$1,A4)</f>
        <v>AF2</v>
      </c>
      <c r="D15" s="70"/>
      <c r="E15" s="70"/>
    </row>
    <row r="16" spans="1:20" ht="19.5">
      <c r="A16" s="70" t="s">
        <v>33</v>
      </c>
      <c r="B16" s="43" t="str">
        <f ca="1">IF(N(C12)+N(D12)&gt;0,IF(N(C12)&gt;N(D12),E12,B12),"")</f>
        <v>55 1. KPK Vrchlabí - Sládková Hana</v>
      </c>
      <c r="C16" s="73" t="str">
        <f>CONCATENATE($C$1,A5)</f>
        <v>AF3</v>
      </c>
      <c r="D16" s="70"/>
      <c r="E16" s="70"/>
    </row>
    <row r="17" spans="1:5" ht="19.5">
      <c r="A17" s="70" t="s">
        <v>34</v>
      </c>
      <c r="B17" s="78" t="str">
        <f ca="1">IF(N(C11)+N(D11)&gt;0,IF(N(C11)&gt;N(D11),E11,B11),"")</f>
        <v>141 PC Sokol PP Hr. Králové - Jarouš Vítek</v>
      </c>
      <c r="C17" s="73" t="str">
        <f>CONCATENATE($C$1,A6)</f>
        <v>AF4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25" thickBot="1">
      <c r="A2" s="69"/>
      <c r="B2" s="341"/>
      <c r="C2" s="342">
        <v>4</v>
      </c>
      <c r="D2" s="158" t="s">
        <v>134</v>
      </c>
      <c r="E2" s="17"/>
      <c r="F2" s="17"/>
      <c r="G2" s="222">
        <v>2</v>
      </c>
      <c r="H2" s="158" t="s">
        <v>132</v>
      </c>
      <c r="I2" s="17"/>
      <c r="J2" s="17"/>
      <c r="K2" s="222">
        <v>1</v>
      </c>
      <c r="L2" s="181" t="s">
        <v>133</v>
      </c>
      <c r="M2" s="17"/>
      <c r="N2" s="17"/>
      <c r="O2" s="17"/>
      <c r="P2" s="18"/>
    </row>
    <row r="3" spans="1:28" ht="28.9" customHeight="1" thickBot="1">
      <c r="A3" s="17"/>
      <c r="B3" s="17"/>
      <c r="C3" s="28"/>
      <c r="D3" s="384" t="s">
        <v>447</v>
      </c>
      <c r="E3" s="387" t="str">
        <f ca="1">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9.5" thickBot="1">
      <c r="A4" s="117" t="str">
        <f ca="1">VLOOKUP(C4,Postupy!$A$3:$C$9,3,0)</f>
        <v>A1</v>
      </c>
      <c r="B4" s="17"/>
      <c r="C4" s="109">
        <v>1</v>
      </c>
      <c r="D4" s="343" t="str">
        <f ca="1">VLOOKUP(C4,Postupy!$A$3:$W$6,23,0)</f>
        <v xml:space="preserve"> </v>
      </c>
      <c r="E4" s="156">
        <f ca="1">VLOOKUP(C4,Postupy!$A$3:$X$6,24,0)</f>
        <v>0</v>
      </c>
      <c r="F4" s="20"/>
      <c r="G4" s="16"/>
      <c r="H4" s="247" t="s">
        <v>132</v>
      </c>
      <c r="I4" s="16"/>
      <c r="J4" s="17"/>
      <c r="K4" s="17"/>
      <c r="L4" s="17"/>
      <c r="M4" s="17"/>
      <c r="N4" s="17"/>
      <c r="O4" s="17"/>
      <c r="P4" s="18"/>
    </row>
    <row r="5" spans="1:28" ht="20.25" thickTop="1" thickBot="1">
      <c r="A5" s="117" t="str">
        <f ca="1">VLOOKUP(C5,Postupy!$A$3:$C$18,3,0)</f>
        <v>D1</v>
      </c>
      <c r="B5" s="17"/>
      <c r="C5" s="111">
        <v>4</v>
      </c>
      <c r="D5" s="343" t="str">
        <f ca="1">VLOOKUP(C5,Postupy!$A$3:$W$6,23,0)</f>
        <v xml:space="preserve"> </v>
      </c>
      <c r="E5" s="157">
        <f ca="1">VLOOKUP(C5,Postupy!$A$3:$X$6,24,0)</f>
        <v>0</v>
      </c>
      <c r="F5" s="21"/>
      <c r="G5" s="26"/>
      <c r="H5" s="384" t="s">
        <v>447</v>
      </c>
      <c r="I5" s="387" t="str">
        <f ca="1">IF(OR(TRIM(H6)="-",TRIM(H7)="-"),"",VLOOKUP(MIN(G6,G7),Hřiště!$B$11:$E$75,4,0))</f>
        <v/>
      </c>
      <c r="J5" s="17"/>
      <c r="K5" s="18"/>
      <c r="L5" s="288"/>
      <c r="M5" s="17"/>
      <c r="N5" s="17"/>
      <c r="O5" s="17"/>
      <c r="P5" s="18"/>
    </row>
    <row r="6" spans="1:28" ht="19.5" thickTop="1" thickBot="1">
      <c r="A6" s="108"/>
      <c r="B6" s="22"/>
      <c r="C6" s="17"/>
      <c r="D6" s="66"/>
      <c r="E6" s="18"/>
      <c r="F6" s="18"/>
      <c r="G6" s="109">
        <v>1</v>
      </c>
      <c r="H6" s="110" t="str">
        <f ca="1">IF(OR(TRIM(D4)="-",TRIM(D5)="-"), IF(TRIM(D4)="-",D5,D4),IF(AND(E4="",E5="")," ",IF(N(E4)=N(E5)," ",IF(N(E4)&gt;N(E5),D4,D5))))</f>
        <v xml:space="preserve"> </v>
      </c>
      <c r="I6" s="156">
        <f ca="1">VLOOKUP(G6,Postupy!$A$3:$Z$6,26,0)</f>
        <v>0</v>
      </c>
      <c r="J6" s="27"/>
      <c r="K6" s="39">
        <v>1</v>
      </c>
      <c r="L6" s="134" t="str">
        <f ca="1">IF(AND(I6="",I7="")," ",IF(N(I6)=N(I7)," ",IF(N(I6)&gt;N(I7),H6,H7)))</f>
        <v xml:space="preserve"> </v>
      </c>
      <c r="M6" s="40">
        <v>1</v>
      </c>
      <c r="N6" s="17"/>
      <c r="O6" s="18"/>
      <c r="P6" s="17"/>
    </row>
    <row r="7" spans="1:28" ht="20.25" thickTop="1" thickBot="1">
      <c r="A7" s="105"/>
      <c r="B7" s="33"/>
      <c r="C7" s="17"/>
      <c r="D7" s="384" t="s">
        <v>447</v>
      </c>
      <c r="E7" s="387" t="str">
        <f ca="1">IF(OR(TRIM(D8)="-",TRIM(D9)="-"),"",VLOOKUP(MIN(C8,C9),Hřiště!$B$11:$E$75,4,0))</f>
        <v/>
      </c>
      <c r="F7" s="18"/>
      <c r="G7" s="111">
        <v>2</v>
      </c>
      <c r="H7" s="112" t="str">
        <f ca="1">IF(OR(TRIM(D8)="-",TRIM(D9)="-"), IF(TRIM(D8)="-",D9,D8),IF(AND(E8="",E9="")," ",IF(N(E8)=N(E9)," ",IF(N(E8)&gt;N(E9),D8,D9))))</f>
        <v xml:space="preserve"> </v>
      </c>
      <c r="I7" s="157">
        <f ca="1">VLOOKUP(G7,Postupy!$A$3:$Z$6,26,0)</f>
        <v>0</v>
      </c>
      <c r="J7" s="17"/>
      <c r="K7" s="39">
        <v>2</v>
      </c>
      <c r="L7" s="132" t="str">
        <f ca="1">IF(AND(I6="",I7="")," ",IF(N(I7)=N(I6)," ",IF(N(I7)&gt;N(I6),H6,H7)))</f>
        <v xml:space="preserve"> </v>
      </c>
      <c r="M7" s="131">
        <v>2</v>
      </c>
      <c r="N7" s="17"/>
      <c r="O7" s="17"/>
      <c r="P7" s="17"/>
    </row>
    <row r="8" spans="1:28" ht="18.75" thickBot="1">
      <c r="A8" s="117" t="str">
        <f ca="1">VLOOKUP(C8,Postupy!$A$3:$C$9,3,0)</f>
        <v>C1</v>
      </c>
      <c r="B8" s="17"/>
      <c r="C8" s="109">
        <v>3</v>
      </c>
      <c r="D8" s="343" t="str">
        <f ca="1">VLOOKUP(C8,Postupy!$A$3:$W$6,23,0)</f>
        <v xml:space="preserve"> </v>
      </c>
      <c r="E8" s="156">
        <f ca="1">VLOOKUP(C8,Postupy!$A$3:$X$6,24,0)</f>
        <v>0</v>
      </c>
      <c r="F8" s="27"/>
      <c r="G8" s="17"/>
      <c r="H8" s="67"/>
      <c r="I8" s="18"/>
      <c r="J8" s="17"/>
      <c r="K8" s="17"/>
      <c r="L8" s="17"/>
      <c r="M8" s="17"/>
      <c r="N8" s="17"/>
      <c r="O8" s="18"/>
      <c r="P8" s="17"/>
    </row>
    <row r="9" spans="1:28" ht="19.5" thickTop="1" thickBot="1">
      <c r="A9" s="117" t="str">
        <f ca="1">VLOOKUP(C9,Postupy!$A$3:$C$18,3,0)</f>
        <v>B1</v>
      </c>
      <c r="B9" s="17"/>
      <c r="C9" s="111">
        <v>2</v>
      </c>
      <c r="D9" s="343" t="str">
        <f ca="1">VLOOKUP(C9,Postupy!$A$3:$W$6,23,0)</f>
        <v xml:space="preserve"> </v>
      </c>
      <c r="E9" s="157">
        <f ca="1">VLOOKUP(C9,Postupy!$A$3:$X$6,24,0)</f>
        <v>0</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5">
      <c r="A12" s="108"/>
      <c r="B12" s="17"/>
      <c r="C12" s="17"/>
      <c r="D12" s="68"/>
      <c r="E12" s="17"/>
      <c r="F12" s="17"/>
      <c r="G12" s="17"/>
      <c r="H12" s="64"/>
      <c r="I12" s="18"/>
      <c r="J12" s="64"/>
      <c r="K12" s="64"/>
      <c r="L12" s="18"/>
      <c r="M12" s="18"/>
      <c r="N12" s="17"/>
      <c r="O12" s="17"/>
      <c r="P12" s="18"/>
    </row>
    <row r="13" spans="1:28" ht="16.5">
      <c r="A13" s="105"/>
      <c r="B13" s="17"/>
      <c r="C13" s="17"/>
      <c r="D13" s="68"/>
      <c r="E13" s="17"/>
      <c r="F13" s="17"/>
      <c r="G13" s="64"/>
      <c r="H13" s="245" t="s">
        <v>135</v>
      </c>
      <c r="I13" s="18"/>
      <c r="J13" s="64"/>
      <c r="K13" s="64"/>
      <c r="L13" s="18"/>
      <c r="M13" s="18"/>
      <c r="N13" s="17"/>
      <c r="O13" s="17"/>
      <c r="P13" s="18"/>
    </row>
    <row r="14" spans="1:28" ht="17.25" thickBot="1">
      <c r="A14" s="108"/>
      <c r="B14" s="22"/>
      <c r="C14" s="17"/>
      <c r="D14" s="68"/>
      <c r="E14" s="17"/>
      <c r="F14" s="17"/>
      <c r="G14" s="64"/>
      <c r="H14" s="246" t="s">
        <v>136</v>
      </c>
      <c r="I14" s="18"/>
      <c r="J14" s="64"/>
      <c r="K14" s="64"/>
      <c r="L14" s="18"/>
      <c r="M14" s="18"/>
      <c r="N14" s="17"/>
      <c r="O14" s="17"/>
      <c r="P14" s="18"/>
    </row>
    <row r="15" spans="1:28" ht="16.899999999999999" customHeight="1" thickBot="1">
      <c r="A15" s="105"/>
      <c r="B15" s="33"/>
      <c r="C15" s="17"/>
      <c r="D15" s="65"/>
      <c r="E15" s="17"/>
      <c r="F15" s="17"/>
      <c r="G15" s="184"/>
      <c r="H15" s="384" t="s">
        <v>447</v>
      </c>
      <c r="I15" s="387" t="str">
        <f ca="1">IF(OR(TRIM(H16)="-",TRIM(H17)="-"),"",VLOOKUP(MIN(G16,G17),Hřiště!$B$11:$E$75,4,0))</f>
        <v/>
      </c>
      <c r="J15" s="17"/>
      <c r="K15" s="17"/>
      <c r="L15" s="17"/>
      <c r="M15" s="17"/>
      <c r="N15" s="17"/>
      <c r="O15" s="18"/>
      <c r="P15" s="17"/>
    </row>
    <row r="16" spans="1:28" ht="19.5" thickTop="1" thickBot="1">
      <c r="A16" s="105"/>
      <c r="B16" s="17"/>
      <c r="C16" s="17"/>
      <c r="D16" s="65"/>
      <c r="E16" s="17"/>
      <c r="F16" s="17"/>
      <c r="G16" s="109">
        <v>4</v>
      </c>
      <c r="H16" s="110" t="str">
        <f ca="1">IF(OR(TRIM(D4)="-",TRIM(D5)="-"), IF(TRIM(D4)="-",D5,D4),IF(AND(E4="",E5="")," ",IF(N(E5)=N(E4)," ",IF(N(E5)&gt;N(E4),D4,D5))))</f>
        <v xml:space="preserve"> </v>
      </c>
      <c r="I16" s="156">
        <f ca="1">VLOOKUP(G16,Postupy!$A$3:$Z$6,26,0)</f>
        <v>0</v>
      </c>
      <c r="J16" s="198"/>
      <c r="K16" s="39">
        <v>3</v>
      </c>
      <c r="L16" s="132" t="str">
        <f ca="1">IF(AND(I16="",I17="")," ",IF(N(I16)=N(I17)," ",IF(N(I16)&gt;N(I17),H16,H17)))</f>
        <v xml:space="preserve"> </v>
      </c>
      <c r="M16" s="131">
        <v>3</v>
      </c>
      <c r="N16" s="17"/>
      <c r="O16" s="18"/>
      <c r="P16" s="17"/>
    </row>
    <row r="17" spans="1:16" ht="19.5" thickTop="1" thickBot="1">
      <c r="A17" s="105"/>
      <c r="B17" s="17"/>
      <c r="C17" s="17"/>
      <c r="D17" s="65"/>
      <c r="E17" s="17"/>
      <c r="F17" s="17"/>
      <c r="G17" s="111">
        <v>3</v>
      </c>
      <c r="H17" s="112" t="str">
        <f ca="1">IF(OR(TRIM(D8)="-",TRIM(D9)="-"), IF(TRIM(D8)="-",D9,D8),IF(AND(E8="",E9="")," ",IF(N(E9)=N(E8)," ",IF(N(E9)&gt;N(E8),D8,D9))))</f>
        <v xml:space="preserve"> </v>
      </c>
      <c r="I17" s="157">
        <f ca="1">VLOOKUP(G17,Postupy!$A$3:$Z$6,26,0)</f>
        <v>0</v>
      </c>
      <c r="J17" s="186"/>
      <c r="K17" s="39">
        <v>4</v>
      </c>
      <c r="L17" s="132" t="str">
        <f ca="1">IF(AND(I16="",I17="")," ",IF(N(I17)=N(I16)," ",IF(N(I17)&gt;N(I16),H16,H17)))</f>
        <v xml:space="preserve"> </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sheetPr codeName="List57"/>
  <dimension ref="A1:F38"/>
  <sheetViews>
    <sheetView workbookViewId="0"/>
  </sheetViews>
  <sheetFormatPr defaultRowHeight="12.75"/>
  <cols>
    <col min="1" max="1" width="10.5703125" customWidth="1"/>
    <col min="2" max="2" width="134.5703125" customWidth="1"/>
    <col min="3" max="3" width="89" customWidth="1"/>
    <col min="4" max="4" width="0" hidden="1" customWidth="1"/>
  </cols>
  <sheetData>
    <row r="1" spans="1:6" ht="42.6" customHeight="1" thickBot="1">
      <c r="A1" s="136"/>
      <c r="B1" s="173" t="s">
        <v>245</v>
      </c>
      <c r="D1" s="17"/>
    </row>
    <row r="2" spans="1:6" ht="24.6" customHeight="1">
      <c r="A2" s="137">
        <v>1</v>
      </c>
      <c r="B2" s="174" t="str">
        <f ca="1">VLOOKUP($A2,Postupy!$A$3:$I$18,9,0)</f>
        <v xml:space="preserve"> </v>
      </c>
      <c r="C2" s="135"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 ca="1">IF(TYPE(VLOOKUP($B2,Start.listina!$AL$11:$BF$138,21,0))=16,"",VLOOKUP($B2,Start.listina!$AL$11:$BF$138,21,0))</f>
        <v/>
      </c>
    </row>
    <row r="3" spans="1:6" ht="22.9" customHeight="1">
      <c r="A3" s="138">
        <v>2</v>
      </c>
      <c r="B3" s="175" t="str">
        <f ca="1">VLOOKUP($A3,Postupy!$A$3:$I$18,9,0)</f>
        <v xml:space="preserve"> </v>
      </c>
      <c r="C3" s="135"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 ca="1">IF(TYPE(VLOOKUP($B3,Start.listina!$AL$11:$BF$138,21,0))=16,"",VLOOKUP($B3,Start.listina!$AL$11:$BF$138,21,0))</f>
        <v/>
      </c>
    </row>
    <row r="4" spans="1:6" ht="22.9" customHeight="1">
      <c r="A4" s="138">
        <v>3</v>
      </c>
      <c r="B4" s="175" t="str">
        <f ca="1">VLOOKUP($A4,Postupy!$A$3:$I$18,9,0)</f>
        <v xml:space="preserve"> </v>
      </c>
      <c r="C4" s="135"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8">
        <v>3</v>
      </c>
      <c r="F4" t="str">
        <f ca="1">IF(TYPE(VLOOKUP($B4,Start.listina!$AL$11:$BF$138,21,0))=16,"",VLOOKUP($B4,Start.listina!$AL$11:$BF$138,21,0))</f>
        <v/>
      </c>
    </row>
    <row r="5" spans="1:6" ht="22.9" customHeight="1">
      <c r="A5" s="138">
        <v>4</v>
      </c>
      <c r="B5" s="175" t="str">
        <f ca="1">VLOOKUP($A5,Postupy!$A$3:$I$18,9,0)</f>
        <v xml:space="preserve"> </v>
      </c>
      <c r="C5" s="135"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 ca="1">IF(TYPE(VLOOKUP($B5,Start.listina!$AL$11:$BF$138,21,0))=16,"",VLOOKUP($B5,Start.listina!$AL$11:$BF$138,21,0))</f>
        <v/>
      </c>
    </row>
    <row r="6" spans="1:6" ht="22.9" customHeight="1">
      <c r="A6" s="138">
        <v>5</v>
      </c>
      <c r="B6" s="175" t="str">
        <f ca="1">VLOOKUP($A6,Postupy!$A$3:$I$18,9,0)</f>
        <v xml:space="preserve"> </v>
      </c>
      <c r="C6" s="135"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 ca="1">IF(TYPE(VLOOKUP($B6,Start.listina!$AL$11:$BF$138,21,0))=16,"",VLOOKUP($B6,Start.listina!$AL$11:$BF$138,21,0))</f>
        <v/>
      </c>
    </row>
    <row r="7" spans="1:6" ht="22.9" customHeight="1">
      <c r="A7" s="138">
        <v>6</v>
      </c>
      <c r="B7" s="175" t="str">
        <f ca="1">VLOOKUP($A7,Postupy!$A$3:$I$18,9,0)</f>
        <v xml:space="preserve"> </v>
      </c>
      <c r="C7" s="135"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 ca="1">IF(TYPE(VLOOKUP($B7,Start.listina!$AL$11:$BF$138,21,0))=16,"",VLOOKUP($B7,Start.listina!$AL$11:$BF$138,21,0))</f>
        <v/>
      </c>
    </row>
    <row r="8" spans="1:6" ht="22.9" customHeight="1">
      <c r="A8" s="138">
        <v>7</v>
      </c>
      <c r="B8" s="175" t="str">
        <f ca="1">VLOOKUP($A8,Postupy!$A$3:$I$18,9,0)</f>
        <v xml:space="preserve"> </v>
      </c>
      <c r="C8" s="135"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 ca="1">IF(TYPE(VLOOKUP($B8,Start.listina!$AL$11:$BF$138,21,0))=16,"",VLOOKUP($B8,Start.listina!$AL$11:$BF$138,21,0))</f>
        <v/>
      </c>
    </row>
    <row r="9" spans="1:6" ht="22.9" customHeight="1">
      <c r="A9" s="138">
        <v>8</v>
      </c>
      <c r="B9" s="175" t="str">
        <f ca="1">VLOOKUP($A9,Postupy!$A$3:$I$18,9,0)</f>
        <v xml:space="preserve"> </v>
      </c>
      <c r="C9" s="135"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 ca="1">IF(TYPE(VLOOKUP($B9,Start.listina!$AL$11:$BF$138,21,0))=16,"",VLOOKUP($B9,Start.listina!$AL$11:$BF$138,21,0))</f>
        <v/>
      </c>
    </row>
    <row r="10" spans="1:6" ht="22.9" customHeight="1">
      <c r="A10" s="138">
        <v>9</v>
      </c>
      <c r="B10" s="175" t="str">
        <f ca="1">VLOOKUP($A10,Postupy!$A$3:$I$18,9,0)</f>
        <v xml:space="preserve"> </v>
      </c>
      <c r="C10" s="135"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 ca="1">IF(TYPE(VLOOKUP($B10,Start.listina!$AL$11:$BF$138,21,0))=16,"",VLOOKUP($B10,Start.listina!$AL$11:$BF$138,21,0))</f>
        <v/>
      </c>
    </row>
    <row r="11" spans="1:6" ht="22.9" customHeight="1">
      <c r="A11" s="138">
        <v>10</v>
      </c>
      <c r="B11" s="175" t="str">
        <f ca="1">VLOOKUP($A11,Postupy!$A$3:$I$18,9,0)</f>
        <v xml:space="preserve"> </v>
      </c>
      <c r="C11" s="135"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8">
        <v>10</v>
      </c>
      <c r="F11" t="str">
        <f ca="1">IF(TYPE(VLOOKUP($B11,Start.listina!$AL$11:$BF$138,21,0))=16,"",VLOOKUP($B11,Start.listina!$AL$11:$BF$138,21,0))</f>
        <v/>
      </c>
    </row>
    <row r="12" spans="1:6" ht="22.9" customHeight="1">
      <c r="A12" s="138">
        <v>11</v>
      </c>
      <c r="B12" s="175" t="str">
        <f ca="1">VLOOKUP($A12,Postupy!$A$3:$I$18,9,0)</f>
        <v xml:space="preserve"> </v>
      </c>
      <c r="C12" s="135"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 ca="1">IF(TYPE(VLOOKUP($B12,Start.listina!$AL$11:$BF$138,21,0))=16,"",VLOOKUP($B12,Start.listina!$AL$11:$BF$138,21,0))</f>
        <v/>
      </c>
    </row>
    <row r="13" spans="1:6" ht="22.9" customHeight="1">
      <c r="A13" s="138">
        <v>12</v>
      </c>
      <c r="B13" s="175" t="str">
        <f ca="1">VLOOKUP($A13,Postupy!$A$3:$I$18,9,0)</f>
        <v xml:space="preserve"> </v>
      </c>
      <c r="C13" s="135"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 ca="1">IF(TYPE(VLOOKUP($B13,Start.listina!$AL$11:$BF$138,21,0))=16,"",VLOOKUP($B13,Start.listina!$AL$11:$BF$138,21,0))</f>
        <v/>
      </c>
    </row>
    <row r="14" spans="1:6" ht="22.9" customHeight="1">
      <c r="A14" s="138">
        <v>13</v>
      </c>
      <c r="B14" s="175" t="str">
        <f ca="1">VLOOKUP($A14,Postupy!$A$3:$I$18,9,0)</f>
        <v xml:space="preserve"> </v>
      </c>
      <c r="C14" s="135"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 ca="1">IF(TYPE(VLOOKUP($B14,Start.listina!$AL$11:$BF$138,21,0))=16,"",VLOOKUP($B14,Start.listina!$AL$11:$BF$138,21,0))</f>
        <v/>
      </c>
    </row>
    <row r="15" spans="1:6" ht="22.9" customHeight="1">
      <c r="A15" s="138">
        <v>14</v>
      </c>
      <c r="B15" s="175" t="str">
        <f ca="1">VLOOKUP($A15,Postupy!$A$3:$I$18,9,0)</f>
        <v xml:space="preserve"> </v>
      </c>
      <c r="C15" s="135"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8">
        <v>14</v>
      </c>
      <c r="F15" t="str">
        <f ca="1">IF(TYPE(VLOOKUP($B15,Start.listina!$AL$11:$BF$138,21,0))=16,"",VLOOKUP($B15,Start.listina!$AL$11:$BF$138,21,0))</f>
        <v/>
      </c>
    </row>
    <row r="16" spans="1:6" ht="22.9" customHeight="1">
      <c r="A16" s="138">
        <v>15</v>
      </c>
      <c r="B16" s="175" t="str">
        <f ca="1">VLOOKUP($A16,Postupy!$A$3:$I$18,9,0)</f>
        <v xml:space="preserve"> </v>
      </c>
      <c r="C16" s="135"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 ca="1">IF(TYPE(VLOOKUP($B16,Start.listina!$AL$11:$BF$138,21,0))=16,"",VLOOKUP($B16,Start.listina!$AL$11:$BF$138,21,0))</f>
        <v/>
      </c>
    </row>
    <row r="17" spans="1:6" ht="22.9" customHeight="1" thickBot="1">
      <c r="A17" s="139">
        <v>16</v>
      </c>
      <c r="B17" s="176" t="str">
        <f ca="1">VLOOKUP($A17,Postupy!$A$3:$I$18,9,0)</f>
        <v xml:space="preserve"> </v>
      </c>
      <c r="C17" s="135"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0" t="s">
        <v>138</v>
      </c>
      <c r="G2" s="140">
        <v>64</v>
      </c>
      <c r="H2" s="140">
        <v>32</v>
      </c>
      <c r="I2" s="140">
        <v>16</v>
      </c>
      <c r="J2" s="140">
        <v>8</v>
      </c>
      <c r="K2" s="140">
        <v>4</v>
      </c>
      <c r="L2" s="140" t="s">
        <v>82</v>
      </c>
      <c r="M2" s="15">
        <f ca="1">Start.listina!$O$7</f>
        <v>43</v>
      </c>
      <c r="N2" s="362">
        <f ca="1">(P2-O2*O1)/N1</f>
        <v>1</v>
      </c>
      <c r="O2" s="362">
        <f ca="1">IF(S2=0,Q2,IF(V2=0,T2,IF(Y2=0,W2,IF(AB2=0,Z2,IF(AE2=0,IF(AH2=0,AF2,0))))))</f>
        <v>35</v>
      </c>
      <c r="P2" s="15">
        <f ca="1">Start.listina!$K$7</f>
        <v>143</v>
      </c>
      <c r="Q2" s="362">
        <f ca="1">INT($P2/$O1)+Q1</f>
        <v>35</v>
      </c>
      <c r="R2" s="362">
        <f ca="1">IF(($P2-INT(Q2)*$O1)&gt;$P2,-1,$P2-INT(Q2)*$O1)</f>
        <v>3</v>
      </c>
      <c r="S2" s="363">
        <f ca="1">IF(($P2-INT(Q2)*$O1)&gt;$P2,-1,MOD(R2,$N1))</f>
        <v>0</v>
      </c>
      <c r="T2" s="362">
        <f ca="1">INT($P2/$O1)+T1</f>
        <v>34</v>
      </c>
      <c r="U2" s="362">
        <f ca="1">IF(($P2-INT(T2)*$O1)&gt;$P2,-1,$P2-INT(T2)*$O1)</f>
        <v>7</v>
      </c>
      <c r="V2" s="363">
        <f ca="1">IF(($P2-INT(T2)*$O1)&gt;$P2,-1,MOD(U2,$N1))</f>
        <v>1</v>
      </c>
      <c r="W2" s="362">
        <f ca="1">INT($P2/$O1)+W1</f>
        <v>33</v>
      </c>
      <c r="X2" s="362">
        <f ca="1">IF(($P2-INT(W2)*$O1)&gt;$P2,-1,$P2-INT(W2)*$O1)</f>
        <v>11</v>
      </c>
      <c r="Y2" s="363">
        <f ca="1">IF(($P2-INT(W2)*$O1)&gt;$P2,-1,MOD(X2,$N1))</f>
        <v>2</v>
      </c>
      <c r="Z2" s="362">
        <f ca="1">INT($P2/$O1)+Z1</f>
        <v>32</v>
      </c>
      <c r="AA2" s="362">
        <f ca="1">IF(($P2-INT(Z2)*$O1)&gt;$P2,-1,$P2-INT(Z2)*$O1)</f>
        <v>15</v>
      </c>
      <c r="AB2" s="363">
        <f ca="1">IF(($P2-INT(Z2)*$O1)&gt;$P2,-1,MOD(AA2,$N1))</f>
        <v>0</v>
      </c>
      <c r="AC2" s="362">
        <f ca="1">INT($P2/$O1)+AC1</f>
        <v>31</v>
      </c>
      <c r="AD2" s="362">
        <f ca="1">IF(($P2-INT(AC2)*$O1)&gt;$P2,-1,$P2-INT(AC2)*$O1)</f>
        <v>19</v>
      </c>
      <c r="AE2" s="363">
        <f ca="1">IF(($P2-INT(AC2)*$O1)&gt;$P2,-1,MOD(AD2,$N1))</f>
        <v>1</v>
      </c>
      <c r="AF2" s="362">
        <f ca="1">INT($P2/$O1)+AF1</f>
        <v>30</v>
      </c>
      <c r="AG2" s="362">
        <f ca="1">IF(($P2-INT(AF2)*$O1)&gt;$P2,-1,$P2-INT(AF2)*$O1)</f>
        <v>23</v>
      </c>
      <c r="AH2" s="363">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1">
        <f ca="1">IF(A3&gt;Start.listina!$K$7,"",MIN(F3:L3))</f>
        <v>64</v>
      </c>
      <c r="F3" s="2">
        <f ca="1">IF(TYPE(VLOOKUP(C3,Konečné_pořadí_1_16!$B$2:$D$17,3,0))&lt;4,VLOOKUP(C3,Konečné_pořadí_1_16!$B$2:$D$17,3,0),999)</f>
        <v>999</v>
      </c>
      <c r="G3" s="2">
        <f ca="1">IF(TYPE(VLOOKUP(C3,'KO64'!$D$4:$D$129,1,0))&lt;4,64,999)</f>
        <v>64</v>
      </c>
      <c r="H3" s="2">
        <f ca="1">IF(TYPE(VLOOKUP(C3,'KO32'!$D$4:$D$65,1,0))&lt;4,32,999)</f>
        <v>999</v>
      </c>
      <c r="I3" s="2">
        <f ca="1">IF(TYPE(VLOOKUP(C3,'KO16'!$D$4:$D$33,1,0))&lt;4,16,999)</f>
        <v>999</v>
      </c>
      <c r="J3" s="2">
        <f ca="1">IF(TYPE(VLOOKUP(C3,'KO8'!$D$4:$D$17,1,0))&lt;4,8,999)</f>
        <v>999</v>
      </c>
      <c r="K3" s="2">
        <f ca="1">IF(TYPE(VLOOKUP(C3,'KO4'!$D$4:$D$9,1,0))&lt;4,4,999)</f>
        <v>999</v>
      </c>
      <c r="L3" s="2">
        <f ca="1">Start.listina!$K$7</f>
        <v>143</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Vavrovič Petr ml.</v>
      </c>
      <c r="D4" s="2">
        <f ca="1">IF(A4&gt;Start.listina!$K$7,"",INT((A4-1)/$M$2)+1)</f>
        <v>1</v>
      </c>
      <c r="E4" s="301">
        <f ca="1">IF(A4&gt;Start.listina!$K$7,"",MIN(F4:L4))</f>
        <v>64</v>
      </c>
      <c r="F4" s="2">
        <f ca="1">IF(TYPE(VLOOKUP(C4,Konečné_pořadí_1_16!$B$2:$D$17,3,0))&lt;4,VLOOKUP(C4,Konečné_pořadí_1_16!$B$2:$D$17,3,0),999)</f>
        <v>999</v>
      </c>
      <c r="G4" s="2">
        <f ca="1">IF(TYPE(VLOOKUP(C4,'KO64'!$D$4:$D$129,1,0))&lt;4,64,999)</f>
        <v>64</v>
      </c>
      <c r="H4" s="2">
        <f ca="1">IF(TYPE(VLOOKUP(C4,'KO32'!$D$4:$D$65,1,0))&lt;4,32,999)</f>
        <v>999</v>
      </c>
      <c r="I4" s="2">
        <f ca="1">IF(TYPE(VLOOKUP(C4,'KO16'!$D$4:$D$33,1,0))&lt;4,16,999)</f>
        <v>999</v>
      </c>
      <c r="J4" s="2">
        <f ca="1">IF(TYPE(VLOOKUP(C4,'KO8'!$D$4:$D$17,1,0))&lt;4,8,999)</f>
        <v>999</v>
      </c>
      <c r="K4" s="2">
        <f ca="1">IF(TYPE(VLOOKUP(C4,'KO4'!$D$4:$D$9,1,0))&lt;4,4,999)</f>
        <v>999</v>
      </c>
      <c r="L4" s="2">
        <f ca="1">Start.listina!$K$7</f>
        <v>143</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Michálek Tomáš</v>
      </c>
      <c r="D5" s="2">
        <f ca="1">IF(A5&gt;Start.listina!$K$7,"",INT((A5-1)/$M$2)+1)</f>
        <v>1</v>
      </c>
      <c r="E5" s="301">
        <f ca="1">IF(A5&gt;Start.listina!$K$7,"",MIN(F5:L5))</f>
        <v>64</v>
      </c>
      <c r="F5" s="2">
        <f ca="1">IF(TYPE(VLOOKUP(C5,Konečné_pořadí_1_16!$B$2:$D$17,3,0))&lt;4,VLOOKUP(C5,Konečné_pořadí_1_16!$B$2:$D$17,3,0),999)</f>
        <v>999</v>
      </c>
      <c r="G5" s="2">
        <f ca="1">IF(TYPE(VLOOKUP(C5,'KO64'!$D$4:$D$129,1,0))&lt;4,64,999)</f>
        <v>64</v>
      </c>
      <c r="H5" s="2">
        <f ca="1">IF(TYPE(VLOOKUP(C5,'KO32'!$D$4:$D$65,1,0))&lt;4,32,999)</f>
        <v>999</v>
      </c>
      <c r="I5" s="2">
        <f ca="1">IF(TYPE(VLOOKUP(C5,'KO16'!$D$4:$D$33,1,0))&lt;4,16,999)</f>
        <v>999</v>
      </c>
      <c r="J5" s="2">
        <f ca="1">IF(TYPE(VLOOKUP(C5,'KO8'!$D$4:$D$17,1,0))&lt;4,8,999)</f>
        <v>999</v>
      </c>
      <c r="K5" s="2">
        <f ca="1">IF(TYPE(VLOOKUP(C5,'KO4'!$D$4:$D$9,1,0))&lt;4,4,999)</f>
        <v>999</v>
      </c>
      <c r="L5" s="2">
        <f ca="1">Start.listina!$K$7</f>
        <v>143</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Kauca Jindřich</v>
      </c>
      <c r="D6" s="2">
        <f ca="1">IF(A6&gt;Start.listina!$K$7,"",INT((A6-1)/$M$2)+1)</f>
        <v>1</v>
      </c>
      <c r="E6" s="301">
        <f ca="1">IF(A6&gt;Start.listina!$K$7,"",MIN(F6:L6))</f>
        <v>64</v>
      </c>
      <c r="F6" s="2">
        <f ca="1">IF(TYPE(VLOOKUP(C6,Konečné_pořadí_1_16!$B$2:$D$17,3,0))&lt;4,VLOOKUP(C6,Konečné_pořadí_1_16!$B$2:$D$17,3,0),999)</f>
        <v>999</v>
      </c>
      <c r="G6" s="2">
        <f ca="1">IF(TYPE(VLOOKUP(C6,'KO64'!$D$4:$D$129,1,0))&lt;4,64,999)</f>
        <v>64</v>
      </c>
      <c r="H6" s="2">
        <f ca="1">IF(TYPE(VLOOKUP(C6,'KO32'!$D$4:$D$65,1,0))&lt;4,32,999)</f>
        <v>999</v>
      </c>
      <c r="I6" s="2">
        <f ca="1">IF(TYPE(VLOOKUP(C6,'KO16'!$D$4:$D$33,1,0))&lt;4,16,999)</f>
        <v>999</v>
      </c>
      <c r="J6" s="2">
        <f ca="1">IF(TYPE(VLOOKUP(C6,'KO8'!$D$4:$D$17,1,0))&lt;4,8,999)</f>
        <v>999</v>
      </c>
      <c r="K6" s="2">
        <f ca="1">IF(TYPE(VLOOKUP(C6,'KO4'!$D$4:$D$9,1,0))&lt;4,4,999)</f>
        <v>999</v>
      </c>
      <c r="L6" s="2">
        <f ca="1">Start.listina!$K$7</f>
        <v>143</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Carreau Brno - Slobodová Veronika</v>
      </c>
      <c r="D7" s="2">
        <f ca="1">IF(A7&gt;Start.listina!$K$7,"",INT((A7-1)/$M$2)+1)</f>
        <v>1</v>
      </c>
      <c r="E7" s="301">
        <f ca="1">IF(A7&gt;Start.listina!$K$7,"",MIN(F7:L7))</f>
        <v>64</v>
      </c>
      <c r="F7" s="2">
        <f ca="1">IF(TYPE(VLOOKUP(C7,Konečné_pořadí_1_16!$B$2:$D$17,3,0))&lt;4,VLOOKUP(C7,Konečné_pořadí_1_16!$B$2:$D$17,3,0),999)</f>
        <v>999</v>
      </c>
      <c r="G7" s="2">
        <f ca="1">IF(TYPE(VLOOKUP(C7,'KO64'!$D$4:$D$129,1,0))&lt;4,64,999)</f>
        <v>64</v>
      </c>
      <c r="H7" s="2">
        <f ca="1">IF(TYPE(VLOOKUP(C7,'KO32'!$D$4:$D$65,1,0))&lt;4,32,999)</f>
        <v>999</v>
      </c>
      <c r="I7" s="2">
        <f ca="1">IF(TYPE(VLOOKUP(C7,'KO16'!$D$4:$D$33,1,0))&lt;4,16,999)</f>
        <v>999</v>
      </c>
      <c r="J7" s="2">
        <f ca="1">IF(TYPE(VLOOKUP(C7,'KO8'!$D$4:$D$17,1,0))&lt;4,8,999)</f>
        <v>999</v>
      </c>
      <c r="K7" s="2">
        <f ca="1">IF(TYPE(VLOOKUP(C7,'KO4'!$D$4:$D$9,1,0))&lt;4,4,999)</f>
        <v>999</v>
      </c>
      <c r="L7" s="2">
        <f ca="1">Start.listina!$K$7</f>
        <v>143</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Sokol Lipník - Froňková Kateřina</v>
      </c>
      <c r="D8" s="2">
        <f ca="1">IF(A8&gt;Start.listina!$K$7,"",INT((A8-1)/$M$2)+1)</f>
        <v>1</v>
      </c>
      <c r="E8" s="301">
        <f ca="1">IF(A8&gt;Start.listina!$K$7,"",MIN(F8:L8))</f>
        <v>64</v>
      </c>
      <c r="F8" s="2">
        <f ca="1">IF(TYPE(VLOOKUP(C8,Konečné_pořadí_1_16!$B$2:$D$17,3,0))&lt;4,VLOOKUP(C8,Konečné_pořadí_1_16!$B$2:$D$17,3,0),999)</f>
        <v>999</v>
      </c>
      <c r="G8" s="2">
        <f ca="1">IF(TYPE(VLOOKUP(C8,'KO64'!$D$4:$D$129,1,0))&lt;4,64,999)</f>
        <v>64</v>
      </c>
      <c r="H8" s="2">
        <f ca="1">IF(TYPE(VLOOKUP(C8,'KO32'!$D$4:$D$65,1,0))&lt;4,32,999)</f>
        <v>999</v>
      </c>
      <c r="I8" s="2">
        <f ca="1">IF(TYPE(VLOOKUP(C8,'KO16'!$D$4:$D$33,1,0))&lt;4,16,999)</f>
        <v>999</v>
      </c>
      <c r="J8" s="2">
        <f ca="1">IF(TYPE(VLOOKUP(C8,'KO8'!$D$4:$D$17,1,0))&lt;4,8,999)</f>
        <v>999</v>
      </c>
      <c r="K8" s="2">
        <f ca="1">IF(TYPE(VLOOKUP(C8,'KO4'!$D$4:$D$9,1,0))&lt;4,4,999)</f>
        <v>999</v>
      </c>
      <c r="L8" s="2">
        <f ca="1">Start.listina!$K$7</f>
        <v>143</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PLUK Jablonec - Lukáš Vojtěch</v>
      </c>
      <c r="D9" s="2">
        <f ca="1">IF(A9&gt;Start.listina!$K$7,"",INT((A9-1)/$M$2)+1)</f>
        <v>1</v>
      </c>
      <c r="E9" s="301">
        <f ca="1">IF(A9&gt;Start.listina!$K$7,"",MIN(F9:L9))</f>
        <v>64</v>
      </c>
      <c r="F9" s="2">
        <f ca="1">IF(TYPE(VLOOKUP(C9,Konečné_pořadí_1_16!$B$2:$D$17,3,0))&lt;4,VLOOKUP(C9,Konečné_pořadí_1_16!$B$2:$D$17,3,0),999)</f>
        <v>999</v>
      </c>
      <c r="G9" s="2">
        <f ca="1">IF(TYPE(VLOOKUP(C9,'KO64'!$D$4:$D$129,1,0))&lt;4,64,999)</f>
        <v>64</v>
      </c>
      <c r="H9" s="2">
        <f ca="1">IF(TYPE(VLOOKUP(C9,'KO32'!$D$4:$D$65,1,0))&lt;4,32,999)</f>
        <v>999</v>
      </c>
      <c r="I9" s="2">
        <f ca="1">IF(TYPE(VLOOKUP(C9,'KO16'!$D$4:$D$33,1,0))&lt;4,16,999)</f>
        <v>999</v>
      </c>
      <c r="J9" s="2">
        <f ca="1">IF(TYPE(VLOOKUP(C9,'KO8'!$D$4:$D$17,1,0))&lt;4,8,999)</f>
        <v>999</v>
      </c>
      <c r="K9" s="2">
        <f ca="1">IF(TYPE(VLOOKUP(C9,'KO4'!$D$4:$D$9,1,0))&lt;4,4,999)</f>
        <v>999</v>
      </c>
      <c r="L9" s="2">
        <f ca="1">Start.listina!$K$7</f>
        <v>143</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1. KPK Vrchlabí - Bílek Vojtěch</v>
      </c>
      <c r="D10" s="2">
        <f ca="1">IF(A10&gt;Start.listina!$K$7,"",INT((A10-1)/$M$2)+1)</f>
        <v>1</v>
      </c>
      <c r="E10" s="301">
        <f ca="1">IF(A10&gt;Start.listina!$K$7,"",MIN(F10:L10))</f>
        <v>64</v>
      </c>
      <c r="F10" s="2">
        <f ca="1">IF(TYPE(VLOOKUP(C10,Konečné_pořadí_1_16!$B$2:$D$17,3,0))&lt;4,VLOOKUP(C10,Konečné_pořadí_1_16!$B$2:$D$17,3,0),999)</f>
        <v>999</v>
      </c>
      <c r="G10" s="2">
        <f ca="1">IF(TYPE(VLOOKUP(C10,'KO64'!$D$4:$D$129,1,0))&lt;4,64,999)</f>
        <v>64</v>
      </c>
      <c r="H10" s="2">
        <f ca="1">IF(TYPE(VLOOKUP(C10,'KO32'!$D$4:$D$65,1,0))&lt;4,32,999)</f>
        <v>999</v>
      </c>
      <c r="I10" s="2">
        <f ca="1">IF(TYPE(VLOOKUP(C10,'KO16'!$D$4:$D$33,1,0))&lt;4,16,999)</f>
        <v>999</v>
      </c>
      <c r="J10" s="2">
        <f ca="1">IF(TYPE(VLOOKUP(C10,'KO8'!$D$4:$D$17,1,0))&lt;4,8,999)</f>
        <v>999</v>
      </c>
      <c r="K10" s="2">
        <f ca="1">IF(TYPE(VLOOKUP(C10,'KO4'!$D$4:$D$9,1,0))&lt;4,4,999)</f>
        <v>999</v>
      </c>
      <c r="L10" s="2">
        <f ca="1">Start.listina!$K$7</f>
        <v>143</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VARAN - Valenz Lukáš</v>
      </c>
      <c r="D11" s="2">
        <f ca="1">IF(A11&gt;Start.listina!$K$7,"",INT((A11-1)/$M$2)+1)</f>
        <v>1</v>
      </c>
      <c r="E11" s="301">
        <f ca="1">IF(A11&gt;Start.listina!$K$7,"",MIN(F11:L11))</f>
        <v>64</v>
      </c>
      <c r="F11" s="2">
        <f ca="1">IF(TYPE(VLOOKUP(C11,Konečné_pořadí_1_16!$B$2:$D$17,3,0))&lt;4,VLOOKUP(C11,Konečné_pořadí_1_16!$B$2:$D$17,3,0),999)</f>
        <v>999</v>
      </c>
      <c r="G11" s="2">
        <f ca="1">IF(TYPE(VLOOKUP(C11,'KO64'!$D$4:$D$129,1,0))&lt;4,64,999)</f>
        <v>64</v>
      </c>
      <c r="H11" s="2">
        <f ca="1">IF(TYPE(VLOOKUP(C11,'KO32'!$D$4:$D$65,1,0))&lt;4,32,999)</f>
        <v>999</v>
      </c>
      <c r="I11" s="2">
        <f ca="1">IF(TYPE(VLOOKUP(C11,'KO16'!$D$4:$D$33,1,0))&lt;4,16,999)</f>
        <v>999</v>
      </c>
      <c r="J11" s="2">
        <f ca="1">IF(TYPE(VLOOKUP(C11,'KO8'!$D$4:$D$17,1,0))&lt;4,8,999)</f>
        <v>999</v>
      </c>
      <c r="K11" s="2">
        <f ca="1">IF(TYPE(VLOOKUP(C11,'KO4'!$D$4:$D$9,1,0))&lt;4,4,999)</f>
        <v>999</v>
      </c>
      <c r="L11" s="2">
        <f ca="1">Start.listina!$K$7</f>
        <v>143</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TOP - ORLOVÁ - Bačo David</v>
      </c>
      <c r="D12" s="2">
        <f ca="1">IF(A12&gt;Start.listina!$K$7,"",INT((A12-1)/$M$2)+1)</f>
        <v>1</v>
      </c>
      <c r="E12" s="301">
        <f ca="1">IF(A12&gt;Start.listina!$K$7,"",MIN(F12:L12))</f>
        <v>64</v>
      </c>
      <c r="F12" s="2">
        <f ca="1">IF(TYPE(VLOOKUP(C12,Konečné_pořadí_1_16!$B$2:$D$17,3,0))&lt;4,VLOOKUP(C12,Konečné_pořadí_1_16!$B$2:$D$17,3,0),999)</f>
        <v>999</v>
      </c>
      <c r="G12" s="2">
        <f ca="1">IF(TYPE(VLOOKUP(C12,'KO64'!$D$4:$D$129,1,0))&lt;4,64,999)</f>
        <v>64</v>
      </c>
      <c r="H12" s="2">
        <f ca="1">IF(TYPE(VLOOKUP(C12,'KO32'!$D$4:$D$65,1,0))&lt;4,32,999)</f>
        <v>999</v>
      </c>
      <c r="I12" s="2">
        <f ca="1">IF(TYPE(VLOOKUP(C12,'KO16'!$D$4:$D$33,1,0))&lt;4,16,999)</f>
        <v>999</v>
      </c>
      <c r="J12" s="2">
        <f ca="1">IF(TYPE(VLOOKUP(C12,'KO8'!$D$4:$D$17,1,0))&lt;4,8,999)</f>
        <v>999</v>
      </c>
      <c r="K12" s="2">
        <f ca="1">IF(TYPE(VLOOKUP(C12,'KO4'!$D$4:$D$9,1,0))&lt;4,4,999)</f>
        <v>999</v>
      </c>
      <c r="L12" s="2">
        <f ca="1">Start.listina!$K$7</f>
        <v>143</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Sokol Lipník - Morávek Petr</v>
      </c>
      <c r="D13" s="2">
        <f ca="1">IF(A13&gt;Start.listina!$K$7,"",INT((A13-1)/$M$2)+1)</f>
        <v>1</v>
      </c>
      <c r="E13" s="301">
        <f ca="1">IF(A13&gt;Start.listina!$K$7,"",MIN(F13:L13))</f>
        <v>143</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143</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FRAPECO - Řehoř Miroslav</v>
      </c>
      <c r="D14" s="2">
        <f ca="1">IF(A14&gt;Start.listina!$K$7,"",INT((A14-1)/$M$2)+1)</f>
        <v>1</v>
      </c>
      <c r="E14" s="301">
        <f ca="1">IF(A14&gt;Start.listina!$K$7,"",MIN(F14:L14))</f>
        <v>64</v>
      </c>
      <c r="F14" s="2">
        <f ca="1">IF(TYPE(VLOOKUP(C14,Konečné_pořadí_1_16!$B$2:$D$17,3,0))&lt;4,VLOOKUP(C14,Konečné_pořadí_1_16!$B$2:$D$17,3,0),999)</f>
        <v>999</v>
      </c>
      <c r="G14" s="2">
        <f ca="1">IF(TYPE(VLOOKUP(C14,'KO64'!$D$4:$D$129,1,0))&lt;4,64,999)</f>
        <v>64</v>
      </c>
      <c r="H14" s="2">
        <f ca="1">IF(TYPE(VLOOKUP(C14,'KO32'!$D$4:$D$65,1,0))&lt;4,32,999)</f>
        <v>999</v>
      </c>
      <c r="I14" s="2">
        <f ca="1">IF(TYPE(VLOOKUP(C14,'KO16'!$D$4:$D$33,1,0))&lt;4,16,999)</f>
        <v>999</v>
      </c>
      <c r="J14" s="2">
        <f ca="1">IF(TYPE(VLOOKUP(C14,'KO8'!$D$4:$D$17,1,0))&lt;4,8,999)</f>
        <v>999</v>
      </c>
      <c r="K14" s="2">
        <f ca="1">IF(TYPE(VLOOKUP(C14,'KO4'!$D$4:$D$9,1,0))&lt;4,4,999)</f>
        <v>999</v>
      </c>
      <c r="L14" s="2">
        <f ca="1">Start.listina!$K$7</f>
        <v>143</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Sokol Lipník - Zdobinský Michal ml.</v>
      </c>
      <c r="D15" s="2">
        <f ca="1">IF(A15&gt;Start.listina!$K$7,"",INT((A15-1)/$M$2)+1)</f>
        <v>1</v>
      </c>
      <c r="E15" s="301">
        <f ca="1">IF(A15&gt;Start.listina!$K$7,"",MIN(F15:L15))</f>
        <v>143</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143</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FRAPECO - Ondryáš Jiří</v>
      </c>
      <c r="D16" s="2">
        <f ca="1">IF(A16&gt;Start.listina!$K$7,"",INT((A16-1)/$M$2)+1)</f>
        <v>1</v>
      </c>
      <c r="E16" s="301">
        <f ca="1">IF(A16&gt;Start.listina!$K$7,"",MIN(F16:L16))</f>
        <v>64</v>
      </c>
      <c r="F16" s="2">
        <f ca="1">IF(TYPE(VLOOKUP(C16,Konečné_pořadí_1_16!$B$2:$D$17,3,0))&lt;4,VLOOKUP(C16,Konečné_pořadí_1_16!$B$2:$D$17,3,0),999)</f>
        <v>999</v>
      </c>
      <c r="G16" s="2">
        <f ca="1">IF(TYPE(VLOOKUP(C16,'KO64'!$D$4:$D$129,1,0))&lt;4,64,999)</f>
        <v>64</v>
      </c>
      <c r="H16" s="2">
        <f ca="1">IF(TYPE(VLOOKUP(C16,'KO32'!$D$4:$D$65,1,0))&lt;4,32,999)</f>
        <v>999</v>
      </c>
      <c r="I16" s="2">
        <f ca="1">IF(TYPE(VLOOKUP(C16,'KO16'!$D$4:$D$33,1,0))&lt;4,16,999)</f>
        <v>999</v>
      </c>
      <c r="J16" s="2">
        <f ca="1">IF(TYPE(VLOOKUP(C16,'KO8'!$D$4:$D$17,1,0))&lt;4,8,999)</f>
        <v>999</v>
      </c>
      <c r="K16" s="2">
        <f ca="1">IF(TYPE(VLOOKUP(C16,'KO4'!$D$4:$D$9,1,0))&lt;4,4,999)</f>
        <v>999</v>
      </c>
      <c r="L16" s="2">
        <f ca="1">Start.listina!$K$7</f>
        <v>143</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PLUK Jablonec - Palicová Markéta</v>
      </c>
      <c r="D17" s="2">
        <f ca="1">IF(A17&gt;Start.listina!$K$7,"",INT((A17-1)/$M$2)+1)</f>
        <v>1</v>
      </c>
      <c r="E17" s="301">
        <f ca="1">IF(A17&gt;Start.listina!$K$7,"",MIN(F17:L17))</f>
        <v>64</v>
      </c>
      <c r="F17" s="2">
        <f ca="1">IF(TYPE(VLOOKUP(C17,Konečné_pořadí_1_16!$B$2:$D$17,3,0))&lt;4,VLOOKUP(C17,Konečné_pořadí_1_16!$B$2:$D$17,3,0),999)</f>
        <v>999</v>
      </c>
      <c r="G17" s="2">
        <f ca="1">IF(TYPE(VLOOKUP(C17,'KO64'!$D$4:$D$129,1,0))&lt;4,64,999)</f>
        <v>64</v>
      </c>
      <c r="H17" s="2">
        <f ca="1">IF(TYPE(VLOOKUP(C17,'KO32'!$D$4:$D$65,1,0))&lt;4,32,999)</f>
        <v>999</v>
      </c>
      <c r="I17" s="2">
        <f ca="1">IF(TYPE(VLOOKUP(C17,'KO16'!$D$4:$D$33,1,0))&lt;4,16,999)</f>
        <v>999</v>
      </c>
      <c r="J17" s="2">
        <f ca="1">IF(TYPE(VLOOKUP(C17,'KO8'!$D$4:$D$17,1,0))&lt;4,8,999)</f>
        <v>999</v>
      </c>
      <c r="K17" s="2">
        <f ca="1">IF(TYPE(VLOOKUP(C17,'KO4'!$D$4:$D$9,1,0))&lt;4,4,999)</f>
        <v>999</v>
      </c>
      <c r="L17" s="2">
        <f ca="1">Start.listina!$K$7</f>
        <v>143</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POP Praha - Konšel Jakub</v>
      </c>
      <c r="D18" s="2">
        <f ca="1">IF(A18&gt;Start.listina!$K$7,"",INT((A18-1)/$M$2)+1)</f>
        <v>1</v>
      </c>
      <c r="E18" s="301">
        <f ca="1">IF(A18&gt;Start.listina!$K$7,"",MIN(F18:L18))</f>
        <v>143</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143</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SK Sahara Vědomice - Demčíková Jiřina</v>
      </c>
      <c r="D19" s="2">
        <f ca="1">IF(A19&gt;Start.listina!$K$7,"",INT((A19-1)/$M$2)+1)</f>
        <v>1</v>
      </c>
      <c r="E19" s="301">
        <f ca="1">IF(A19&gt;Start.listina!$K$7,"",MIN(F19:L19))</f>
        <v>143</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143</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1. KPK Vrchlabí - Michalička Lukáš</v>
      </c>
      <c r="D20" s="2">
        <f ca="1">IF(A20&gt;Start.listina!$K$7,"",INT((A20-1)/$M$2)+1)</f>
        <v>1</v>
      </c>
      <c r="E20" s="301">
        <f ca="1">IF(A20&gt;Start.listina!$K$7,"",MIN(F20:L20))</f>
        <v>143</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143</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1. KPK Vrchlabí - Srnský Lubomír</v>
      </c>
      <c r="D21" s="2">
        <f ca="1">IF(A21&gt;Start.listina!$K$7,"",INT((A21-1)/$M$2)+1)</f>
        <v>1</v>
      </c>
      <c r="E21" s="301">
        <f ca="1">IF(A21&gt;Start.listina!$K$7,"",MIN(F21:L21))</f>
        <v>64</v>
      </c>
      <c r="F21" s="2">
        <f ca="1">IF(TYPE(VLOOKUP(C21,Konečné_pořadí_1_16!$B$2:$D$17,3,0))&lt;4,VLOOKUP(C21,Konečné_pořadí_1_16!$B$2:$D$17,3,0),999)</f>
        <v>999</v>
      </c>
      <c r="G21" s="2">
        <f ca="1">IF(TYPE(VLOOKUP(C21,'KO64'!$D$4:$D$129,1,0))&lt;4,64,999)</f>
        <v>64</v>
      </c>
      <c r="H21" s="2">
        <f ca="1">IF(TYPE(VLOOKUP(C21,'KO32'!$D$4:$D$65,1,0))&lt;4,32,999)</f>
        <v>999</v>
      </c>
      <c r="I21" s="2">
        <f ca="1">IF(TYPE(VLOOKUP(C21,'KO16'!$D$4:$D$33,1,0))&lt;4,16,999)</f>
        <v>999</v>
      </c>
      <c r="J21" s="2">
        <f ca="1">IF(TYPE(VLOOKUP(C21,'KO8'!$D$4:$D$17,1,0))&lt;4,8,999)</f>
        <v>999</v>
      </c>
      <c r="K21" s="2">
        <f ca="1">IF(TYPE(VLOOKUP(C21,'KO4'!$D$4:$D$9,1,0))&lt;4,4,999)</f>
        <v>999</v>
      </c>
      <c r="L21" s="2">
        <f ca="1">Start.listina!$K$7</f>
        <v>143</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SKP Hranice VI-Valšovice - Jakeš Zbyněk</v>
      </c>
      <c r="D22" s="2">
        <f ca="1">IF(A22&gt;Start.listina!$K$7,"",INT((A22-1)/$M$2)+1)</f>
        <v>1</v>
      </c>
      <c r="E22" s="301">
        <f ca="1">IF(A22&gt;Start.listina!$K$7,"",MIN(F22:L22))</f>
        <v>64</v>
      </c>
      <c r="F22" s="2">
        <f ca="1">IF(TYPE(VLOOKUP(C22,Konečné_pořadí_1_16!$B$2:$D$17,3,0))&lt;4,VLOOKUP(C22,Konečné_pořadí_1_16!$B$2:$D$17,3,0),999)</f>
        <v>999</v>
      </c>
      <c r="G22" s="2">
        <f ca="1">IF(TYPE(VLOOKUP(C22,'KO64'!$D$4:$D$129,1,0))&lt;4,64,999)</f>
        <v>64</v>
      </c>
      <c r="H22" s="2">
        <f ca="1">IF(TYPE(VLOOKUP(C22,'KO32'!$D$4:$D$65,1,0))&lt;4,32,999)</f>
        <v>999</v>
      </c>
      <c r="I22" s="2">
        <f ca="1">IF(TYPE(VLOOKUP(C22,'KO16'!$D$4:$D$33,1,0))&lt;4,16,999)</f>
        <v>999</v>
      </c>
      <c r="J22" s="2">
        <f ca="1">IF(TYPE(VLOOKUP(C22,'KO8'!$D$4:$D$17,1,0))&lt;4,8,999)</f>
        <v>999</v>
      </c>
      <c r="K22" s="2">
        <f ca="1">IF(TYPE(VLOOKUP(C22,'KO4'!$D$4:$D$9,1,0))&lt;4,4,999)</f>
        <v>999</v>
      </c>
      <c r="L22" s="2">
        <f ca="1">Start.listina!$K$7</f>
        <v>143</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PLUK Jablonec - Lukášová Jana</v>
      </c>
      <c r="D23" s="2">
        <f ca="1">IF(A23&gt;Start.listina!$K$7,"",INT((A23-1)/$M$2)+1)</f>
        <v>1</v>
      </c>
      <c r="E23" s="301">
        <f ca="1">IF(A23&gt;Start.listina!$K$7,"",MIN(F23:L23))</f>
        <v>143</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143</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UBU Únětice - Fuksa Petr</v>
      </c>
      <c r="D24" s="2">
        <f ca="1">IF(A24&gt;Start.listina!$K$7,"",INT((A24-1)/$M$2)+1)</f>
        <v>1</v>
      </c>
      <c r="E24" s="301">
        <f ca="1">IF(A24&gt;Start.listina!$K$7,"",MIN(F24:L24))</f>
        <v>143</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143</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Kulový blesk Olomouc - Konečná Jana</v>
      </c>
      <c r="D25" s="2">
        <f ca="1">IF(A25&gt;Start.listina!$K$7,"",INT((A25-1)/$M$2)+1)</f>
        <v>1</v>
      </c>
      <c r="E25" s="301">
        <f ca="1">IF(A25&gt;Start.listina!$K$7,"",MIN(F25:L25))</f>
        <v>64</v>
      </c>
      <c r="F25" s="2">
        <f ca="1">IF(TYPE(VLOOKUP(C25,Konečné_pořadí_1_16!$B$2:$D$17,3,0))&lt;4,VLOOKUP(C25,Konečné_pořadí_1_16!$B$2:$D$17,3,0),999)</f>
        <v>999</v>
      </c>
      <c r="G25" s="2">
        <f ca="1">IF(TYPE(VLOOKUP(C25,'KO64'!$D$4:$D$129,1,0))&lt;4,64,999)</f>
        <v>64</v>
      </c>
      <c r="H25" s="2">
        <f ca="1">IF(TYPE(VLOOKUP(C25,'KO32'!$D$4:$D$65,1,0))&lt;4,32,999)</f>
        <v>999</v>
      </c>
      <c r="I25" s="2">
        <f ca="1">IF(TYPE(VLOOKUP(C25,'KO16'!$D$4:$D$33,1,0))&lt;4,16,999)</f>
        <v>999</v>
      </c>
      <c r="J25" s="2">
        <f ca="1">IF(TYPE(VLOOKUP(C25,'KO8'!$D$4:$D$17,1,0))&lt;4,8,999)</f>
        <v>999</v>
      </c>
      <c r="K25" s="2">
        <f ca="1">IF(TYPE(VLOOKUP(C25,'KO4'!$D$4:$D$9,1,0))&lt;4,4,999)</f>
        <v>999</v>
      </c>
      <c r="L25" s="2">
        <f ca="1">Start.listina!$K$7</f>
        <v>143</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X1</v>
      </c>
      <c r="C26" s="11" t="str">
        <f ca="1">Start.listina!$AL34</f>
        <v>24 TOP - ORLOVÁ - Ulmann Jiří</v>
      </c>
      <c r="D26" s="2">
        <f ca="1">IF(A26&gt;Start.listina!$K$7,"",INT((A26-1)/$M$2)+1)</f>
        <v>1</v>
      </c>
      <c r="E26" s="301">
        <f ca="1">IF(A26&gt;Start.listina!$K$7,"",MIN(F26:L26))</f>
        <v>64</v>
      </c>
      <c r="F26" s="2">
        <f ca="1">IF(TYPE(VLOOKUP(C26,Konečné_pořadí_1_16!$B$2:$D$17,3,0))&lt;4,VLOOKUP(C26,Konečné_pořadí_1_16!$B$2:$D$17,3,0),999)</f>
        <v>999</v>
      </c>
      <c r="G26" s="2">
        <f ca="1">IF(TYPE(VLOOKUP(C26,'KO64'!$D$4:$D$129,1,0))&lt;4,64,999)</f>
        <v>64</v>
      </c>
      <c r="H26" s="2">
        <f ca="1">IF(TYPE(VLOOKUP(C26,'KO32'!$D$4:$D$65,1,0))&lt;4,32,999)</f>
        <v>999</v>
      </c>
      <c r="I26" s="2">
        <f ca="1">IF(TYPE(VLOOKUP(C26,'KO16'!$D$4:$D$33,1,0))&lt;4,16,999)</f>
        <v>999</v>
      </c>
      <c r="J26" s="2">
        <f ca="1">IF(TYPE(VLOOKUP(C26,'KO8'!$D$4:$D$17,1,0))&lt;4,8,999)</f>
        <v>999</v>
      </c>
      <c r="K26" s="2">
        <f ca="1">IF(TYPE(VLOOKUP(C26,'KO4'!$D$4:$D$9,1,0))&lt;4,4,999)</f>
        <v>999</v>
      </c>
      <c r="L26" s="2">
        <f ca="1">Start.listina!$K$7</f>
        <v>143</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Y1</v>
      </c>
      <c r="C27" s="11" t="str">
        <f ca="1">Start.listina!$AL35</f>
        <v>25 Club Rodamiento - Dlouhá Ivana</v>
      </c>
      <c r="D27" s="2">
        <f ca="1">IF(A27&gt;Start.listina!$K$7,"",INT((A27-1)/$M$2)+1)</f>
        <v>1</v>
      </c>
      <c r="E27" s="301">
        <f ca="1">IF(A27&gt;Start.listina!$K$7,"",MIN(F27:L27))</f>
        <v>64</v>
      </c>
      <c r="F27" s="2">
        <f ca="1">IF(TYPE(VLOOKUP(C27,Konečné_pořadí_1_16!$B$2:$D$17,3,0))&lt;4,VLOOKUP(C27,Konečné_pořadí_1_16!$B$2:$D$17,3,0),999)</f>
        <v>999</v>
      </c>
      <c r="G27" s="2">
        <f ca="1">IF(TYPE(VLOOKUP(C27,'KO64'!$D$4:$D$129,1,0))&lt;4,64,999)</f>
        <v>64</v>
      </c>
      <c r="H27" s="2">
        <f ca="1">IF(TYPE(VLOOKUP(C27,'KO32'!$D$4:$D$65,1,0))&lt;4,32,999)</f>
        <v>999</v>
      </c>
      <c r="I27" s="2">
        <f ca="1">IF(TYPE(VLOOKUP(C27,'KO16'!$D$4:$D$33,1,0))&lt;4,16,999)</f>
        <v>999</v>
      </c>
      <c r="J27" s="2">
        <f ca="1">IF(TYPE(VLOOKUP(C27,'KO8'!$D$4:$D$17,1,0))&lt;4,8,999)</f>
        <v>999</v>
      </c>
      <c r="K27" s="2">
        <f ca="1">IF(TYPE(VLOOKUP(C27,'KO4'!$D$4:$D$9,1,0))&lt;4,4,999)</f>
        <v>999</v>
      </c>
      <c r="L27" s="2">
        <f ca="1">Start.listina!$K$7</f>
        <v>143</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Z1</v>
      </c>
      <c r="C28" s="11" t="str">
        <f ca="1">Start.listina!$AL36</f>
        <v>26 SK Pétanque Řepy - Holoubek Pavel</v>
      </c>
      <c r="D28" s="2">
        <f ca="1">IF(A28&gt;Start.listina!$K$7,"",INT((A28-1)/$M$2)+1)</f>
        <v>1</v>
      </c>
      <c r="E28" s="301">
        <f ca="1">IF(A28&gt;Start.listina!$K$7,"",MIN(F28:L28))</f>
        <v>64</v>
      </c>
      <c r="F28" s="2">
        <f ca="1">IF(TYPE(VLOOKUP(C28,Konečné_pořadí_1_16!$B$2:$D$17,3,0))&lt;4,VLOOKUP(C28,Konečné_pořadí_1_16!$B$2:$D$17,3,0),999)</f>
        <v>999</v>
      </c>
      <c r="G28" s="2">
        <f ca="1">IF(TYPE(VLOOKUP(C28,'KO64'!$D$4:$D$129,1,0))&lt;4,64,999)</f>
        <v>64</v>
      </c>
      <c r="H28" s="2">
        <f ca="1">IF(TYPE(VLOOKUP(C28,'KO32'!$D$4:$D$65,1,0))&lt;4,32,999)</f>
        <v>999</v>
      </c>
      <c r="I28" s="2">
        <f ca="1">IF(TYPE(VLOOKUP(C28,'KO16'!$D$4:$D$33,1,0))&lt;4,16,999)</f>
        <v>999</v>
      </c>
      <c r="J28" s="2">
        <f ca="1">IF(TYPE(VLOOKUP(C28,'KO8'!$D$4:$D$17,1,0))&lt;4,8,999)</f>
        <v>999</v>
      </c>
      <c r="K28" s="2">
        <f ca="1">IF(TYPE(VLOOKUP(C28,'KO4'!$D$4:$D$9,1,0))&lt;4,4,999)</f>
        <v>999</v>
      </c>
      <c r="L28" s="2">
        <f ca="1">Start.listina!$K$7</f>
        <v>143</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AA1</v>
      </c>
      <c r="C29" s="11" t="str">
        <f ca="1">Start.listina!$AL37</f>
        <v>27 Sokol Kostomlaty - Vlach Jaromír</v>
      </c>
      <c r="D29" s="2">
        <f ca="1">IF(A29&gt;Start.listina!$K$7,"",INT((A29-1)/$M$2)+1)</f>
        <v>1</v>
      </c>
      <c r="E29" s="301">
        <f ca="1">IF(A29&gt;Start.listina!$K$7,"",MIN(F29:L29))</f>
        <v>64</v>
      </c>
      <c r="F29" s="2">
        <f ca="1">IF(TYPE(VLOOKUP(C29,Konečné_pořadí_1_16!$B$2:$D$17,3,0))&lt;4,VLOOKUP(C29,Konečné_pořadí_1_16!$B$2:$D$17,3,0),999)</f>
        <v>999</v>
      </c>
      <c r="G29" s="2">
        <f ca="1">IF(TYPE(VLOOKUP(C29,'KO64'!$D$4:$D$129,1,0))&lt;4,64,999)</f>
        <v>64</v>
      </c>
      <c r="H29" s="2">
        <f ca="1">IF(TYPE(VLOOKUP(C29,'KO32'!$D$4:$D$65,1,0))&lt;4,32,999)</f>
        <v>999</v>
      </c>
      <c r="I29" s="2">
        <f ca="1">IF(TYPE(VLOOKUP(C29,'KO16'!$D$4:$D$33,1,0))&lt;4,16,999)</f>
        <v>999</v>
      </c>
      <c r="J29" s="2">
        <f ca="1">IF(TYPE(VLOOKUP(C29,'KO8'!$D$4:$D$17,1,0))&lt;4,8,999)</f>
        <v>999</v>
      </c>
      <c r="K29" s="2">
        <f ca="1">IF(TYPE(VLOOKUP(C29,'KO4'!$D$4:$D$9,1,0))&lt;4,4,999)</f>
        <v>999</v>
      </c>
      <c r="L29" s="2">
        <f ca="1">Start.listina!$K$7</f>
        <v>143</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AB1</v>
      </c>
      <c r="C30" s="11" t="str">
        <f ca="1">Start.listina!$AL38</f>
        <v>28 SK Pétanque Řepy - Pastorek Jaroslav</v>
      </c>
      <c r="D30" s="2">
        <f ca="1">IF(A30&gt;Start.listina!$K$7,"",INT((A30-1)/$M$2)+1)</f>
        <v>1</v>
      </c>
      <c r="E30" s="301">
        <f ca="1">IF(A30&gt;Start.listina!$K$7,"",MIN(F30:L30))</f>
        <v>64</v>
      </c>
      <c r="F30" s="2">
        <f ca="1">IF(TYPE(VLOOKUP(C30,Konečné_pořadí_1_16!$B$2:$D$17,3,0))&lt;4,VLOOKUP(C30,Konečné_pořadí_1_16!$B$2:$D$17,3,0),999)</f>
        <v>999</v>
      </c>
      <c r="G30" s="2">
        <f ca="1">IF(TYPE(VLOOKUP(C30,'KO64'!$D$4:$D$129,1,0))&lt;4,64,999)</f>
        <v>64</v>
      </c>
      <c r="H30" s="2">
        <f ca="1">IF(TYPE(VLOOKUP(C30,'KO32'!$D$4:$D$65,1,0))&lt;4,32,999)</f>
        <v>999</v>
      </c>
      <c r="I30" s="2">
        <f ca="1">IF(TYPE(VLOOKUP(C30,'KO16'!$D$4:$D$33,1,0))&lt;4,16,999)</f>
        <v>999</v>
      </c>
      <c r="J30" s="2">
        <f ca="1">IF(TYPE(VLOOKUP(C30,'KO8'!$D$4:$D$17,1,0))&lt;4,8,999)</f>
        <v>999</v>
      </c>
      <c r="K30" s="2">
        <f ca="1">IF(TYPE(VLOOKUP(C30,'KO4'!$D$4:$D$9,1,0))&lt;4,4,999)</f>
        <v>999</v>
      </c>
      <c r="L30" s="2">
        <f ca="1">Start.listina!$K$7</f>
        <v>143</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AC1</v>
      </c>
      <c r="C31" s="11" t="str">
        <f ca="1">Start.listina!$AL39</f>
        <v>29 PC Sokol Lipník - Froňková Blanka</v>
      </c>
      <c r="D31" s="2">
        <f ca="1">IF(A31&gt;Start.listina!$K$7,"",INT((A31-1)/$M$2)+1)</f>
        <v>1</v>
      </c>
      <c r="E31" s="301">
        <f ca="1">IF(A31&gt;Start.listina!$K$7,"",MIN(F31:L31))</f>
        <v>64</v>
      </c>
      <c r="F31" s="2">
        <f ca="1">IF(TYPE(VLOOKUP(C31,Konečné_pořadí_1_16!$B$2:$D$17,3,0))&lt;4,VLOOKUP(C31,Konečné_pořadí_1_16!$B$2:$D$17,3,0),999)</f>
        <v>999</v>
      </c>
      <c r="G31" s="2">
        <f ca="1">IF(TYPE(VLOOKUP(C31,'KO64'!$D$4:$D$129,1,0))&lt;4,64,999)</f>
        <v>64</v>
      </c>
      <c r="H31" s="2">
        <f ca="1">IF(TYPE(VLOOKUP(C31,'KO32'!$D$4:$D$65,1,0))&lt;4,32,999)</f>
        <v>999</v>
      </c>
      <c r="I31" s="2">
        <f ca="1">IF(TYPE(VLOOKUP(C31,'KO16'!$D$4:$D$33,1,0))&lt;4,16,999)</f>
        <v>999</v>
      </c>
      <c r="J31" s="2">
        <f ca="1">IF(TYPE(VLOOKUP(C31,'KO8'!$D$4:$D$17,1,0))&lt;4,8,999)</f>
        <v>999</v>
      </c>
      <c r="K31" s="2">
        <f ca="1">IF(TYPE(VLOOKUP(C31,'KO4'!$D$4:$D$9,1,0))&lt;4,4,999)</f>
        <v>999</v>
      </c>
      <c r="L31" s="2">
        <f ca="1">Start.listina!$K$7</f>
        <v>143</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AD1</v>
      </c>
      <c r="C32" s="11" t="str">
        <f ca="1">Start.listina!$AL40</f>
        <v>30 POP Praha - Resl Jan</v>
      </c>
      <c r="D32" s="2">
        <f ca="1">IF(A32&gt;Start.listina!$K$7,"",INT((A32-1)/$M$2)+1)</f>
        <v>1</v>
      </c>
      <c r="E32" s="301">
        <f ca="1">IF(A32&gt;Start.listina!$K$7,"",MIN(F32:L32))</f>
        <v>64</v>
      </c>
      <c r="F32" s="2">
        <f ca="1">IF(TYPE(VLOOKUP(C32,Konečné_pořadí_1_16!$B$2:$D$17,3,0))&lt;4,VLOOKUP(C32,Konečné_pořadí_1_16!$B$2:$D$17,3,0),999)</f>
        <v>999</v>
      </c>
      <c r="G32" s="2">
        <f ca="1">IF(TYPE(VLOOKUP(C32,'KO64'!$D$4:$D$129,1,0))&lt;4,64,999)</f>
        <v>64</v>
      </c>
      <c r="H32" s="2">
        <f ca="1">IF(TYPE(VLOOKUP(C32,'KO32'!$D$4:$D$65,1,0))&lt;4,32,999)</f>
        <v>999</v>
      </c>
      <c r="I32" s="2">
        <f ca="1">IF(TYPE(VLOOKUP(C32,'KO16'!$D$4:$D$33,1,0))&lt;4,16,999)</f>
        <v>999</v>
      </c>
      <c r="J32" s="2">
        <f ca="1">IF(TYPE(VLOOKUP(C32,'KO8'!$D$4:$D$17,1,0))&lt;4,8,999)</f>
        <v>999</v>
      </c>
      <c r="K32" s="2">
        <f ca="1">IF(TYPE(VLOOKUP(C32,'KO4'!$D$4:$D$9,1,0))&lt;4,4,999)</f>
        <v>999</v>
      </c>
      <c r="L32" s="2">
        <f ca="1">Start.listina!$K$7</f>
        <v>143</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AE1</v>
      </c>
      <c r="C33" s="11" t="str">
        <f ca="1">Start.listina!$AL41</f>
        <v>31 PLUK Jablonec - Lukáš Petr</v>
      </c>
      <c r="D33" s="2">
        <f ca="1">IF(A33&gt;Start.listina!$K$7,"",INT((A33-1)/$M$2)+1)</f>
        <v>1</v>
      </c>
      <c r="E33" s="301">
        <f ca="1">IF(A33&gt;Start.listina!$K$7,"",MIN(F33:L33))</f>
        <v>64</v>
      </c>
      <c r="F33" s="2">
        <f ca="1">IF(TYPE(VLOOKUP(C33,Konečné_pořadí_1_16!$B$2:$D$17,3,0))&lt;4,VLOOKUP(C33,Konečné_pořadí_1_16!$B$2:$D$17,3,0),999)</f>
        <v>999</v>
      </c>
      <c r="G33" s="2">
        <f ca="1">IF(TYPE(VLOOKUP(C33,'KO64'!$D$4:$D$129,1,0))&lt;4,64,999)</f>
        <v>64</v>
      </c>
      <c r="H33" s="2">
        <f ca="1">IF(TYPE(VLOOKUP(C33,'KO32'!$D$4:$D$65,1,0))&lt;4,32,999)</f>
        <v>999</v>
      </c>
      <c r="I33" s="2">
        <f ca="1">IF(TYPE(VLOOKUP(C33,'KO16'!$D$4:$D$33,1,0))&lt;4,16,999)</f>
        <v>999</v>
      </c>
      <c r="J33" s="2">
        <f ca="1">IF(TYPE(VLOOKUP(C33,'KO8'!$D$4:$D$17,1,0))&lt;4,8,999)</f>
        <v>999</v>
      </c>
      <c r="K33" s="2">
        <f ca="1">IF(TYPE(VLOOKUP(C33,'KO4'!$D$4:$D$9,1,0))&lt;4,4,999)</f>
        <v>999</v>
      </c>
      <c r="L33" s="2">
        <f ca="1">Start.listina!$K$7</f>
        <v>143</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AF1</v>
      </c>
      <c r="C34" s="11" t="str">
        <f ca="1">Start.listina!$AL42</f>
        <v>32 Club Rodamiento - Kamaryt Josef</v>
      </c>
      <c r="D34" s="2">
        <f ca="1">IF(A34&gt;Start.listina!$K$7,"",INT((A34-1)/$M$2)+1)</f>
        <v>1</v>
      </c>
      <c r="E34" s="301">
        <f ca="1">IF(A34&gt;Start.listina!$K$7,"",MIN(F34:L34))</f>
        <v>64</v>
      </c>
      <c r="F34" s="2">
        <f ca="1">IF(TYPE(VLOOKUP(C34,Konečné_pořadí_1_16!$B$2:$D$17,3,0))&lt;4,VLOOKUP(C34,Konečné_pořadí_1_16!$B$2:$D$17,3,0),999)</f>
        <v>999</v>
      </c>
      <c r="G34" s="2">
        <f ca="1">IF(TYPE(VLOOKUP(C34,'KO64'!$D$4:$D$129,1,0))&lt;4,64,999)</f>
        <v>64</v>
      </c>
      <c r="H34" s="2">
        <f ca="1">IF(TYPE(VLOOKUP(C34,'KO32'!$D$4:$D$65,1,0))&lt;4,32,999)</f>
        <v>999</v>
      </c>
      <c r="I34" s="2">
        <f ca="1">IF(TYPE(VLOOKUP(C34,'KO16'!$D$4:$D$33,1,0))&lt;4,16,999)</f>
        <v>999</v>
      </c>
      <c r="J34" s="2">
        <f ca="1">IF(TYPE(VLOOKUP(C34,'KO8'!$D$4:$D$17,1,0))&lt;4,8,999)</f>
        <v>999</v>
      </c>
      <c r="K34" s="2">
        <f ca="1">IF(TYPE(VLOOKUP(C34,'KO4'!$D$4:$D$9,1,0))&lt;4,4,999)</f>
        <v>999</v>
      </c>
      <c r="L34" s="2">
        <f ca="1">Start.listina!$K$7</f>
        <v>143</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AG1</v>
      </c>
      <c r="C35" s="11" t="str">
        <f ca="1">Start.listina!$AL43</f>
        <v>33 1. KPK Vrchlabí - Brázda Vladimír</v>
      </c>
      <c r="D35" s="2">
        <f ca="1">IF(A35&gt;Start.listina!$K$7,"",INT((A35-1)/$M$2)+1)</f>
        <v>1</v>
      </c>
      <c r="E35" s="301">
        <f ca="1">IF(A35&gt;Start.listina!$K$7,"",MIN(F35:L35))</f>
        <v>64</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143</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AH1</v>
      </c>
      <c r="C36" s="11" t="str">
        <f ca="1">Start.listina!$AL44</f>
        <v>34 UBU Únětice - Tomášková Dana</v>
      </c>
      <c r="D36" s="2">
        <f ca="1">IF(A36&gt;Start.listina!$K$7,"",INT((A36-1)/$M$2)+1)</f>
        <v>1</v>
      </c>
      <c r="E36" s="301">
        <f ca="1">IF(A36&gt;Start.listina!$K$7,"",MIN(F36:L36))</f>
        <v>143</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143</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AI1</v>
      </c>
      <c r="C37" s="11" t="str">
        <f ca="1">Start.listina!$AL45</f>
        <v>35 SK Sahara Vědomice - Demčík Milan St.</v>
      </c>
      <c r="D37" s="2">
        <f ca="1">IF(A37&gt;Start.listina!$K$7,"",INT((A37-1)/$M$2)+1)</f>
        <v>1</v>
      </c>
      <c r="E37" s="301">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143</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AJ1</v>
      </c>
      <c r="C38" s="11" t="str">
        <f ca="1">Start.listina!$AL46</f>
        <v>36 HRODE KRUMSÍN - Pírek Martin</v>
      </c>
      <c r="D38" s="2">
        <f ca="1">IF(A38&gt;Start.listina!$K$7,"",INT((A38-1)/$M$2)+1)</f>
        <v>1</v>
      </c>
      <c r="E38" s="301">
        <f ca="1">IF(A38&gt;Start.listina!$K$7,"",MIN(F38:L38))</f>
        <v>64</v>
      </c>
      <c r="F38" s="2">
        <f ca="1">IF(TYPE(VLOOKUP(C38,Konečné_pořadí_1_16!$B$2:$D$17,3,0))&lt;4,VLOOKUP(C38,Konečné_pořadí_1_16!$B$2:$D$17,3,0),999)</f>
        <v>999</v>
      </c>
      <c r="G38" s="2">
        <f ca="1">IF(TYPE(VLOOKUP(C38,'KO64'!$D$4:$D$129,1,0))&lt;4,64,999)</f>
        <v>64</v>
      </c>
      <c r="H38" s="2">
        <f ca="1">IF(TYPE(VLOOKUP(C38,'KO32'!$D$4:$D$65,1,0))&lt;4,32,999)</f>
        <v>999</v>
      </c>
      <c r="I38" s="2">
        <f ca="1">IF(TYPE(VLOOKUP(C38,'KO16'!$D$4:$D$33,1,0))&lt;4,16,999)</f>
        <v>999</v>
      </c>
      <c r="J38" s="2">
        <f ca="1">IF(TYPE(VLOOKUP(C38,'KO8'!$D$4:$D$17,1,0))&lt;4,8,999)</f>
        <v>999</v>
      </c>
      <c r="K38" s="2">
        <f ca="1">IF(TYPE(VLOOKUP(C38,'KO4'!$D$4:$D$9,1,0))&lt;4,4,999)</f>
        <v>999</v>
      </c>
      <c r="L38" s="2">
        <f ca="1">Start.listina!$K$7</f>
        <v>143</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AK1</v>
      </c>
      <c r="C39" s="11" t="str">
        <f ca="1">Start.listina!$AL47</f>
        <v>37 1. KPK Vrchlabí - Řezníček Jiří</v>
      </c>
      <c r="D39" s="2">
        <f ca="1">IF(A39&gt;Start.listina!$K$7,"",INT((A39-1)/$M$2)+1)</f>
        <v>1</v>
      </c>
      <c r="E39" s="301">
        <f ca="1">IF(A39&gt;Start.listina!$K$7,"",MIN(F39:L39))</f>
        <v>64</v>
      </c>
      <c r="F39" s="2">
        <f ca="1">IF(TYPE(VLOOKUP(C39,Konečné_pořadí_1_16!$B$2:$D$17,3,0))&lt;4,VLOOKUP(C39,Konečné_pořadí_1_16!$B$2:$D$17,3,0),999)</f>
        <v>999</v>
      </c>
      <c r="G39" s="2">
        <f ca="1">IF(TYPE(VLOOKUP(C39,'KO64'!$D$4:$D$129,1,0))&lt;4,64,999)</f>
        <v>64</v>
      </c>
      <c r="H39" s="2">
        <f ca="1">IF(TYPE(VLOOKUP(C39,'KO32'!$D$4:$D$65,1,0))&lt;4,32,999)</f>
        <v>999</v>
      </c>
      <c r="I39" s="2">
        <f ca="1">IF(TYPE(VLOOKUP(C39,'KO16'!$D$4:$D$33,1,0))&lt;4,16,999)</f>
        <v>999</v>
      </c>
      <c r="J39" s="2">
        <f ca="1">IF(TYPE(VLOOKUP(C39,'KO8'!$D$4:$D$17,1,0))&lt;4,8,999)</f>
        <v>999</v>
      </c>
      <c r="K39" s="2">
        <f ca="1">IF(TYPE(VLOOKUP(C39,'KO4'!$D$4:$D$9,1,0))&lt;4,4,999)</f>
        <v>999</v>
      </c>
      <c r="L39" s="2">
        <f ca="1">Start.listina!$K$7</f>
        <v>143</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AL1</v>
      </c>
      <c r="C40" s="11" t="str">
        <f ca="1">Start.listina!$AL48</f>
        <v>38 FENYX Adamov - Král Pavel</v>
      </c>
      <c r="D40" s="2">
        <f ca="1">IF(A40&gt;Start.listina!$K$7,"",INT((A40-1)/$M$2)+1)</f>
        <v>1</v>
      </c>
      <c r="E40" s="301">
        <f ca="1">IF(A40&gt;Start.listina!$K$7,"",MIN(F40:L40))</f>
        <v>64</v>
      </c>
      <c r="F40" s="2">
        <f ca="1">IF(TYPE(VLOOKUP(C40,Konečné_pořadí_1_16!$B$2:$D$17,3,0))&lt;4,VLOOKUP(C40,Konečné_pořadí_1_16!$B$2:$D$17,3,0),999)</f>
        <v>999</v>
      </c>
      <c r="G40" s="2">
        <f ca="1">IF(TYPE(VLOOKUP(C40,'KO64'!$D$4:$D$129,1,0))&lt;4,64,999)</f>
        <v>64</v>
      </c>
      <c r="H40" s="2">
        <f ca="1">IF(TYPE(VLOOKUP(C40,'KO32'!$D$4:$D$65,1,0))&lt;4,32,999)</f>
        <v>999</v>
      </c>
      <c r="I40" s="2">
        <f ca="1">IF(TYPE(VLOOKUP(C40,'KO16'!$D$4:$D$33,1,0))&lt;4,16,999)</f>
        <v>999</v>
      </c>
      <c r="J40" s="2">
        <f ca="1">IF(TYPE(VLOOKUP(C40,'KO8'!$D$4:$D$17,1,0))&lt;4,8,999)</f>
        <v>999</v>
      </c>
      <c r="K40" s="2">
        <f ca="1">IF(TYPE(VLOOKUP(C40,'KO4'!$D$4:$D$9,1,0))&lt;4,4,999)</f>
        <v>999</v>
      </c>
      <c r="L40" s="2">
        <f ca="1">Start.listina!$K$7</f>
        <v>143</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AM1</v>
      </c>
      <c r="C41" s="11" t="str">
        <f ca="1">Start.listina!$AL49</f>
        <v>39 FRAPECO - Felčárek Jaroslav</v>
      </c>
      <c r="D41" s="2">
        <f ca="1">IF(A41&gt;Start.listina!$K$7,"",INT((A41-1)/$M$2)+1)</f>
        <v>1</v>
      </c>
      <c r="E41" s="301">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143</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AN1</v>
      </c>
      <c r="C42" s="11" t="str">
        <f ca="1">Start.listina!$AL50</f>
        <v>40 HAPEK - Bureš Pavel st.</v>
      </c>
      <c r="D42" s="2">
        <f ca="1">IF(A42&gt;Start.listina!$K$7,"",INT((A42-1)/$M$2)+1)</f>
        <v>1</v>
      </c>
      <c r="E42" s="301">
        <f ca="1">IF(A42&gt;Start.listina!$K$7,"",MIN(F42:L42))</f>
        <v>64</v>
      </c>
      <c r="F42" s="2">
        <f ca="1">IF(TYPE(VLOOKUP(C42,Konečné_pořadí_1_16!$B$2:$D$17,3,0))&lt;4,VLOOKUP(C42,Konečné_pořadí_1_16!$B$2:$D$17,3,0),999)</f>
        <v>999</v>
      </c>
      <c r="G42" s="2">
        <f ca="1">IF(TYPE(VLOOKUP(C42,'KO64'!$D$4:$D$129,1,0))&lt;4,64,999)</f>
        <v>64</v>
      </c>
      <c r="H42" s="2">
        <f ca="1">IF(TYPE(VLOOKUP(C42,'KO32'!$D$4:$D$65,1,0))&lt;4,32,999)</f>
        <v>999</v>
      </c>
      <c r="I42" s="2">
        <f ca="1">IF(TYPE(VLOOKUP(C42,'KO16'!$D$4:$D$33,1,0))&lt;4,16,999)</f>
        <v>999</v>
      </c>
      <c r="J42" s="2">
        <f ca="1">IF(TYPE(VLOOKUP(C42,'KO8'!$D$4:$D$17,1,0))&lt;4,8,999)</f>
        <v>999</v>
      </c>
      <c r="K42" s="2">
        <f ca="1">IF(TYPE(VLOOKUP(C42,'KO4'!$D$4:$D$9,1,0))&lt;4,4,999)</f>
        <v>999</v>
      </c>
      <c r="L42" s="2">
        <f ca="1">Start.listina!$K$7</f>
        <v>143</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AO1</v>
      </c>
      <c r="C43" s="11" t="str">
        <f ca="1">Start.listina!$AL51</f>
        <v>41 SKP Kulová osma - Pilát Petr</v>
      </c>
      <c r="D43" s="2">
        <f ca="1">IF(A43&gt;Start.listina!$K$7,"",INT((A43-1)/$M$2)+1)</f>
        <v>1</v>
      </c>
      <c r="E43" s="301">
        <f ca="1">IF(A43&gt;Start.listina!$K$7,"",MIN(F43:L43))</f>
        <v>64</v>
      </c>
      <c r="F43" s="2">
        <f ca="1">IF(TYPE(VLOOKUP(C43,Konečné_pořadí_1_16!$B$2:$D$17,3,0))&lt;4,VLOOKUP(C43,Konečné_pořadí_1_16!$B$2:$D$17,3,0),999)</f>
        <v>999</v>
      </c>
      <c r="G43" s="2">
        <f ca="1">IF(TYPE(VLOOKUP(C43,'KO64'!$D$4:$D$129,1,0))&lt;4,64,999)</f>
        <v>64</v>
      </c>
      <c r="H43" s="2">
        <f ca="1">IF(TYPE(VLOOKUP(C43,'KO32'!$D$4:$D$65,1,0))&lt;4,32,999)</f>
        <v>999</v>
      </c>
      <c r="I43" s="2">
        <f ca="1">IF(TYPE(VLOOKUP(C43,'KO16'!$D$4:$D$33,1,0))&lt;4,16,999)</f>
        <v>999</v>
      </c>
      <c r="J43" s="2">
        <f ca="1">IF(TYPE(VLOOKUP(C43,'KO8'!$D$4:$D$17,1,0))&lt;4,8,999)</f>
        <v>999</v>
      </c>
      <c r="K43" s="2">
        <f ca="1">IF(TYPE(VLOOKUP(C43,'KO4'!$D$4:$D$9,1,0))&lt;4,4,999)</f>
        <v>999</v>
      </c>
      <c r="L43" s="2">
        <f ca="1">Start.listina!$K$7</f>
        <v>143</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AP1</v>
      </c>
      <c r="C44" s="11" t="str">
        <f ca="1">Start.listina!$AL52</f>
        <v>42 FRAPECO - Šedivý Zdeněk</v>
      </c>
      <c r="D44" s="2">
        <f ca="1">IF(A44&gt;Start.listina!$K$7,"",INT((A44-1)/$M$2)+1)</f>
        <v>1</v>
      </c>
      <c r="E44" s="301">
        <f ca="1">IF(A44&gt;Start.listina!$K$7,"",MIN(F44:L44))</f>
        <v>143</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143</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AQ1</v>
      </c>
      <c r="C45" s="11" t="str">
        <f ca="1">Start.listina!$AL53</f>
        <v>43 SK Sahara Vědomice - Přibyl Miloš</v>
      </c>
      <c r="D45" s="2">
        <f ca="1">IF(A45&gt;Start.listina!$K$7,"",INT((A45-1)/$M$2)+1)</f>
        <v>1</v>
      </c>
      <c r="E45" s="301">
        <f ca="1">IF(A45&gt;Start.listina!$K$7,"",MIN(F45:L45))</f>
        <v>64</v>
      </c>
      <c r="F45" s="2">
        <f ca="1">IF(TYPE(VLOOKUP(C45,Konečné_pořadí_1_16!$B$2:$D$17,3,0))&lt;4,VLOOKUP(C45,Konečné_pořadí_1_16!$B$2:$D$17,3,0),999)</f>
        <v>999</v>
      </c>
      <c r="G45" s="2">
        <f ca="1">IF(TYPE(VLOOKUP(C45,'KO64'!$D$4:$D$129,1,0))&lt;4,64,999)</f>
        <v>64</v>
      </c>
      <c r="H45" s="2">
        <f ca="1">IF(TYPE(VLOOKUP(C45,'KO32'!$D$4:$D$65,1,0))&lt;4,32,999)</f>
        <v>999</v>
      </c>
      <c r="I45" s="2">
        <f ca="1">IF(TYPE(VLOOKUP(C45,'KO16'!$D$4:$D$33,1,0))&lt;4,16,999)</f>
        <v>999</v>
      </c>
      <c r="J45" s="2">
        <f ca="1">IF(TYPE(VLOOKUP(C45,'KO8'!$D$4:$D$17,1,0))&lt;4,8,999)</f>
        <v>999</v>
      </c>
      <c r="K45" s="2">
        <f ca="1">IF(TYPE(VLOOKUP(C45,'KO4'!$D$4:$D$9,1,0))&lt;4,4,999)</f>
        <v>999</v>
      </c>
      <c r="L45" s="2">
        <f ca="1">Start.listina!$K$7</f>
        <v>143</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AQ2</v>
      </c>
      <c r="C46" s="11" t="str">
        <f ca="1">Start.listina!$AL54</f>
        <v>44 Petank Club Praha - Vorel Jan</v>
      </c>
      <c r="D46" s="2">
        <f ca="1">IF(A46&gt;Start.listina!$K$7,"",INT((A46-1)/$M$2)+1)</f>
        <v>2</v>
      </c>
      <c r="E46" s="301">
        <f ca="1">IF(A46&gt;Start.listina!$K$7,"",MIN(F46:L46))</f>
        <v>64</v>
      </c>
      <c r="F46" s="2">
        <f ca="1">IF(TYPE(VLOOKUP(C46,Konečné_pořadí_1_16!$B$2:$D$17,3,0))&lt;4,VLOOKUP(C46,Konečné_pořadí_1_16!$B$2:$D$17,3,0),999)</f>
        <v>999</v>
      </c>
      <c r="G46" s="2">
        <f ca="1">IF(TYPE(VLOOKUP(C46,'KO64'!$D$4:$D$129,1,0))&lt;4,64,999)</f>
        <v>64</v>
      </c>
      <c r="H46" s="2">
        <f ca="1">IF(TYPE(VLOOKUP(C46,'KO32'!$D$4:$D$65,1,0))&lt;4,32,999)</f>
        <v>999</v>
      </c>
      <c r="I46" s="2">
        <f ca="1">IF(TYPE(VLOOKUP(C46,'KO16'!$D$4:$D$33,1,0))&lt;4,16,999)</f>
        <v>999</v>
      </c>
      <c r="J46" s="2">
        <f ca="1">IF(TYPE(VLOOKUP(C46,'KO8'!$D$4:$D$17,1,0))&lt;4,8,999)</f>
        <v>999</v>
      </c>
      <c r="K46" s="2">
        <f ca="1">IF(TYPE(VLOOKUP(C46,'KO4'!$D$4:$D$9,1,0))&lt;4,4,999)</f>
        <v>999</v>
      </c>
      <c r="L46" s="2">
        <f ca="1">Start.listina!$K$7</f>
        <v>143</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AP2</v>
      </c>
      <c r="C47" s="11" t="str">
        <f ca="1">Start.listina!$AL55</f>
        <v>45 SKP Hranice VI-Valšovice - Tománek Petr</v>
      </c>
      <c r="D47" s="2">
        <f ca="1">IF(A47&gt;Start.listina!$K$7,"",INT((A47-1)/$M$2)+1)</f>
        <v>2</v>
      </c>
      <c r="E47" s="301">
        <f ca="1">IF(A47&gt;Start.listina!$K$7,"",MIN(F47:L47))</f>
        <v>64</v>
      </c>
      <c r="F47" s="2">
        <f ca="1">IF(TYPE(VLOOKUP(C47,Konečné_pořadí_1_16!$B$2:$D$17,3,0))&lt;4,VLOOKUP(C47,Konečné_pořadí_1_16!$B$2:$D$17,3,0),999)</f>
        <v>999</v>
      </c>
      <c r="G47" s="2">
        <f ca="1">IF(TYPE(VLOOKUP(C47,'KO64'!$D$4:$D$129,1,0))&lt;4,64,999)</f>
        <v>64</v>
      </c>
      <c r="H47" s="2">
        <f ca="1">IF(TYPE(VLOOKUP(C47,'KO32'!$D$4:$D$65,1,0))&lt;4,32,999)</f>
        <v>999</v>
      </c>
      <c r="I47" s="2">
        <f ca="1">IF(TYPE(VLOOKUP(C47,'KO16'!$D$4:$D$33,1,0))&lt;4,16,999)</f>
        <v>999</v>
      </c>
      <c r="J47" s="2">
        <f ca="1">IF(TYPE(VLOOKUP(C47,'KO8'!$D$4:$D$17,1,0))&lt;4,8,999)</f>
        <v>999</v>
      </c>
      <c r="K47" s="2">
        <f ca="1">IF(TYPE(VLOOKUP(C47,'KO4'!$D$4:$D$9,1,0))&lt;4,4,999)</f>
        <v>999</v>
      </c>
      <c r="L47" s="2">
        <f ca="1">Start.listina!$K$7</f>
        <v>143</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AO2</v>
      </c>
      <c r="C48" s="11" t="str">
        <f ca="1">Start.listina!$AL56</f>
        <v>46 PK Osika Plzeň - Radoušová Jana</v>
      </c>
      <c r="D48" s="2">
        <f ca="1">IF(A48&gt;Start.listina!$K$7,"",INT((A48-1)/$M$2)+1)</f>
        <v>2</v>
      </c>
      <c r="E48" s="301">
        <f ca="1">IF(A48&gt;Start.listina!$K$7,"",MIN(F48:L48))</f>
        <v>143</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143</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AN2</v>
      </c>
      <c r="C49" s="11" t="str">
        <f ca="1">Start.listina!$AL57</f>
        <v>47 SK Sahara Vědomice - Kulhánek Milan</v>
      </c>
      <c r="D49" s="2">
        <f ca="1">IF(A49&gt;Start.listina!$K$7,"",INT((A49-1)/$M$2)+1)</f>
        <v>2</v>
      </c>
      <c r="E49" s="301">
        <f ca="1">IF(A49&gt;Start.listina!$K$7,"",MIN(F49:L49))</f>
        <v>143</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143</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AM2</v>
      </c>
      <c r="C50" s="11" t="str">
        <f ca="1">Start.listina!$AL58</f>
        <v>48 UBU Únětice - Palas Pavel</v>
      </c>
      <c r="D50" s="2">
        <f ca="1">IF(A50&gt;Start.listina!$K$7,"",INT((A50-1)/$M$2)+1)</f>
        <v>2</v>
      </c>
      <c r="E50" s="301">
        <f ca="1">IF(A50&gt;Start.listina!$K$7,"",MIN(F50:L50))</f>
        <v>64</v>
      </c>
      <c r="F50" s="2">
        <f ca="1">IF(TYPE(VLOOKUP(C50,Konečné_pořadí_1_16!$B$2:$D$17,3,0))&lt;4,VLOOKUP(C50,Konečné_pořadí_1_16!$B$2:$D$17,3,0),999)</f>
        <v>999</v>
      </c>
      <c r="G50" s="2">
        <f ca="1">IF(TYPE(VLOOKUP(C50,'KO64'!$D$4:$D$129,1,0))&lt;4,64,999)</f>
        <v>64</v>
      </c>
      <c r="H50" s="2">
        <f ca="1">IF(TYPE(VLOOKUP(C50,'KO32'!$D$4:$D$65,1,0))&lt;4,32,999)</f>
        <v>999</v>
      </c>
      <c r="I50" s="2">
        <f ca="1">IF(TYPE(VLOOKUP(C50,'KO16'!$D$4:$D$33,1,0))&lt;4,16,999)</f>
        <v>999</v>
      </c>
      <c r="J50" s="2">
        <f ca="1">IF(TYPE(VLOOKUP(C50,'KO8'!$D$4:$D$17,1,0))&lt;4,8,999)</f>
        <v>999</v>
      </c>
      <c r="K50" s="2">
        <f ca="1">IF(TYPE(VLOOKUP(C50,'KO4'!$D$4:$D$9,1,0))&lt;4,4,999)</f>
        <v>999</v>
      </c>
      <c r="L50" s="2">
        <f ca="1">Start.listina!$K$7</f>
        <v>143</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AL2</v>
      </c>
      <c r="C51" s="11" t="str">
        <f ca="1">Start.listina!$AL59</f>
        <v>49 1. KPK Vrchlabí - Hančová Alice</v>
      </c>
      <c r="D51" s="2">
        <f ca="1">IF(A51&gt;Start.listina!$K$7,"",INT((A51-1)/$M$2)+1)</f>
        <v>2</v>
      </c>
      <c r="E51" s="301">
        <f ca="1">IF(A51&gt;Start.listina!$K$7,"",MIN(F51:L51))</f>
        <v>143</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143</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AK2</v>
      </c>
      <c r="C52" s="11" t="str">
        <f ca="1">Start.listina!$AL60</f>
        <v>50 SKP Kulová osma - Krejčín Leoš</v>
      </c>
      <c r="D52" s="2">
        <f ca="1">IF(A52&gt;Start.listina!$K$7,"",INT((A52-1)/$M$2)+1)</f>
        <v>2</v>
      </c>
      <c r="E52" s="301">
        <f ca="1">IF(A52&gt;Start.listina!$K$7,"",MIN(F52:L52))</f>
        <v>64</v>
      </c>
      <c r="F52" s="2">
        <f ca="1">IF(TYPE(VLOOKUP(C52,Konečné_pořadí_1_16!$B$2:$D$17,3,0))&lt;4,VLOOKUP(C52,Konečné_pořadí_1_16!$B$2:$D$17,3,0),999)</f>
        <v>999</v>
      </c>
      <c r="G52" s="2">
        <f ca="1">IF(TYPE(VLOOKUP(C52,'KO64'!$D$4:$D$129,1,0))&lt;4,64,999)</f>
        <v>64</v>
      </c>
      <c r="H52" s="2">
        <f ca="1">IF(TYPE(VLOOKUP(C52,'KO32'!$D$4:$D$65,1,0))&lt;4,32,999)</f>
        <v>999</v>
      </c>
      <c r="I52" s="2">
        <f ca="1">IF(TYPE(VLOOKUP(C52,'KO16'!$D$4:$D$33,1,0))&lt;4,16,999)</f>
        <v>999</v>
      </c>
      <c r="J52" s="2">
        <f ca="1">IF(TYPE(VLOOKUP(C52,'KO8'!$D$4:$D$17,1,0))&lt;4,8,999)</f>
        <v>999</v>
      </c>
      <c r="K52" s="2">
        <f ca="1">IF(TYPE(VLOOKUP(C52,'KO4'!$D$4:$D$9,1,0))&lt;4,4,999)</f>
        <v>999</v>
      </c>
      <c r="L52" s="2">
        <f ca="1">Start.listina!$K$7</f>
        <v>143</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AJ2</v>
      </c>
      <c r="C53" s="11" t="str">
        <f ca="1">Start.listina!$AL61</f>
        <v>51 Orel Řečkovice - Hanák David</v>
      </c>
      <c r="D53" s="2">
        <f ca="1">IF(A53&gt;Start.listina!$K$7,"",INT((A53-1)/$M$2)+1)</f>
        <v>2</v>
      </c>
      <c r="E53" s="301">
        <f ca="1">IF(A53&gt;Start.listina!$K$7,"",MIN(F53:L53))</f>
        <v>64</v>
      </c>
      <c r="F53" s="2">
        <f ca="1">IF(TYPE(VLOOKUP(C53,Konečné_pořadí_1_16!$B$2:$D$17,3,0))&lt;4,VLOOKUP(C53,Konečné_pořadí_1_16!$B$2:$D$17,3,0),999)</f>
        <v>999</v>
      </c>
      <c r="G53" s="2">
        <f ca="1">IF(TYPE(VLOOKUP(C53,'KO64'!$D$4:$D$129,1,0))&lt;4,64,999)</f>
        <v>64</v>
      </c>
      <c r="H53" s="2">
        <f ca="1">IF(TYPE(VLOOKUP(C53,'KO32'!$D$4:$D$65,1,0))&lt;4,32,999)</f>
        <v>999</v>
      </c>
      <c r="I53" s="2">
        <f ca="1">IF(TYPE(VLOOKUP(C53,'KO16'!$D$4:$D$33,1,0))&lt;4,16,999)</f>
        <v>999</v>
      </c>
      <c r="J53" s="2">
        <f ca="1">IF(TYPE(VLOOKUP(C53,'KO8'!$D$4:$D$17,1,0))&lt;4,8,999)</f>
        <v>999</v>
      </c>
      <c r="K53" s="2">
        <f ca="1">IF(TYPE(VLOOKUP(C53,'KO4'!$D$4:$D$9,1,0))&lt;4,4,999)</f>
        <v>999</v>
      </c>
      <c r="L53" s="2">
        <f ca="1">Start.listina!$K$7</f>
        <v>143</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AI2</v>
      </c>
      <c r="C54" s="11" t="str">
        <f ca="1">Start.listina!$AL62</f>
        <v>52 SKP Kulová osma - Chmelařová Yvetta</v>
      </c>
      <c r="D54" s="2">
        <f ca="1">IF(A54&gt;Start.listina!$K$7,"",INT((A54-1)/$M$2)+1)</f>
        <v>2</v>
      </c>
      <c r="E54" s="301">
        <f ca="1">IF(A54&gt;Start.listina!$K$7,"",MIN(F54:L54))</f>
        <v>143</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143</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AH2</v>
      </c>
      <c r="C55" s="11" t="str">
        <f ca="1">Start.listina!$AL63</f>
        <v>53 SKP Kulová osma - Krejčínová Lenka</v>
      </c>
      <c r="D55" s="2">
        <f ca="1">IF(A55&gt;Start.listina!$K$7,"",INT((A55-1)/$M$2)+1)</f>
        <v>2</v>
      </c>
      <c r="E55" s="301">
        <f ca="1">IF(A55&gt;Start.listina!$K$7,"",MIN(F55:L55))</f>
        <v>143</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143</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AG2</v>
      </c>
      <c r="C56" s="11" t="str">
        <f ca="1">Start.listina!$AL64</f>
        <v>54 SK Sahara Vědomice - Horáčková Simona</v>
      </c>
      <c r="D56" s="2">
        <f ca="1">IF(A56&gt;Start.listina!$K$7,"",INT((A56-1)/$M$2)+1)</f>
        <v>2</v>
      </c>
      <c r="E56" s="301">
        <f ca="1">IF(A56&gt;Start.listina!$K$7,"",MIN(F56:L56))</f>
        <v>64</v>
      </c>
      <c r="F56" s="2">
        <f ca="1">IF(TYPE(VLOOKUP(C56,Konečné_pořadí_1_16!$B$2:$D$17,3,0))&lt;4,VLOOKUP(C56,Konečné_pořadí_1_16!$B$2:$D$17,3,0),999)</f>
        <v>999</v>
      </c>
      <c r="G56" s="2">
        <f ca="1">IF(TYPE(VLOOKUP(C56,'KO64'!$D$4:$D$129,1,0))&lt;4,64,999)</f>
        <v>64</v>
      </c>
      <c r="H56" s="2">
        <f ca="1">IF(TYPE(VLOOKUP(C56,'KO32'!$D$4:$D$65,1,0))&lt;4,32,999)</f>
        <v>999</v>
      </c>
      <c r="I56" s="2">
        <f ca="1">IF(TYPE(VLOOKUP(C56,'KO16'!$D$4:$D$33,1,0))&lt;4,16,999)</f>
        <v>999</v>
      </c>
      <c r="J56" s="2">
        <f ca="1">IF(TYPE(VLOOKUP(C56,'KO8'!$D$4:$D$17,1,0))&lt;4,8,999)</f>
        <v>999</v>
      </c>
      <c r="K56" s="2">
        <f ca="1">IF(TYPE(VLOOKUP(C56,'KO4'!$D$4:$D$9,1,0))&lt;4,4,999)</f>
        <v>999</v>
      </c>
      <c r="L56" s="2">
        <f ca="1">Start.listina!$K$7</f>
        <v>143</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AF2</v>
      </c>
      <c r="C57" s="11" t="str">
        <f ca="1">Start.listina!$AL65</f>
        <v>55 1. KPK Vrchlabí - Sládková Hana</v>
      </c>
      <c r="D57" s="2">
        <f ca="1">IF(A57&gt;Start.listina!$K$7,"",INT((A57-1)/$M$2)+1)</f>
        <v>2</v>
      </c>
      <c r="E57" s="301">
        <f ca="1">IF(A57&gt;Start.listina!$K$7,"",MIN(F57:L57))</f>
        <v>143</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143</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AE2</v>
      </c>
      <c r="C58" s="11" t="str">
        <f ca="1">Start.listina!$AL66</f>
        <v>56 SK Pétanque Řepy - Hladík Jaroslav</v>
      </c>
      <c r="D58" s="2">
        <f ca="1">IF(A58&gt;Start.listina!$K$7,"",INT((A58-1)/$M$2)+1)</f>
        <v>2</v>
      </c>
      <c r="E58" s="301">
        <f ca="1">IF(A58&gt;Start.listina!$K$7,"",MIN(F58:L58))</f>
        <v>64</v>
      </c>
      <c r="F58" s="2">
        <f ca="1">IF(TYPE(VLOOKUP(C58,Konečné_pořadí_1_16!$B$2:$D$17,3,0))&lt;4,VLOOKUP(C58,Konečné_pořadí_1_16!$B$2:$D$17,3,0),999)</f>
        <v>999</v>
      </c>
      <c r="G58" s="2">
        <f ca="1">IF(TYPE(VLOOKUP(C58,'KO64'!$D$4:$D$129,1,0))&lt;4,64,999)</f>
        <v>64</v>
      </c>
      <c r="H58" s="2">
        <f ca="1">IF(TYPE(VLOOKUP(C58,'KO32'!$D$4:$D$65,1,0))&lt;4,32,999)</f>
        <v>999</v>
      </c>
      <c r="I58" s="2">
        <f ca="1">IF(TYPE(VLOOKUP(C58,'KO16'!$D$4:$D$33,1,0))&lt;4,16,999)</f>
        <v>999</v>
      </c>
      <c r="J58" s="2">
        <f ca="1">IF(TYPE(VLOOKUP(C58,'KO8'!$D$4:$D$17,1,0))&lt;4,8,999)</f>
        <v>999</v>
      </c>
      <c r="K58" s="2">
        <f ca="1">IF(TYPE(VLOOKUP(C58,'KO4'!$D$4:$D$9,1,0))&lt;4,4,999)</f>
        <v>999</v>
      </c>
      <c r="L58" s="2">
        <f ca="1">Start.listina!$K$7</f>
        <v>143</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AD2</v>
      </c>
      <c r="C59" s="11" t="str">
        <f ca="1">Start.listina!$AL67</f>
        <v>57 SKP Hranice VI-Valšovice - Kutá Miloslava</v>
      </c>
      <c r="D59" s="2">
        <f ca="1">IF(A59&gt;Start.listina!$K$7,"",INT((A59-1)/$M$2)+1)</f>
        <v>2</v>
      </c>
      <c r="E59" s="301">
        <f ca="1">IF(A59&gt;Start.listina!$K$7,"",MIN(F59:L59))</f>
        <v>64</v>
      </c>
      <c r="F59" s="2">
        <f ca="1">IF(TYPE(VLOOKUP(C59,Konečné_pořadí_1_16!$B$2:$D$17,3,0))&lt;4,VLOOKUP(C59,Konečné_pořadí_1_16!$B$2:$D$17,3,0),999)</f>
        <v>999</v>
      </c>
      <c r="G59" s="2">
        <f ca="1">IF(TYPE(VLOOKUP(C59,'KO64'!$D$4:$D$129,1,0))&lt;4,64,999)</f>
        <v>64</v>
      </c>
      <c r="H59" s="2">
        <f ca="1">IF(TYPE(VLOOKUP(C59,'KO32'!$D$4:$D$65,1,0))&lt;4,32,999)</f>
        <v>999</v>
      </c>
      <c r="I59" s="2">
        <f ca="1">IF(TYPE(VLOOKUP(C59,'KO16'!$D$4:$D$33,1,0))&lt;4,16,999)</f>
        <v>999</v>
      </c>
      <c r="J59" s="2">
        <f ca="1">IF(TYPE(VLOOKUP(C59,'KO8'!$D$4:$D$17,1,0))&lt;4,8,999)</f>
        <v>999</v>
      </c>
      <c r="K59" s="2">
        <f ca="1">IF(TYPE(VLOOKUP(C59,'KO4'!$D$4:$D$9,1,0))&lt;4,4,999)</f>
        <v>999</v>
      </c>
      <c r="L59" s="2">
        <f ca="1">Start.listina!$K$7</f>
        <v>143</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AC2</v>
      </c>
      <c r="C60" s="11" t="str">
        <f ca="1">Start.listina!$AL68</f>
        <v>58 PC Sokol Lipník - Fafek Petr</v>
      </c>
      <c r="D60" s="2">
        <f ca="1">IF(A60&gt;Start.listina!$K$7,"",INT((A60-1)/$M$2)+1)</f>
        <v>2</v>
      </c>
      <c r="E60" s="301">
        <f ca="1">IF(A60&gt;Start.listina!$K$7,"",MIN(F60:L60))</f>
        <v>64</v>
      </c>
      <c r="F60" s="2">
        <f ca="1">IF(TYPE(VLOOKUP(C60,Konečné_pořadí_1_16!$B$2:$D$17,3,0))&lt;4,VLOOKUP(C60,Konečné_pořadí_1_16!$B$2:$D$17,3,0),999)</f>
        <v>999</v>
      </c>
      <c r="G60" s="2">
        <f ca="1">IF(TYPE(VLOOKUP(C60,'KO64'!$D$4:$D$129,1,0))&lt;4,64,999)</f>
        <v>64</v>
      </c>
      <c r="H60" s="2">
        <f ca="1">IF(TYPE(VLOOKUP(C60,'KO32'!$D$4:$D$65,1,0))&lt;4,32,999)</f>
        <v>999</v>
      </c>
      <c r="I60" s="2">
        <f ca="1">IF(TYPE(VLOOKUP(C60,'KO16'!$D$4:$D$33,1,0))&lt;4,16,999)</f>
        <v>999</v>
      </c>
      <c r="J60" s="2">
        <f ca="1">IF(TYPE(VLOOKUP(C60,'KO8'!$D$4:$D$17,1,0))&lt;4,8,999)</f>
        <v>999</v>
      </c>
      <c r="K60" s="2">
        <f ca="1">IF(TYPE(VLOOKUP(C60,'KO4'!$D$4:$D$9,1,0))&lt;4,4,999)</f>
        <v>999</v>
      </c>
      <c r="L60" s="2">
        <f ca="1">Start.listina!$K$7</f>
        <v>143</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AB2</v>
      </c>
      <c r="C61" s="11" t="str">
        <f ca="1">Start.listina!$AL69</f>
        <v>59 SKP Kulová osma - Chmelař Ivo</v>
      </c>
      <c r="D61" s="2">
        <f ca="1">IF(A61&gt;Start.listina!$K$7,"",INT((A61-1)/$M$2)+1)</f>
        <v>2</v>
      </c>
      <c r="E61" s="301">
        <f ca="1">IF(A61&gt;Start.listina!$K$7,"",MIN(F61:L61))</f>
        <v>143</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143</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AA2</v>
      </c>
      <c r="C62" s="11" t="str">
        <f ca="1">Start.listina!$AL70</f>
        <v>60 SKP Hranice VI-Valšovice - Svobodová Lenka</v>
      </c>
      <c r="D62" s="2">
        <f ca="1">IF(A62&gt;Start.listina!$K$7,"",INT((A62-1)/$M$2)+1)</f>
        <v>2</v>
      </c>
      <c r="E62" s="301">
        <f ca="1">IF(A62&gt;Start.listina!$K$7,"",MIN(F62:L62))</f>
        <v>64</v>
      </c>
      <c r="F62" s="2">
        <f ca="1">IF(TYPE(VLOOKUP(C62,Konečné_pořadí_1_16!$B$2:$D$17,3,0))&lt;4,VLOOKUP(C62,Konečné_pořadí_1_16!$B$2:$D$17,3,0),999)</f>
        <v>999</v>
      </c>
      <c r="G62" s="2">
        <f ca="1">IF(TYPE(VLOOKUP(C62,'KO64'!$D$4:$D$129,1,0))&lt;4,64,999)</f>
        <v>64</v>
      </c>
      <c r="H62" s="2">
        <f ca="1">IF(TYPE(VLOOKUP(C62,'KO32'!$D$4:$D$65,1,0))&lt;4,32,999)</f>
        <v>999</v>
      </c>
      <c r="I62" s="2">
        <f ca="1">IF(TYPE(VLOOKUP(C62,'KO16'!$D$4:$D$33,1,0))&lt;4,16,999)</f>
        <v>999</v>
      </c>
      <c r="J62" s="2">
        <f ca="1">IF(TYPE(VLOOKUP(C62,'KO8'!$D$4:$D$17,1,0))&lt;4,8,999)</f>
        <v>999</v>
      </c>
      <c r="K62" s="2">
        <f ca="1">IF(TYPE(VLOOKUP(C62,'KO4'!$D$4:$D$9,1,0))&lt;4,4,999)</f>
        <v>999</v>
      </c>
      <c r="L62" s="2">
        <f ca="1">Start.listina!$K$7</f>
        <v>143</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Z2</v>
      </c>
      <c r="C63" s="11" t="str">
        <f ca="1">Start.listina!$AL71</f>
        <v>61 PC Mimo Done - Kára Jan</v>
      </c>
      <c r="D63" s="2">
        <f ca="1">IF(A63&gt;Start.listina!$K$7,"",INT((A63-1)/$M$2)+1)</f>
        <v>2</v>
      </c>
      <c r="E63" s="301">
        <f ca="1">IF(A63&gt;Start.listina!$K$7,"",MIN(F63:L63))</f>
        <v>143</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143</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Y2</v>
      </c>
      <c r="C64" s="11" t="str">
        <f ca="1">Start.listina!$AL72</f>
        <v>62 Carreau Brno - Grepl Jiří</v>
      </c>
      <c r="D64" s="2">
        <f ca="1">IF(A64&gt;Start.listina!$K$7,"",INT((A64-1)/$M$2)+1)</f>
        <v>2</v>
      </c>
      <c r="E64" s="301">
        <f ca="1">IF(A64&gt;Start.listina!$K$7,"",MIN(F64:L64))</f>
        <v>64</v>
      </c>
      <c r="F64" s="2">
        <f ca="1">IF(TYPE(VLOOKUP(C64,Konečné_pořadí_1_16!$B$2:$D$17,3,0))&lt;4,VLOOKUP(C64,Konečné_pořadí_1_16!$B$2:$D$17,3,0),999)</f>
        <v>999</v>
      </c>
      <c r="G64" s="2">
        <f ca="1">IF(TYPE(VLOOKUP(C64,'KO64'!$D$4:$D$129,1,0))&lt;4,64,999)</f>
        <v>64</v>
      </c>
      <c r="H64" s="2">
        <f ca="1">IF(TYPE(VLOOKUP(C64,'KO32'!$D$4:$D$65,1,0))&lt;4,32,999)</f>
        <v>999</v>
      </c>
      <c r="I64" s="2">
        <f ca="1">IF(TYPE(VLOOKUP(C64,'KO16'!$D$4:$D$33,1,0))&lt;4,16,999)</f>
        <v>999</v>
      </c>
      <c r="J64" s="2">
        <f ca="1">IF(TYPE(VLOOKUP(C64,'KO8'!$D$4:$D$17,1,0))&lt;4,8,999)</f>
        <v>999</v>
      </c>
      <c r="K64" s="2">
        <f ca="1">IF(TYPE(VLOOKUP(C64,'KO4'!$D$4:$D$9,1,0))&lt;4,4,999)</f>
        <v>999</v>
      </c>
      <c r="L64" s="2">
        <f ca="1">Start.listina!$K$7</f>
        <v>143</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X2</v>
      </c>
      <c r="C65" s="11" t="str">
        <f ca="1">Start.listina!$AL73</f>
        <v>63 HRODE KRUMSÍN - Karásek Jiří</v>
      </c>
      <c r="D65" s="2">
        <f ca="1">IF(A65&gt;Start.listina!$K$7,"",INT((A65-1)/$M$2)+1)</f>
        <v>2</v>
      </c>
      <c r="E65" s="301">
        <f ca="1">IF(A65&gt;Start.listina!$K$7,"",MIN(F65:L65))</f>
        <v>143</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143</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W2</v>
      </c>
      <c r="C66" s="11" t="str">
        <f ca="1">Start.listina!$AL74</f>
        <v>64 SK Pétanque Řepy - Ptáček Miroslav</v>
      </c>
      <c r="D66" s="2">
        <f ca="1">IF(A66&gt;Start.listina!$K$7,"",INT((A66-1)/$M$2)+1)</f>
        <v>2</v>
      </c>
      <c r="E66" s="301">
        <f ca="1">IF(A66&gt;Start.listina!$K$7,"",MIN(F66:L66))</f>
        <v>143</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143</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V2</v>
      </c>
      <c r="C67" s="11" t="str">
        <f ca="1">Start.listina!$AL75</f>
        <v>65 Sokol Kostomlaty - Vaníčková Alena</v>
      </c>
      <c r="D67" s="2">
        <f ca="1">IF(A67&gt;Start.listina!$K$7,"",INT((A67-1)/$M$2)+1)</f>
        <v>2</v>
      </c>
      <c r="E67" s="301">
        <f ca="1">IF(A67&gt;Start.listina!$K$7,"",MIN(F67:L67))</f>
        <v>64</v>
      </c>
      <c r="F67" s="2">
        <f ca="1">IF(TYPE(VLOOKUP(C67,Konečné_pořadí_1_16!$B$2:$D$17,3,0))&lt;4,VLOOKUP(C67,Konečné_pořadí_1_16!$B$2:$D$17,3,0),999)</f>
        <v>999</v>
      </c>
      <c r="G67" s="2">
        <f ca="1">IF(TYPE(VLOOKUP(C67,'KO64'!$D$4:$D$129,1,0))&lt;4,64,999)</f>
        <v>64</v>
      </c>
      <c r="H67" s="2">
        <f ca="1">IF(TYPE(VLOOKUP(C67,'KO32'!$D$4:$D$65,1,0))&lt;4,32,999)</f>
        <v>999</v>
      </c>
      <c r="I67" s="2">
        <f ca="1">IF(TYPE(VLOOKUP(C67,'KO16'!$D$4:$D$33,1,0))&lt;4,16,999)</f>
        <v>999</v>
      </c>
      <c r="J67" s="2">
        <f ca="1">IF(TYPE(VLOOKUP(C67,'KO8'!$D$4:$D$17,1,0))&lt;4,8,999)</f>
        <v>999</v>
      </c>
      <c r="K67" s="2">
        <f ca="1">IF(TYPE(VLOOKUP(C67,'KO4'!$D$4:$D$9,1,0))&lt;4,4,999)</f>
        <v>999</v>
      </c>
      <c r="L67" s="2">
        <f ca="1">Start.listina!$K$7</f>
        <v>143</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U2</v>
      </c>
      <c r="C68" s="11" t="str">
        <f ca="1">Start.listina!$AL76</f>
        <v>66 PK 1293 Vojnův Městec - Fereš Pavel</v>
      </c>
      <c r="D68" s="2">
        <f ca="1">IF(A68&gt;Start.listina!$K$7,"",INT((A68-1)/$M$2)+1)</f>
        <v>2</v>
      </c>
      <c r="E68" s="301">
        <f ca="1">IF(A68&gt;Start.listina!$K$7,"",MIN(F68:L68))</f>
        <v>64</v>
      </c>
      <c r="F68" s="2">
        <f ca="1">IF(TYPE(VLOOKUP(C68,Konečné_pořadí_1_16!$B$2:$D$17,3,0))&lt;4,VLOOKUP(C68,Konečné_pořadí_1_16!$B$2:$D$17,3,0),999)</f>
        <v>999</v>
      </c>
      <c r="G68" s="2">
        <f ca="1">IF(TYPE(VLOOKUP(C68,'KO64'!$D$4:$D$129,1,0))&lt;4,64,999)</f>
        <v>64</v>
      </c>
      <c r="H68" s="2">
        <f ca="1">IF(TYPE(VLOOKUP(C68,'KO32'!$D$4:$D$65,1,0))&lt;4,32,999)</f>
        <v>999</v>
      </c>
      <c r="I68" s="2">
        <f ca="1">IF(TYPE(VLOOKUP(C68,'KO16'!$D$4:$D$33,1,0))&lt;4,16,999)</f>
        <v>999</v>
      </c>
      <c r="J68" s="2">
        <f ca="1">IF(TYPE(VLOOKUP(C68,'KO8'!$D$4:$D$17,1,0))&lt;4,8,999)</f>
        <v>999</v>
      </c>
      <c r="K68" s="2">
        <f ca="1">IF(TYPE(VLOOKUP(C68,'KO4'!$D$4:$D$9,1,0))&lt;4,4,999)</f>
        <v>999</v>
      </c>
      <c r="L68" s="2">
        <f ca="1">Start.listina!$K$7</f>
        <v>143</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T2</v>
      </c>
      <c r="C69" s="11" t="str">
        <f ca="1">Start.listina!$AL77</f>
        <v>67 POP Praha - Žárský Kamil</v>
      </c>
      <c r="D69" s="2">
        <f ca="1">IF(A69&gt;Start.listina!$K$7,"",INT((A69-1)/$M$2)+1)</f>
        <v>2</v>
      </c>
      <c r="E69" s="301">
        <f ca="1">IF(A69&gt;Start.listina!$K$7,"",MIN(F69:L69))</f>
        <v>143</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143</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S2</v>
      </c>
      <c r="C70" s="11" t="str">
        <f ca="1">Start.listina!$AL78</f>
        <v>68 HAPEK - Burešová Jana</v>
      </c>
      <c r="D70" s="2">
        <f ca="1">IF(A70&gt;Start.listina!$K$7,"",INT((A70-1)/$M$2)+1)</f>
        <v>2</v>
      </c>
      <c r="E70" s="301">
        <f ca="1">IF(A70&gt;Start.listina!$K$7,"",MIN(F70:L70))</f>
        <v>143</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143</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R2</v>
      </c>
      <c r="C71" s="11" t="str">
        <f ca="1">Start.listina!$AL79</f>
        <v>69 PC Mimo Done - Radechovský Milan</v>
      </c>
      <c r="D71" s="2">
        <f ca="1">IF(A71&gt;Start.listina!$K$7,"",INT((A71-1)/$M$2)+1)</f>
        <v>2</v>
      </c>
      <c r="E71" s="301">
        <f ca="1">IF(A71&gt;Start.listina!$K$7,"",MIN(F71:L71))</f>
        <v>143</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143</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Q2</v>
      </c>
      <c r="C72" s="11" t="str">
        <f ca="1">Start.listina!$AL80</f>
        <v>70 Orel Řečkovice - Hanák Pavel</v>
      </c>
      <c r="D72" s="2">
        <f ca="1">IF(A72&gt;Start.listina!$K$7,"",INT((A72-1)/$M$2)+1)</f>
        <v>2</v>
      </c>
      <c r="E72" s="301">
        <f ca="1">IF(A72&gt;Start.listina!$K$7,"",MIN(F72:L72))</f>
        <v>64</v>
      </c>
      <c r="F72" s="2">
        <f ca="1">IF(TYPE(VLOOKUP(C72,Konečné_pořadí_1_16!$B$2:$D$17,3,0))&lt;4,VLOOKUP(C72,Konečné_pořadí_1_16!$B$2:$D$17,3,0),999)</f>
        <v>999</v>
      </c>
      <c r="G72" s="2">
        <f ca="1">IF(TYPE(VLOOKUP(C72,'KO64'!$D$4:$D$129,1,0))&lt;4,64,999)</f>
        <v>64</v>
      </c>
      <c r="H72" s="2">
        <f ca="1">IF(TYPE(VLOOKUP(C72,'KO32'!$D$4:$D$65,1,0))&lt;4,32,999)</f>
        <v>999</v>
      </c>
      <c r="I72" s="2">
        <f ca="1">IF(TYPE(VLOOKUP(C72,'KO16'!$D$4:$D$33,1,0))&lt;4,16,999)</f>
        <v>999</v>
      </c>
      <c r="J72" s="2">
        <f ca="1">IF(TYPE(VLOOKUP(C72,'KO8'!$D$4:$D$17,1,0))&lt;4,8,999)</f>
        <v>999</v>
      </c>
      <c r="K72" s="2">
        <f ca="1">IF(TYPE(VLOOKUP(C72,'KO4'!$D$4:$D$9,1,0))&lt;4,4,999)</f>
        <v>999</v>
      </c>
      <c r="L72" s="2">
        <f ca="1">Start.listina!$K$7</f>
        <v>143</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P2</v>
      </c>
      <c r="C73" s="11" t="str">
        <f ca="1">Start.listina!$AL81</f>
        <v>71 Bowle 09 Klatovy - Hulec Zdeněk</v>
      </c>
      <c r="D73" s="2">
        <f ca="1">IF(A73&gt;Start.listina!$K$7,"",INT((A73-1)/$M$2)+1)</f>
        <v>2</v>
      </c>
      <c r="E73" s="301">
        <f ca="1">IF(A73&gt;Start.listina!$K$7,"",MIN(F73:L73))</f>
        <v>64</v>
      </c>
      <c r="F73" s="2">
        <f ca="1">IF(TYPE(VLOOKUP(C73,Konečné_pořadí_1_16!$B$2:$D$17,3,0))&lt;4,VLOOKUP(C73,Konečné_pořadí_1_16!$B$2:$D$17,3,0),999)</f>
        <v>999</v>
      </c>
      <c r="G73" s="2">
        <f ca="1">IF(TYPE(VLOOKUP(C73,'KO64'!$D$4:$D$129,1,0))&lt;4,64,999)</f>
        <v>64</v>
      </c>
      <c r="H73" s="2">
        <f ca="1">IF(TYPE(VLOOKUP(C73,'KO32'!$D$4:$D$65,1,0))&lt;4,32,999)</f>
        <v>999</v>
      </c>
      <c r="I73" s="2">
        <f ca="1">IF(TYPE(VLOOKUP(C73,'KO16'!$D$4:$D$33,1,0))&lt;4,16,999)</f>
        <v>999</v>
      </c>
      <c r="J73" s="2">
        <f ca="1">IF(TYPE(VLOOKUP(C73,'KO8'!$D$4:$D$17,1,0))&lt;4,8,999)</f>
        <v>999</v>
      </c>
      <c r="K73" s="2">
        <f ca="1">IF(TYPE(VLOOKUP(C73,'KO4'!$D$4:$D$9,1,0))&lt;4,4,999)</f>
        <v>999</v>
      </c>
      <c r="L73" s="2">
        <f ca="1">Start.listina!$K$7</f>
        <v>143</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O2</v>
      </c>
      <c r="C74" s="11" t="str">
        <f ca="1">Start.listina!$AL82</f>
        <v>72 PAK Albrechtice - Valík Václav</v>
      </c>
      <c r="D74" s="2">
        <f ca="1">IF(A74&gt;Start.listina!$K$7,"",INT((A74-1)/$M$2)+1)</f>
        <v>2</v>
      </c>
      <c r="E74" s="301">
        <f ca="1">IF(A74&gt;Start.listina!$K$7,"",MIN(F74:L74))</f>
        <v>143</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143</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N2</v>
      </c>
      <c r="C75" s="11" t="str">
        <f ca="1">Start.listina!$AL83</f>
        <v>73 SKP Kulová osma - Sjögren Magda</v>
      </c>
      <c r="D75" s="2">
        <f ca="1">IF(A75&gt;Start.listina!$K$7,"",INT((A75-1)/$M$2)+1)</f>
        <v>2</v>
      </c>
      <c r="E75" s="301">
        <f ca="1">IF(A75&gt;Start.listina!$K$7,"",MIN(F75:L75))</f>
        <v>143</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143</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M2</v>
      </c>
      <c r="C76" s="11" t="str">
        <f ca="1">Start.listina!$AL84</f>
        <v>74 PK Osika Plzeň - Jirkovský Tomáš</v>
      </c>
      <c r="D76" s="2">
        <f ca="1">IF(A76&gt;Start.listina!$K$7,"",INT((A76-1)/$M$2)+1)</f>
        <v>2</v>
      </c>
      <c r="E76" s="301">
        <f ca="1">IF(A76&gt;Start.listina!$K$7,"",MIN(F76:L76))</f>
        <v>143</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143</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L2</v>
      </c>
      <c r="C77" s="11" t="str">
        <f ca="1">Start.listina!$AL85</f>
        <v>75 Petank Club Praha - Maňák Jan</v>
      </c>
      <c r="D77" s="2">
        <f ca="1">IF(A77&gt;Start.listina!$K$7,"",INT((A77-1)/$M$2)+1)</f>
        <v>2</v>
      </c>
      <c r="E77" s="301">
        <f ca="1">IF(A77&gt;Start.listina!$K$7,"",MIN(F77:L77))</f>
        <v>143</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143</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K2</v>
      </c>
      <c r="C78" s="11" t="str">
        <f ca="1">Start.listina!$AL86</f>
        <v>76 PC Kolová - Horáček Jindřich</v>
      </c>
      <c r="D78" s="2">
        <f ca="1">IF(A78&gt;Start.listina!$K$7,"",INT((A78-1)/$M$2)+1)</f>
        <v>2</v>
      </c>
      <c r="E78" s="301">
        <f ca="1">IF(A78&gt;Start.listina!$K$7,"",MIN(F78:L78))</f>
        <v>64</v>
      </c>
      <c r="F78" s="2">
        <f ca="1">IF(TYPE(VLOOKUP(C78,Konečné_pořadí_1_16!$B$2:$D$17,3,0))&lt;4,VLOOKUP(C78,Konečné_pořadí_1_16!$B$2:$D$17,3,0),999)</f>
        <v>999</v>
      </c>
      <c r="G78" s="2">
        <f ca="1">IF(TYPE(VLOOKUP(C78,'KO64'!$D$4:$D$129,1,0))&lt;4,64,999)</f>
        <v>64</v>
      </c>
      <c r="H78" s="2">
        <f ca="1">IF(TYPE(VLOOKUP(C78,'KO32'!$D$4:$D$65,1,0))&lt;4,32,999)</f>
        <v>999</v>
      </c>
      <c r="I78" s="2">
        <f ca="1">IF(TYPE(VLOOKUP(C78,'KO16'!$D$4:$D$33,1,0))&lt;4,16,999)</f>
        <v>999</v>
      </c>
      <c r="J78" s="2">
        <f ca="1">IF(TYPE(VLOOKUP(C78,'KO8'!$D$4:$D$17,1,0))&lt;4,8,999)</f>
        <v>999</v>
      </c>
      <c r="K78" s="2">
        <f ca="1">IF(TYPE(VLOOKUP(C78,'KO4'!$D$4:$D$9,1,0))&lt;4,4,999)</f>
        <v>999</v>
      </c>
      <c r="L78" s="2">
        <f ca="1">Start.listina!$K$7</f>
        <v>143</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J2</v>
      </c>
      <c r="C79" s="11" t="str">
        <f ca="1">Start.listina!$AL87</f>
        <v>77 CdP Loděnice - Gorroňo López Rubi</v>
      </c>
      <c r="D79" s="2">
        <f ca="1">IF(A79&gt;Start.listina!$K$7,"",INT((A79-1)/$M$2)+1)</f>
        <v>2</v>
      </c>
      <c r="E79" s="301">
        <f ca="1">IF(A79&gt;Start.listina!$K$7,"",MIN(F79:L79))</f>
        <v>143</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143</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I2</v>
      </c>
      <c r="C80" s="11" t="str">
        <f ca="1">Start.listina!$AL88</f>
        <v>78 HRODE KRUMSÍN - Karásková Františka</v>
      </c>
      <c r="D80" s="2">
        <f ca="1">IF(A80&gt;Start.listina!$K$7,"",INT((A80-1)/$M$2)+1)</f>
        <v>2</v>
      </c>
      <c r="E80" s="301">
        <f ca="1">IF(A80&gt;Start.listina!$K$7,"",MIN(F80:L80))</f>
        <v>143</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143</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H2</v>
      </c>
      <c r="C81" s="11" t="str">
        <f ca="1">Start.listina!$AL89</f>
        <v>79 PO Chotěboř - Pachla Pavel</v>
      </c>
      <c r="D81" s="2">
        <f ca="1">IF(A81&gt;Start.listina!$K$7,"",INT((A81-1)/$M$2)+1)</f>
        <v>2</v>
      </c>
      <c r="E81" s="301">
        <f ca="1">IF(A81&gt;Start.listina!$K$7,"",MIN(F81:L81))</f>
        <v>143</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143</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G2</v>
      </c>
      <c r="C82" s="11" t="str">
        <f ca="1">Start.listina!$AL90</f>
        <v>80 PKT Velký Šanc - Sedláčková Marie</v>
      </c>
      <c r="D82" s="2">
        <f ca="1">IF(A82&gt;Start.listina!$K$7,"",INT((A82-1)/$M$2)+1)</f>
        <v>2</v>
      </c>
      <c r="E82" s="301">
        <f ca="1">IF(A82&gt;Start.listina!$K$7,"",MIN(F82:L82))</f>
        <v>143</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143</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F2</v>
      </c>
      <c r="C83" s="11" t="str">
        <f ca="1">Start.listina!$AL91</f>
        <v>81 PKT Velký Šanc - Semrád Oldřich</v>
      </c>
      <c r="D83" s="2">
        <f ca="1">IF(A83&gt;Start.listina!$K$7,"",INT((A83-1)/$M$2)+1)</f>
        <v>2</v>
      </c>
      <c r="E83" s="301">
        <f ca="1">IF(A83&gt;Start.listina!$K$7,"",MIN(F83:L83))</f>
        <v>143</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143</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E2</v>
      </c>
      <c r="C84" s="11" t="str">
        <f ca="1">Start.listina!$AL92</f>
        <v>82 Petank Club Praha - Kašparová Barbora</v>
      </c>
      <c r="D84" s="2">
        <f ca="1">IF(A84&gt;Start.listina!$K$7,"",INT((A84-1)/$M$2)+1)</f>
        <v>2</v>
      </c>
      <c r="E84" s="301">
        <f ca="1">IF(A84&gt;Start.listina!$K$7,"",MIN(F84:L84))</f>
        <v>143</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143</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D2</v>
      </c>
      <c r="C85" s="11" t="str">
        <f ca="1">Start.listina!$AL93</f>
        <v>83 PKT Velký Šanc - Horálek Jiří</v>
      </c>
      <c r="D85" s="2">
        <f ca="1">IF(A85&gt;Start.listina!$K$7,"",INT((A85-1)/$M$2)+1)</f>
        <v>2</v>
      </c>
      <c r="E85" s="301">
        <f ca="1">IF(A85&gt;Start.listina!$K$7,"",MIN(F85:L85))</f>
        <v>143</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143</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C2</v>
      </c>
      <c r="C86" s="11" t="str">
        <f ca="1">Start.listina!$AL94</f>
        <v>84 PC Sokol PP Hr. Králové - Melgr Pavel</v>
      </c>
      <c r="D86" s="2">
        <f ca="1">IF(A86&gt;Start.listina!$K$7,"",INT((A86-1)/$M$2)+1)</f>
        <v>2</v>
      </c>
      <c r="E86" s="301">
        <f ca="1">IF(A86&gt;Start.listina!$K$7,"",MIN(F86:L86))</f>
        <v>143</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143</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B2</v>
      </c>
      <c r="C87" s="11" t="str">
        <f ca="1">Start.listina!$AL95</f>
        <v>85 Petank Club Praha - Froněk Jiří ml.</v>
      </c>
      <c r="D87" s="2">
        <f ca="1">IF(A87&gt;Start.listina!$K$7,"",INT((A87-1)/$M$2)+1)</f>
        <v>2</v>
      </c>
      <c r="E87" s="301">
        <f ca="1">IF(A87&gt;Start.listina!$K$7,"",MIN(F87:L87))</f>
        <v>143</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143</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A2</v>
      </c>
      <c r="C88" s="11" t="str">
        <f ca="1">Start.listina!$AL96</f>
        <v>86 PC Sokol PP Hr. Králové - Melgr Jan</v>
      </c>
      <c r="D88" s="2">
        <f ca="1">IF(A88&gt;Start.listina!$K$7,"",INT((A88-1)/$M$2)+1)</f>
        <v>2</v>
      </c>
      <c r="E88" s="301">
        <f ca="1">IF(A88&gt;Start.listina!$K$7,"",MIN(F88:L88))</f>
        <v>143</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143</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A3</v>
      </c>
      <c r="C89" s="11" t="str">
        <f ca="1">Start.listina!$AL97</f>
        <v>87 JAPKO - Stejskal Václav</v>
      </c>
      <c r="D89" s="2">
        <f ca="1">IF(A89&gt;Start.listina!$K$7,"",INT((A89-1)/$M$2)+1)</f>
        <v>3</v>
      </c>
      <c r="E89" s="301">
        <f ca="1">IF(A89&gt;Start.listina!$K$7,"",MIN(F89:L89))</f>
        <v>143</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143</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B3</v>
      </c>
      <c r="C90" s="11" t="str">
        <f ca="1">Start.listina!$AL98</f>
        <v>88 C.T.P. Club Ořech - Glaser Vladimír</v>
      </c>
      <c r="D90" s="2">
        <f ca="1">IF(A90&gt;Start.listina!$K$7,"",INT((A90-1)/$M$2)+1)</f>
        <v>3</v>
      </c>
      <c r="E90" s="301">
        <f ca="1">IF(A90&gt;Start.listina!$K$7,"",MIN(F90:L90))</f>
        <v>143</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143</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C3</v>
      </c>
      <c r="C91" s="11" t="str">
        <f ca="1">Start.listina!$AL99</f>
        <v>89 SK Sahara Vědomice - Piller Tomáš</v>
      </c>
      <c r="D91" s="2">
        <f ca="1">IF(A91&gt;Start.listina!$K$7,"",INT((A91-1)/$M$2)+1)</f>
        <v>3</v>
      </c>
      <c r="E91" s="301">
        <f ca="1">IF(A91&gt;Start.listina!$K$7,"",MIN(F91:L91))</f>
        <v>143</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143</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D3</v>
      </c>
      <c r="C92" s="11" t="str">
        <f ca="1">Start.listina!$AL100</f>
        <v>90 PK Osika Plzeň - Mráz Václav</v>
      </c>
      <c r="D92" s="2">
        <f ca="1">IF(A92&gt;Start.listina!$K$7,"",INT((A92-1)/$M$2)+1)</f>
        <v>3</v>
      </c>
      <c r="E92" s="301">
        <f ca="1">IF(A92&gt;Start.listina!$K$7,"",MIN(F92:L92))</f>
        <v>143</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143</v>
      </c>
      <c r="N92" s="2"/>
      <c r="O92" s="2"/>
      <c r="P92" s="2"/>
      <c r="Q92" s="2"/>
      <c r="R92" s="2"/>
      <c r="S92" s="2"/>
      <c r="T92" s="2"/>
      <c r="U92" s="2"/>
      <c r="V92" s="2"/>
      <c r="W92" s="2"/>
      <c r="X92" s="2"/>
      <c r="Y92" s="2"/>
      <c r="Z92" s="2"/>
      <c r="AA92" s="2"/>
      <c r="AB92" s="2"/>
      <c r="AC92" s="2"/>
      <c r="AD92" s="2"/>
      <c r="AE92" s="2"/>
      <c r="AF92" s="2"/>
      <c r="AG92" s="2"/>
      <c r="AH92" s="2"/>
    </row>
    <row r="93" spans="1:34">
      <c r="A93">
        <f ca="1">IF(OR(Start.listina!H101&gt;Start.listina!$K$7,Start.listina!G101=TRUE),"",Start.listina!H101)</f>
        <v>91</v>
      </c>
      <c r="B93" s="2" t="str">
        <f ca="1">IF(A93&gt;Start.listina!$K$7,"",ADDRESS(INT((A93-1)/$M$2)+1,IF(MOD(A93,$M$2)=0,IF(MOD(INT((A93-1)/$M$2)+1,2)=1,$M$2,1),IF(MOD(INT((A93-1)/$M$2)+1,2)=1,MOD(A93,$M$2),$M$2-MOD(A93,$M$2)+1)),4,1))</f>
        <v>E3</v>
      </c>
      <c r="C93" s="11" t="str">
        <f ca="1">Start.listina!$AL101</f>
        <v>91 Carreau Brno - Bytešník Roman</v>
      </c>
      <c r="D93" s="2">
        <f ca="1">IF(A93&gt;Start.listina!$K$7,"",INT((A93-1)/$M$2)+1)</f>
        <v>3</v>
      </c>
      <c r="E93" s="301">
        <f ca="1">IF(A93&gt;Start.listina!$K$7,"",MIN(F93:L93))</f>
        <v>143</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143</v>
      </c>
      <c r="N93" s="2"/>
      <c r="O93" s="2"/>
      <c r="P93" s="2"/>
      <c r="Q93" s="2"/>
      <c r="R93" s="2"/>
      <c r="S93" s="2"/>
      <c r="T93" s="2"/>
      <c r="U93" s="2"/>
      <c r="V93" s="2"/>
      <c r="W93" s="2"/>
      <c r="X93" s="2"/>
      <c r="Y93" s="2"/>
      <c r="Z93" s="2"/>
      <c r="AA93" s="2"/>
      <c r="AB93" s="2"/>
      <c r="AC93" s="2"/>
      <c r="AD93" s="2"/>
      <c r="AE93" s="2"/>
      <c r="AF93" s="2"/>
      <c r="AG93" s="2"/>
      <c r="AH93" s="2"/>
    </row>
    <row r="94" spans="1:34">
      <c r="A94">
        <f ca="1">IF(OR(Start.listina!H102&gt;Start.listina!$K$7,Start.listina!G102=TRUE),"",Start.listina!H102)</f>
        <v>92</v>
      </c>
      <c r="B94" s="2" t="str">
        <f ca="1">IF(A94&gt;Start.listina!$K$7,"",ADDRESS(INT((A94-1)/$M$2)+1,IF(MOD(A94,$M$2)=0,IF(MOD(INT((A94-1)/$M$2)+1,2)=1,$M$2,1),IF(MOD(INT((A94-1)/$M$2)+1,2)=1,MOD(A94,$M$2),$M$2-MOD(A94,$M$2)+1)),4,1))</f>
        <v>F3</v>
      </c>
      <c r="C94" s="11" t="str">
        <f ca="1">Start.listina!$AL102</f>
        <v>92 PAK Albrechtice - Žiak Radomír</v>
      </c>
      <c r="D94" s="2">
        <f ca="1">IF(A94&gt;Start.listina!$K$7,"",INT((A94-1)/$M$2)+1)</f>
        <v>3</v>
      </c>
      <c r="E94" s="301">
        <f ca="1">IF(A94&gt;Start.listina!$K$7,"",MIN(F94:L94))</f>
        <v>143</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143</v>
      </c>
      <c r="N94" s="2"/>
      <c r="O94" s="2"/>
      <c r="P94" s="2"/>
      <c r="Q94" s="2"/>
      <c r="R94" s="2"/>
      <c r="S94" s="2"/>
      <c r="T94" s="2"/>
      <c r="U94" s="2"/>
      <c r="V94" s="2"/>
      <c r="W94" s="2"/>
      <c r="X94" s="2"/>
      <c r="Y94" s="2"/>
      <c r="Z94" s="2"/>
      <c r="AA94" s="2"/>
      <c r="AB94" s="2"/>
      <c r="AC94" s="2"/>
      <c r="AD94" s="2"/>
      <c r="AE94" s="2"/>
      <c r="AF94" s="2"/>
      <c r="AG94" s="2"/>
      <c r="AH94" s="2"/>
    </row>
    <row r="95" spans="1:34">
      <c r="A95">
        <f ca="1">IF(OR(Start.listina!H103&gt;Start.listina!$K$7,Start.listina!G103=TRUE),"",Start.listina!H103)</f>
        <v>93</v>
      </c>
      <c r="B95" s="2" t="str">
        <f ca="1">IF(A95&gt;Start.listina!$K$7,"",ADDRESS(INT((A95-1)/$M$2)+1,IF(MOD(A95,$M$2)=0,IF(MOD(INT((A95-1)/$M$2)+1,2)=1,$M$2,1),IF(MOD(INT((A95-1)/$M$2)+1,2)=1,MOD(A95,$M$2),$M$2-MOD(A95,$M$2)+1)),4,1))</f>
        <v>G3</v>
      </c>
      <c r="C95" s="11" t="str">
        <f ca="1">Start.listina!$AL103</f>
        <v>93 1. KPK Vrchlabí - Bucek Zdeněk</v>
      </c>
      <c r="D95" s="2">
        <f ca="1">IF(A95&gt;Start.listina!$K$7,"",INT((A95-1)/$M$2)+1)</f>
        <v>3</v>
      </c>
      <c r="E95" s="301">
        <f ca="1">IF(A95&gt;Start.listina!$K$7,"",MIN(F95:L95))</f>
        <v>143</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143</v>
      </c>
      <c r="N95" s="2"/>
      <c r="O95" s="2"/>
      <c r="P95" s="2"/>
      <c r="Q95" s="2"/>
      <c r="R95" s="2"/>
      <c r="S95" s="2"/>
      <c r="T95" s="2"/>
      <c r="U95" s="2"/>
      <c r="V95" s="2"/>
      <c r="W95" s="2"/>
      <c r="X95" s="2"/>
      <c r="Y95" s="2"/>
      <c r="Z95" s="2"/>
      <c r="AA95" s="2"/>
      <c r="AB95" s="2"/>
      <c r="AC95" s="2"/>
      <c r="AD95" s="2"/>
      <c r="AE95" s="2"/>
      <c r="AF95" s="2"/>
      <c r="AG95" s="2"/>
      <c r="AH95" s="2"/>
    </row>
    <row r="96" spans="1:34">
      <c r="A96">
        <f ca="1">IF(OR(Start.listina!H104&gt;Start.listina!$K$7,Start.listina!G104=TRUE),"",Start.listina!H104)</f>
        <v>94</v>
      </c>
      <c r="B96" s="2" t="str">
        <f ca="1">IF(A96&gt;Start.listina!$K$7,"",ADDRESS(INT((A96-1)/$M$2)+1,IF(MOD(A96,$M$2)=0,IF(MOD(INT((A96-1)/$M$2)+1,2)=1,$M$2,1),IF(MOD(INT((A96-1)/$M$2)+1,2)=1,MOD(A96,$M$2),$M$2-MOD(A96,$M$2)+1)),4,1))</f>
        <v>H3</v>
      </c>
      <c r="C96" s="11" t="str">
        <f ca="1">Start.listina!$AL104</f>
        <v>94 HRODE KRUMSÍN - Drmola Michal</v>
      </c>
      <c r="D96" s="2">
        <f ca="1">IF(A96&gt;Start.listina!$K$7,"",INT((A96-1)/$M$2)+1)</f>
        <v>3</v>
      </c>
      <c r="E96" s="301">
        <f ca="1">IF(A96&gt;Start.listina!$K$7,"",MIN(F96:L96))</f>
        <v>143</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143</v>
      </c>
      <c r="N96" s="2"/>
      <c r="O96" s="2"/>
      <c r="P96" s="2"/>
      <c r="Q96" s="2"/>
      <c r="R96" s="2"/>
      <c r="S96" s="2"/>
      <c r="T96" s="2"/>
      <c r="U96" s="2"/>
      <c r="V96" s="2"/>
      <c r="W96" s="2"/>
      <c r="X96" s="2"/>
      <c r="Y96" s="2"/>
      <c r="Z96" s="2"/>
      <c r="AA96" s="2"/>
      <c r="AB96" s="2"/>
      <c r="AC96" s="2"/>
      <c r="AD96" s="2"/>
      <c r="AE96" s="2"/>
      <c r="AF96" s="2"/>
      <c r="AG96" s="2"/>
      <c r="AH96" s="2"/>
    </row>
    <row r="97" spans="1:34">
      <c r="A97">
        <f ca="1">IF(OR(Start.listina!H105&gt;Start.listina!$K$7,Start.listina!G105=TRUE),"",Start.listina!H105)</f>
        <v>95</v>
      </c>
      <c r="B97" s="2" t="str">
        <f ca="1">IF(A97&gt;Start.listina!$K$7,"",ADDRESS(INT((A97-1)/$M$2)+1,IF(MOD(A97,$M$2)=0,IF(MOD(INT((A97-1)/$M$2)+1,2)=1,$M$2,1),IF(MOD(INT((A97-1)/$M$2)+1,2)=1,MOD(A97,$M$2),$M$2-MOD(A97,$M$2)+1)),4,1))</f>
        <v>I3</v>
      </c>
      <c r="C97" s="11" t="str">
        <f ca="1">Start.listina!$AL105</f>
        <v>95 PPA POZORKA - Michovský Jiří</v>
      </c>
      <c r="D97" s="2">
        <f ca="1">IF(A97&gt;Start.listina!$K$7,"",INT((A97-1)/$M$2)+1)</f>
        <v>3</v>
      </c>
      <c r="E97" s="301">
        <f ca="1">IF(A97&gt;Start.listina!$K$7,"",MIN(F97:L97))</f>
        <v>143</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143</v>
      </c>
      <c r="N97" s="2"/>
      <c r="O97" s="2"/>
      <c r="P97" s="2"/>
      <c r="Q97" s="2"/>
      <c r="R97" s="2"/>
      <c r="S97" s="2"/>
      <c r="T97" s="2"/>
      <c r="U97" s="2"/>
      <c r="V97" s="2"/>
      <c r="W97" s="2"/>
      <c r="X97" s="2"/>
      <c r="Y97" s="2"/>
      <c r="Z97" s="2"/>
      <c r="AA97" s="2"/>
      <c r="AB97" s="2"/>
      <c r="AC97" s="2"/>
      <c r="AD97" s="2"/>
      <c r="AE97" s="2"/>
      <c r="AF97" s="2"/>
      <c r="AG97" s="2"/>
      <c r="AH97" s="2"/>
    </row>
    <row r="98" spans="1:34">
      <c r="A98">
        <f ca="1">IF(OR(Start.listina!H106&gt;Start.listina!$K$7,Start.listina!G106=TRUE),"",Start.listina!H106)</f>
        <v>96</v>
      </c>
      <c r="B98" s="2" t="str">
        <f ca="1">IF(A98&gt;Start.listina!$K$7,"",ADDRESS(INT((A98-1)/$M$2)+1,IF(MOD(A98,$M$2)=0,IF(MOD(INT((A98-1)/$M$2)+1,2)=1,$M$2,1),IF(MOD(INT((A98-1)/$M$2)+1,2)=1,MOD(A98,$M$2),$M$2-MOD(A98,$M$2)+1)),4,1))</f>
        <v>J3</v>
      </c>
      <c r="C98" s="11" t="str">
        <f ca="1">Start.listina!$AL106</f>
        <v>96 1. KPK Vrchlabí - Kadavá Petra</v>
      </c>
      <c r="D98" s="2">
        <f ca="1">IF(A98&gt;Start.listina!$K$7,"",INT((A98-1)/$M$2)+1)</f>
        <v>3</v>
      </c>
      <c r="E98" s="301">
        <f ca="1">IF(A98&gt;Start.listina!$K$7,"",MIN(F98:L98))</f>
        <v>143</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143</v>
      </c>
      <c r="N98" s="2"/>
      <c r="O98" s="2"/>
      <c r="P98" s="2"/>
      <c r="Q98" s="2"/>
      <c r="R98" s="2"/>
      <c r="S98" s="2"/>
      <c r="T98" s="2"/>
      <c r="U98" s="2"/>
      <c r="V98" s="2"/>
      <c r="W98" s="2"/>
      <c r="X98" s="2"/>
      <c r="Y98" s="2"/>
      <c r="Z98" s="2"/>
      <c r="AA98" s="2"/>
      <c r="AB98" s="2"/>
      <c r="AC98" s="2"/>
      <c r="AD98" s="2"/>
      <c r="AE98" s="2"/>
      <c r="AF98" s="2"/>
      <c r="AG98" s="2"/>
      <c r="AH98" s="2"/>
    </row>
    <row r="99" spans="1:34">
      <c r="A99">
        <f ca="1">IF(OR(Start.listina!H107&gt;Start.listina!$K$7,Start.listina!G107=TRUE),"",Start.listina!H107)</f>
        <v>97</v>
      </c>
      <c r="B99" s="2" t="str">
        <f ca="1">IF(A99&gt;Start.listina!$K$7,"",ADDRESS(INT((A99-1)/$M$2)+1,IF(MOD(A99,$M$2)=0,IF(MOD(INT((A99-1)/$M$2)+1,2)=1,$M$2,1),IF(MOD(INT((A99-1)/$M$2)+1,2)=1,MOD(A99,$M$2),$M$2-MOD(A99,$M$2)+1)),4,1))</f>
        <v>K3</v>
      </c>
      <c r="C99" s="11" t="str">
        <f ca="1">Start.listina!$AL107</f>
        <v>97 PK Osika Plzeň - Špitálský Milan</v>
      </c>
      <c r="D99" s="2">
        <f ca="1">IF(A99&gt;Start.listina!$K$7,"",INT((A99-1)/$M$2)+1)</f>
        <v>3</v>
      </c>
      <c r="E99" s="301">
        <f ca="1">IF(A99&gt;Start.listina!$K$7,"",MIN(F99:L99))</f>
        <v>143</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143</v>
      </c>
      <c r="N99" s="2"/>
      <c r="O99" s="2"/>
      <c r="P99" s="2"/>
      <c r="Q99" s="2"/>
      <c r="R99" s="2"/>
      <c r="S99" s="2"/>
      <c r="T99" s="2"/>
      <c r="U99" s="2"/>
      <c r="V99" s="2"/>
      <c r="W99" s="2"/>
      <c r="X99" s="2"/>
      <c r="Y99" s="2"/>
      <c r="Z99" s="2"/>
      <c r="AA99" s="2"/>
      <c r="AB99" s="2"/>
      <c r="AC99" s="2"/>
      <c r="AD99" s="2"/>
      <c r="AE99" s="2"/>
      <c r="AF99" s="2"/>
      <c r="AG99" s="2"/>
      <c r="AH99" s="2"/>
    </row>
    <row r="100" spans="1:34">
      <c r="A100">
        <f ca="1">IF(OR(Start.listina!H108&gt;Start.listina!$K$7,Start.listina!G108=TRUE),"",Start.listina!H108)</f>
        <v>98</v>
      </c>
      <c r="B100" s="2" t="str">
        <f ca="1">IF(A100&gt;Start.listina!$K$7,"",ADDRESS(INT((A100-1)/$M$2)+1,IF(MOD(A100,$M$2)=0,IF(MOD(INT((A100-1)/$M$2)+1,2)=1,$M$2,1),IF(MOD(INT((A100-1)/$M$2)+1,2)=1,MOD(A100,$M$2),$M$2-MOD(A100,$M$2)+1)),4,1))</f>
        <v>L3</v>
      </c>
      <c r="C100" s="11" t="str">
        <f ca="1">Start.listina!$AL108</f>
        <v>98 C.T.P. Club Ořech - Glaserová Dana</v>
      </c>
      <c r="D100" s="2">
        <f ca="1">IF(A100&gt;Start.listina!$K$7,"",INT((A100-1)/$M$2)+1)</f>
        <v>3</v>
      </c>
      <c r="E100" s="301">
        <f ca="1">IF(A100&gt;Start.listina!$K$7,"",MIN(F100:L100))</f>
        <v>143</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143</v>
      </c>
      <c r="N100" s="2"/>
      <c r="O100" s="2"/>
      <c r="P100" s="2"/>
      <c r="Q100" s="2"/>
      <c r="R100" s="2"/>
      <c r="S100" s="2"/>
      <c r="T100" s="2"/>
      <c r="U100" s="2"/>
      <c r="V100" s="2"/>
      <c r="W100" s="2"/>
      <c r="X100" s="2"/>
      <c r="Y100" s="2"/>
      <c r="Z100" s="2"/>
      <c r="AA100" s="2"/>
      <c r="AB100" s="2"/>
      <c r="AC100" s="2"/>
      <c r="AD100" s="2"/>
      <c r="AE100" s="2"/>
      <c r="AF100" s="2"/>
      <c r="AG100" s="2"/>
      <c r="AH100" s="2"/>
    </row>
    <row r="101" spans="1:34">
      <c r="A101">
        <f ca="1">IF(OR(Start.listina!H109&gt;Start.listina!$K$7,Start.listina!G109=TRUE),"",Start.listina!H109)</f>
        <v>99</v>
      </c>
      <c r="B101" s="2" t="str">
        <f ca="1">IF(A101&gt;Start.listina!$K$7,"",ADDRESS(INT((A101-1)/$M$2)+1,IF(MOD(A101,$M$2)=0,IF(MOD(INT((A101-1)/$M$2)+1,2)=1,$M$2,1),IF(MOD(INT((A101-1)/$M$2)+1,2)=1,MOD(A101,$M$2),$M$2-MOD(A101,$M$2)+1)),4,1))</f>
        <v>M3</v>
      </c>
      <c r="C101" s="11" t="str">
        <f ca="1">Start.listina!$AL109</f>
        <v>99 SK Sahara Vědomice - Kocourek Pavel</v>
      </c>
      <c r="D101" s="2">
        <f ca="1">IF(A101&gt;Start.listina!$K$7,"",INT((A101-1)/$M$2)+1)</f>
        <v>3</v>
      </c>
      <c r="E101" s="301">
        <f ca="1">IF(A101&gt;Start.listina!$K$7,"",MIN(F101:L101))</f>
        <v>64</v>
      </c>
      <c r="F101" s="2">
        <f ca="1">IF(TYPE(VLOOKUP(C101,Konečné_pořadí_1_16!$B$2:$D$17,3,0))&lt;4,VLOOKUP(C101,Konečné_pořadí_1_16!$B$2:$D$17,3,0),999)</f>
        <v>999</v>
      </c>
      <c r="G101" s="2">
        <f ca="1">IF(TYPE(VLOOKUP(C101,'KO64'!$D$4:$D$129,1,0))&lt;4,64,999)</f>
        <v>64</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143</v>
      </c>
      <c r="N101" s="2"/>
      <c r="O101" s="2"/>
      <c r="P101" s="2"/>
      <c r="Q101" s="2"/>
      <c r="R101" s="2"/>
      <c r="S101" s="2"/>
      <c r="T101" s="2"/>
      <c r="U101" s="2"/>
      <c r="V101" s="2"/>
      <c r="W101" s="2"/>
      <c r="X101" s="2"/>
      <c r="Y101" s="2"/>
      <c r="Z101" s="2"/>
      <c r="AA101" s="2"/>
      <c r="AB101" s="2"/>
      <c r="AC101" s="2"/>
      <c r="AD101" s="2"/>
      <c r="AE101" s="2"/>
      <c r="AF101" s="2"/>
      <c r="AG101" s="2"/>
      <c r="AH101" s="2"/>
    </row>
    <row r="102" spans="1:34">
      <c r="A102">
        <f ca="1">IF(OR(Start.listina!H110&gt;Start.listina!$K$7,Start.listina!G110=TRUE),"",Start.listina!H110)</f>
        <v>100</v>
      </c>
      <c r="B102" s="2" t="str">
        <f ca="1">IF(A102&gt;Start.listina!$K$7,"",ADDRESS(INT((A102-1)/$M$2)+1,IF(MOD(A102,$M$2)=0,IF(MOD(INT((A102-1)/$M$2)+1,2)=1,$M$2,1),IF(MOD(INT((A102-1)/$M$2)+1,2)=1,MOD(A102,$M$2),$M$2-MOD(A102,$M$2)+1)),4,1))</f>
        <v>N3</v>
      </c>
      <c r="C102" s="11" t="str">
        <f ca="1">Start.listina!$AL110</f>
        <v>100 1. Starobrněnský PK - Blažejová Eva</v>
      </c>
      <c r="D102" s="2">
        <f ca="1">IF(A102&gt;Start.listina!$K$7,"",INT((A102-1)/$M$2)+1)</f>
        <v>3</v>
      </c>
      <c r="E102" s="301">
        <f ca="1">IF(A102&gt;Start.listina!$K$7,"",MIN(F102:L102))</f>
        <v>143</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143</v>
      </c>
      <c r="N102" s="2"/>
      <c r="O102" s="2"/>
      <c r="P102" s="2"/>
      <c r="Q102" s="2"/>
      <c r="R102" s="2"/>
      <c r="S102" s="2"/>
      <c r="T102" s="2"/>
      <c r="U102" s="2"/>
      <c r="V102" s="2"/>
      <c r="W102" s="2"/>
      <c r="X102" s="2"/>
      <c r="Y102" s="2"/>
      <c r="Z102" s="2"/>
      <c r="AA102" s="2"/>
      <c r="AB102" s="2"/>
      <c r="AC102" s="2"/>
      <c r="AD102" s="2"/>
      <c r="AE102" s="2"/>
      <c r="AF102" s="2"/>
      <c r="AG102" s="2"/>
      <c r="AH102" s="2"/>
    </row>
    <row r="103" spans="1:34">
      <c r="A103">
        <f ca="1">IF(OR(Start.listina!H111&gt;Start.listina!$K$7,Start.listina!G111=TRUE),"",Start.listina!H111)</f>
        <v>101</v>
      </c>
      <c r="B103" s="2" t="str">
        <f ca="1">IF(A103&gt;Start.listina!$K$7,"",ADDRESS(INT((A103-1)/$M$2)+1,IF(MOD(A103,$M$2)=0,IF(MOD(INT((A103-1)/$M$2)+1,2)=1,$M$2,1),IF(MOD(INT((A103-1)/$M$2)+1,2)=1,MOD(A103,$M$2),$M$2-MOD(A103,$M$2)+1)),4,1))</f>
        <v>O3</v>
      </c>
      <c r="C103" s="11" t="str">
        <f ca="1">Start.listina!$AL111</f>
        <v>101 PK Polouvsí - Valošek Radim</v>
      </c>
      <c r="D103" s="2">
        <f ca="1">IF(A103&gt;Start.listina!$K$7,"",INT((A103-1)/$M$2)+1)</f>
        <v>3</v>
      </c>
      <c r="E103" s="301">
        <f ca="1">IF(A103&gt;Start.listina!$K$7,"",MIN(F103:L103))</f>
        <v>143</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143</v>
      </c>
      <c r="N103" s="2"/>
      <c r="O103" s="2"/>
      <c r="P103" s="2"/>
      <c r="Q103" s="2"/>
      <c r="R103" s="2"/>
      <c r="S103" s="2"/>
      <c r="T103" s="2"/>
      <c r="U103" s="2"/>
      <c r="V103" s="2"/>
      <c r="W103" s="2"/>
      <c r="X103" s="2"/>
      <c r="Y103" s="2"/>
      <c r="Z103" s="2"/>
      <c r="AA103" s="2"/>
      <c r="AB103" s="2"/>
      <c r="AC103" s="2"/>
      <c r="AD103" s="2"/>
      <c r="AE103" s="2"/>
      <c r="AF103" s="2"/>
      <c r="AG103" s="2"/>
      <c r="AH103" s="2"/>
    </row>
    <row r="104" spans="1:34">
      <c r="A104">
        <f ca="1">IF(OR(Start.listina!H112&gt;Start.listina!$K$7,Start.listina!G112=TRUE),"",Start.listina!H112)</f>
        <v>102</v>
      </c>
      <c r="B104" s="2" t="str">
        <f ca="1">IF(A104&gt;Start.listina!$K$7,"",ADDRESS(INT((A104-1)/$M$2)+1,IF(MOD(A104,$M$2)=0,IF(MOD(INT((A104-1)/$M$2)+1,2)=1,$M$2,1),IF(MOD(INT((A104-1)/$M$2)+1,2)=1,MOD(A104,$M$2),$M$2-MOD(A104,$M$2)+1)),4,1))</f>
        <v>P3</v>
      </c>
      <c r="C104" s="11" t="str">
        <f ca="1">Start.listina!$AL112</f>
        <v>102 Sokol Kostomlaty - Vaníček Rudolf</v>
      </c>
      <c r="D104" s="2">
        <f ca="1">IF(A104&gt;Start.listina!$K$7,"",INT((A104-1)/$M$2)+1)</f>
        <v>3</v>
      </c>
      <c r="E104" s="301">
        <f ca="1">IF(A104&gt;Start.listina!$K$7,"",MIN(F104:L104))</f>
        <v>143</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143</v>
      </c>
      <c r="N104" s="2"/>
      <c r="O104" s="2"/>
      <c r="P104" s="2"/>
      <c r="Q104" s="2"/>
      <c r="R104" s="2"/>
      <c r="S104" s="2"/>
      <c r="T104" s="2"/>
      <c r="U104" s="2"/>
      <c r="V104" s="2"/>
      <c r="W104" s="2"/>
      <c r="X104" s="2"/>
      <c r="Y104" s="2"/>
      <c r="Z104" s="2"/>
      <c r="AA104" s="2"/>
      <c r="AB104" s="2"/>
      <c r="AC104" s="2"/>
      <c r="AD104" s="2"/>
      <c r="AE104" s="2"/>
      <c r="AF104" s="2"/>
      <c r="AG104" s="2"/>
      <c r="AH104" s="2"/>
    </row>
    <row r="105" spans="1:34">
      <c r="A105">
        <f ca="1">IF(OR(Start.listina!H113&gt;Start.listina!$K$7,Start.listina!G113=TRUE),"",Start.listina!H113)</f>
        <v>103</v>
      </c>
      <c r="B105" s="2" t="str">
        <f ca="1">IF(A105&gt;Start.listina!$K$7,"",ADDRESS(INT((A105-1)/$M$2)+1,IF(MOD(A105,$M$2)=0,IF(MOD(INT((A105-1)/$M$2)+1,2)=1,$M$2,1),IF(MOD(INT((A105-1)/$M$2)+1,2)=1,MOD(A105,$M$2),$M$2-MOD(A105,$M$2)+1)),4,1))</f>
        <v>Q3</v>
      </c>
      <c r="C105" s="11" t="str">
        <f ca="1">Start.listina!$AL113</f>
        <v>103 PK Polouvsí - Rusek Luboš</v>
      </c>
      <c r="D105" s="2">
        <f ca="1">IF(A105&gt;Start.listina!$K$7,"",INT((A105-1)/$M$2)+1)</f>
        <v>3</v>
      </c>
      <c r="E105" s="301">
        <f ca="1">IF(A105&gt;Start.listina!$K$7,"",MIN(F105:L105))</f>
        <v>143</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143</v>
      </c>
      <c r="N105" s="2"/>
      <c r="O105" s="2"/>
      <c r="P105" s="2"/>
      <c r="Q105" s="2"/>
      <c r="R105" s="2"/>
      <c r="S105" s="2"/>
      <c r="T105" s="2"/>
      <c r="U105" s="2"/>
      <c r="V105" s="2"/>
      <c r="W105" s="2"/>
      <c r="X105" s="2"/>
      <c r="Y105" s="2"/>
      <c r="Z105" s="2"/>
      <c r="AA105" s="2"/>
      <c r="AB105" s="2"/>
      <c r="AC105" s="2"/>
      <c r="AD105" s="2"/>
      <c r="AE105" s="2"/>
      <c r="AF105" s="2"/>
      <c r="AG105" s="2"/>
      <c r="AH105" s="2"/>
    </row>
    <row r="106" spans="1:34">
      <c r="A106">
        <f ca="1">IF(OR(Start.listina!H114&gt;Start.listina!$K$7,Start.listina!G114=TRUE),"",Start.listina!H114)</f>
        <v>104</v>
      </c>
      <c r="B106" s="2" t="str">
        <f ca="1">IF(A106&gt;Start.listina!$K$7,"",ADDRESS(INT((A106-1)/$M$2)+1,IF(MOD(A106,$M$2)=0,IF(MOD(INT((A106-1)/$M$2)+1,2)=1,$M$2,1),IF(MOD(INT((A106-1)/$M$2)+1,2)=1,MOD(A106,$M$2),$M$2-MOD(A106,$M$2)+1)),4,1))</f>
        <v>R3</v>
      </c>
      <c r="C106" s="11" t="str">
        <f ca="1">Start.listina!$AL114</f>
        <v>104 PK Polouvsí - Ondryhal Josef</v>
      </c>
      <c r="D106" s="2">
        <f ca="1">IF(A106&gt;Start.listina!$K$7,"",INT((A106-1)/$M$2)+1)</f>
        <v>3</v>
      </c>
      <c r="E106" s="301">
        <f ca="1">IF(A106&gt;Start.listina!$K$7,"",MIN(F106:L106))</f>
        <v>64</v>
      </c>
      <c r="F106" s="2">
        <f ca="1">IF(TYPE(VLOOKUP(C106,Konečné_pořadí_1_16!$B$2:$D$17,3,0))&lt;4,VLOOKUP(C106,Konečné_pořadí_1_16!$B$2:$D$17,3,0),999)</f>
        <v>999</v>
      </c>
      <c r="G106" s="2">
        <f ca="1">IF(TYPE(VLOOKUP(C106,'KO64'!$D$4:$D$129,1,0))&lt;4,64,999)</f>
        <v>64</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143</v>
      </c>
      <c r="N106" s="2"/>
      <c r="O106" s="2"/>
      <c r="P106" s="2"/>
      <c r="Q106" s="2"/>
      <c r="R106" s="2"/>
      <c r="S106" s="2"/>
      <c r="T106" s="2"/>
      <c r="U106" s="2"/>
      <c r="V106" s="2"/>
      <c r="W106" s="2"/>
      <c r="X106" s="2"/>
      <c r="Y106" s="2"/>
      <c r="Z106" s="2"/>
      <c r="AA106" s="2"/>
      <c r="AB106" s="2"/>
      <c r="AC106" s="2"/>
      <c r="AD106" s="2"/>
      <c r="AE106" s="2"/>
      <c r="AF106" s="2"/>
      <c r="AG106" s="2"/>
      <c r="AH106" s="2"/>
    </row>
    <row r="107" spans="1:34">
      <c r="A107">
        <f ca="1">IF(OR(Start.listina!H115&gt;Start.listina!$K$7,Start.listina!G115=TRUE),"",Start.listina!H115)</f>
        <v>105</v>
      </c>
      <c r="B107" s="2" t="str">
        <f ca="1">IF(A107&gt;Start.listina!$K$7,"",ADDRESS(INT((A107-1)/$M$2)+1,IF(MOD(A107,$M$2)=0,IF(MOD(INT((A107-1)/$M$2)+1,2)=1,$M$2,1),IF(MOD(INT((A107-1)/$M$2)+1,2)=1,MOD(A107,$M$2),$M$2-MOD(A107,$M$2)+1)),4,1))</f>
        <v>S3</v>
      </c>
      <c r="C107" s="11" t="str">
        <f ca="1">Start.listina!$AL115</f>
        <v>105 PC Mimo Done - Zikmunda Matěj</v>
      </c>
      <c r="D107" s="2">
        <f ca="1">IF(A107&gt;Start.listina!$K$7,"",INT((A107-1)/$M$2)+1)</f>
        <v>3</v>
      </c>
      <c r="E107" s="301">
        <f ca="1">IF(A107&gt;Start.listina!$K$7,"",MIN(F107:L107))</f>
        <v>143</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143</v>
      </c>
      <c r="N107" s="2"/>
      <c r="O107" s="2"/>
      <c r="P107" s="2"/>
      <c r="Q107" s="2"/>
      <c r="R107" s="2"/>
      <c r="S107" s="2"/>
      <c r="T107" s="2"/>
      <c r="U107" s="2"/>
      <c r="V107" s="2"/>
      <c r="W107" s="2"/>
      <c r="X107" s="2"/>
      <c r="Y107" s="2"/>
      <c r="Z107" s="2"/>
      <c r="AA107" s="2"/>
      <c r="AB107" s="2"/>
      <c r="AC107" s="2"/>
      <c r="AD107" s="2"/>
      <c r="AE107" s="2"/>
      <c r="AF107" s="2"/>
      <c r="AG107" s="2"/>
      <c r="AH107" s="2"/>
    </row>
    <row r="108" spans="1:34">
      <c r="A108">
        <f ca="1">IF(OR(Start.listina!H116&gt;Start.listina!$K$7,Start.listina!G116=TRUE),"",Start.listina!H116)</f>
        <v>106</v>
      </c>
      <c r="B108" s="2" t="str">
        <f ca="1">IF(A108&gt;Start.listina!$K$7,"",ADDRESS(INT((A108-1)/$M$2)+1,IF(MOD(A108,$M$2)=0,IF(MOD(INT((A108-1)/$M$2)+1,2)=1,$M$2,1),IF(MOD(INT((A108-1)/$M$2)+1,2)=1,MOD(A108,$M$2),$M$2-MOD(A108,$M$2)+1)),4,1))</f>
        <v>T3</v>
      </c>
      <c r="C108" s="11" t="str">
        <f ca="1">Start.listina!$AL116</f>
        <v>106 SENIOR TÝM Praha 1 - Blieková Alena</v>
      </c>
      <c r="D108" s="2">
        <f ca="1">IF(A108&gt;Start.listina!$K$7,"",INT((A108-1)/$M$2)+1)</f>
        <v>3</v>
      </c>
      <c r="E108" s="301">
        <f ca="1">IF(A108&gt;Start.listina!$K$7,"",MIN(F108:L108))</f>
        <v>143</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143</v>
      </c>
      <c r="N108" s="2"/>
      <c r="O108" s="2"/>
      <c r="P108" s="2"/>
      <c r="Q108" s="2"/>
      <c r="R108" s="2"/>
      <c r="S108" s="2"/>
      <c r="T108" s="2"/>
      <c r="U108" s="2"/>
      <c r="V108" s="2"/>
      <c r="W108" s="2"/>
      <c r="X108" s="2"/>
      <c r="Y108" s="2"/>
      <c r="Z108" s="2"/>
      <c r="AA108" s="2"/>
      <c r="AB108" s="2"/>
      <c r="AC108" s="2"/>
      <c r="AD108" s="2"/>
      <c r="AE108" s="2"/>
      <c r="AF108" s="2"/>
      <c r="AG108" s="2"/>
      <c r="AH108" s="2"/>
    </row>
    <row r="109" spans="1:34">
      <c r="A109">
        <f ca="1">IF(OR(Start.listina!H117&gt;Start.listina!$K$7,Start.listina!G117=TRUE),"",Start.listina!H117)</f>
        <v>107</v>
      </c>
      <c r="B109" s="2" t="str">
        <f ca="1">IF(A109&gt;Start.listina!$K$7,"",ADDRESS(INT((A109-1)/$M$2)+1,IF(MOD(A109,$M$2)=0,IF(MOD(INT((A109-1)/$M$2)+1,2)=1,$M$2,1),IF(MOD(INT((A109-1)/$M$2)+1,2)=1,MOD(A109,$M$2),$M$2-MOD(A109,$M$2)+1)),4,1))</f>
        <v>U3</v>
      </c>
      <c r="C109" s="11" t="str">
        <f ca="1">Start.listina!$AL117</f>
        <v>107 1. KPK Vrchlabí - Srnský Jakub</v>
      </c>
      <c r="D109" s="2">
        <f ca="1">IF(A109&gt;Start.listina!$K$7,"",INT((A109-1)/$M$2)+1)</f>
        <v>3</v>
      </c>
      <c r="E109" s="301">
        <f ca="1">IF(A109&gt;Start.listina!$K$7,"",MIN(F109:L109))</f>
        <v>143</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143</v>
      </c>
      <c r="N109" s="2"/>
      <c r="O109" s="2"/>
      <c r="P109" s="2"/>
      <c r="Q109" s="2"/>
      <c r="R109" s="2"/>
      <c r="S109" s="2"/>
      <c r="T109" s="2"/>
      <c r="U109" s="2"/>
      <c r="V109" s="2"/>
      <c r="W109" s="2"/>
      <c r="X109" s="2"/>
      <c r="Y109" s="2"/>
      <c r="Z109" s="2"/>
      <c r="AA109" s="2"/>
      <c r="AB109" s="2"/>
      <c r="AC109" s="2"/>
      <c r="AD109" s="2"/>
      <c r="AE109" s="2"/>
      <c r="AF109" s="2"/>
      <c r="AG109" s="2"/>
      <c r="AH109" s="2"/>
    </row>
    <row r="110" spans="1:34">
      <c r="A110">
        <f ca="1">IF(OR(Start.listina!H118&gt;Start.listina!$K$7,Start.listina!G118=TRUE),"",Start.listina!H118)</f>
        <v>108</v>
      </c>
      <c r="B110" s="2" t="str">
        <f ca="1">IF(A110&gt;Start.listina!$K$7,"",ADDRESS(INT((A110-1)/$M$2)+1,IF(MOD(A110,$M$2)=0,IF(MOD(INT((A110-1)/$M$2)+1,2)=1,$M$2,1),IF(MOD(INT((A110-1)/$M$2)+1,2)=1,MOD(A110,$M$2),$M$2-MOD(A110,$M$2)+1)),4,1))</f>
        <v>V3</v>
      </c>
      <c r="C110" s="11" t="str">
        <f ca="1">Start.listina!$AL118</f>
        <v>108 Bowle 09 Klatovy - Hůrka Jindřich</v>
      </c>
      <c r="D110" s="2">
        <f ca="1">IF(A110&gt;Start.listina!$K$7,"",INT((A110-1)/$M$2)+1)</f>
        <v>3</v>
      </c>
      <c r="E110" s="301">
        <f ca="1">IF(A110&gt;Start.listina!$K$7,"",MIN(F110:L110))</f>
        <v>143</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143</v>
      </c>
      <c r="N110" s="2"/>
      <c r="O110" s="2"/>
      <c r="P110" s="2"/>
      <c r="Q110" s="2"/>
      <c r="R110" s="2"/>
      <c r="S110" s="2"/>
      <c r="T110" s="2"/>
      <c r="U110" s="2"/>
      <c r="V110" s="2"/>
      <c r="W110" s="2"/>
      <c r="X110" s="2"/>
      <c r="Y110" s="2"/>
      <c r="Z110" s="2"/>
      <c r="AA110" s="2"/>
      <c r="AB110" s="2"/>
      <c r="AC110" s="2"/>
      <c r="AD110" s="2"/>
      <c r="AE110" s="2"/>
      <c r="AF110" s="2"/>
      <c r="AG110" s="2"/>
      <c r="AH110" s="2"/>
    </row>
    <row r="111" spans="1:34">
      <c r="A111">
        <f ca="1">IF(OR(Start.listina!H119&gt;Start.listina!$K$7,Start.listina!G119=TRUE),"",Start.listina!H119)</f>
        <v>109</v>
      </c>
      <c r="B111" s="2" t="str">
        <f ca="1">IF(A111&gt;Start.listina!$K$7,"",ADDRESS(INT((A111-1)/$M$2)+1,IF(MOD(A111,$M$2)=0,IF(MOD(INT((A111-1)/$M$2)+1,2)=1,$M$2,1),IF(MOD(INT((A111-1)/$M$2)+1,2)=1,MOD(A111,$M$2),$M$2-MOD(A111,$M$2)+1)),4,1))</f>
        <v>W3</v>
      </c>
      <c r="C111" s="11" t="str">
        <f ca="1">Start.listina!$AL119</f>
        <v>109 JAPKO - Stejskal Petr</v>
      </c>
      <c r="D111" s="2">
        <f ca="1">IF(A111&gt;Start.listina!$K$7,"",INT((A111-1)/$M$2)+1)</f>
        <v>3</v>
      </c>
      <c r="E111" s="301">
        <f ca="1">IF(A111&gt;Start.listina!$K$7,"",MIN(F111:L111))</f>
        <v>64</v>
      </c>
      <c r="F111" s="2">
        <f ca="1">IF(TYPE(VLOOKUP(C111,Konečné_pořadí_1_16!$B$2:$D$17,3,0))&lt;4,VLOOKUP(C111,Konečné_pořadí_1_16!$B$2:$D$17,3,0),999)</f>
        <v>999</v>
      </c>
      <c r="G111" s="2">
        <f ca="1">IF(TYPE(VLOOKUP(C111,'KO64'!$D$4:$D$129,1,0))&lt;4,64,999)</f>
        <v>64</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143</v>
      </c>
      <c r="N111" s="2"/>
      <c r="O111" s="2"/>
      <c r="P111" s="2"/>
      <c r="Q111" s="2"/>
      <c r="R111" s="2"/>
      <c r="S111" s="2"/>
      <c r="T111" s="2"/>
      <c r="U111" s="2"/>
      <c r="V111" s="2"/>
      <c r="W111" s="2"/>
      <c r="X111" s="2"/>
      <c r="Y111" s="2"/>
      <c r="Z111" s="2"/>
      <c r="AA111" s="2"/>
      <c r="AB111" s="2"/>
      <c r="AC111" s="2"/>
      <c r="AD111" s="2"/>
      <c r="AE111" s="2"/>
      <c r="AF111" s="2"/>
      <c r="AG111" s="2"/>
      <c r="AH111" s="2"/>
    </row>
    <row r="112" spans="1:34">
      <c r="A112">
        <f ca="1">IF(OR(Start.listina!H120&gt;Start.listina!$K$7,Start.listina!G120=TRUE),"",Start.listina!H120)</f>
        <v>110</v>
      </c>
      <c r="B112" s="2" t="str">
        <f ca="1">IF(A112&gt;Start.listina!$K$7,"",ADDRESS(INT((A112-1)/$M$2)+1,IF(MOD(A112,$M$2)=0,IF(MOD(INT((A112-1)/$M$2)+1,2)=1,$M$2,1),IF(MOD(INT((A112-1)/$M$2)+1,2)=1,MOD(A112,$M$2),$M$2-MOD(A112,$M$2)+1)),4,1))</f>
        <v>X3</v>
      </c>
      <c r="C112" s="11" t="str">
        <f ca="1">Start.listina!$AL120</f>
        <v>110 PK Polouvsí - Valošková Sára</v>
      </c>
      <c r="D112" s="2">
        <f ca="1">IF(A112&gt;Start.listina!$K$7,"",INT((A112-1)/$M$2)+1)</f>
        <v>3</v>
      </c>
      <c r="E112" s="301">
        <f ca="1">IF(A112&gt;Start.listina!$K$7,"",MIN(F112:L112))</f>
        <v>64</v>
      </c>
      <c r="F112" s="2">
        <f ca="1">IF(TYPE(VLOOKUP(C112,Konečné_pořadí_1_16!$B$2:$D$17,3,0))&lt;4,VLOOKUP(C112,Konečné_pořadí_1_16!$B$2:$D$17,3,0),999)</f>
        <v>999</v>
      </c>
      <c r="G112" s="2">
        <f ca="1">IF(TYPE(VLOOKUP(C112,'KO64'!$D$4:$D$129,1,0))&lt;4,64,999)</f>
        <v>64</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143</v>
      </c>
      <c r="N112" s="2"/>
      <c r="O112" s="2"/>
      <c r="P112" s="2"/>
      <c r="Q112" s="2"/>
      <c r="R112" s="2"/>
      <c r="S112" s="2"/>
      <c r="T112" s="2"/>
      <c r="U112" s="2"/>
      <c r="V112" s="2"/>
      <c r="W112" s="2"/>
      <c r="X112" s="2"/>
      <c r="Y112" s="2"/>
      <c r="Z112" s="2"/>
      <c r="AA112" s="2"/>
      <c r="AB112" s="2"/>
      <c r="AC112" s="2"/>
      <c r="AD112" s="2"/>
      <c r="AE112" s="2"/>
      <c r="AF112" s="2"/>
      <c r="AG112" s="2"/>
      <c r="AH112" s="2"/>
    </row>
    <row r="113" spans="1:34">
      <c r="A113">
        <f ca="1">IF(OR(Start.listina!H121&gt;Start.listina!$K$7,Start.listina!G121=TRUE),"",Start.listina!H121)</f>
        <v>111</v>
      </c>
      <c r="B113" s="2" t="str">
        <f ca="1">IF(A113&gt;Start.listina!$K$7,"",ADDRESS(INT((A113-1)/$M$2)+1,IF(MOD(A113,$M$2)=0,IF(MOD(INT((A113-1)/$M$2)+1,2)=1,$M$2,1),IF(MOD(INT((A113-1)/$M$2)+1,2)=1,MOD(A113,$M$2),$M$2-MOD(A113,$M$2)+1)),4,1))</f>
        <v>Y3</v>
      </c>
      <c r="C113" s="11" t="str">
        <f ca="1">Start.listina!$AL121</f>
        <v>111 Bowle 09 Klatovy - Hůrková Lucie</v>
      </c>
      <c r="D113" s="2">
        <f ca="1">IF(A113&gt;Start.listina!$K$7,"",INT((A113-1)/$M$2)+1)</f>
        <v>3</v>
      </c>
      <c r="E113" s="301">
        <f ca="1">IF(A113&gt;Start.listina!$K$7,"",MIN(F113:L113))</f>
        <v>143</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143</v>
      </c>
      <c r="N113" s="2"/>
      <c r="O113" s="2"/>
      <c r="P113" s="2"/>
      <c r="Q113" s="2"/>
      <c r="R113" s="2"/>
      <c r="S113" s="2"/>
      <c r="T113" s="2"/>
      <c r="U113" s="2"/>
      <c r="V113" s="2"/>
      <c r="W113" s="2"/>
      <c r="X113" s="2"/>
      <c r="Y113" s="2"/>
      <c r="Z113" s="2"/>
      <c r="AA113" s="2"/>
      <c r="AB113" s="2"/>
      <c r="AC113" s="2"/>
      <c r="AD113" s="2"/>
      <c r="AE113" s="2"/>
      <c r="AF113" s="2"/>
      <c r="AG113" s="2"/>
      <c r="AH113" s="2"/>
    </row>
    <row r="114" spans="1:34">
      <c r="A114">
        <f ca="1">IF(OR(Start.listina!H122&gt;Start.listina!$K$7,Start.listina!G122=TRUE),"",Start.listina!H122)</f>
        <v>112</v>
      </c>
      <c r="B114" s="2" t="str">
        <f ca="1">IF(A114&gt;Start.listina!$K$7,"",ADDRESS(INT((A114-1)/$M$2)+1,IF(MOD(A114,$M$2)=0,IF(MOD(INT((A114-1)/$M$2)+1,2)=1,$M$2,1),IF(MOD(INT((A114-1)/$M$2)+1,2)=1,MOD(A114,$M$2),$M$2-MOD(A114,$M$2)+1)),4,1))</f>
        <v>Z3</v>
      </c>
      <c r="C114" s="11" t="str">
        <f ca="1">Start.listina!$AL122</f>
        <v>112 SK Sahara Vědomice - Gröschl Zdeněk</v>
      </c>
      <c r="D114" s="2">
        <f ca="1">IF(A114&gt;Start.listina!$K$7,"",INT((A114-1)/$M$2)+1)</f>
        <v>3</v>
      </c>
      <c r="E114" s="301">
        <f ca="1">IF(A114&gt;Start.listina!$K$7,"",MIN(F114:L114))</f>
        <v>64</v>
      </c>
      <c r="F114" s="2">
        <f ca="1">IF(TYPE(VLOOKUP(C114,Konečné_pořadí_1_16!$B$2:$D$17,3,0))&lt;4,VLOOKUP(C114,Konečné_pořadí_1_16!$B$2:$D$17,3,0),999)</f>
        <v>999</v>
      </c>
      <c r="G114" s="2">
        <f ca="1">IF(TYPE(VLOOKUP(C114,'KO64'!$D$4:$D$129,1,0))&lt;4,64,999)</f>
        <v>64</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143</v>
      </c>
      <c r="N114" s="2"/>
      <c r="O114" s="2"/>
      <c r="P114" s="2"/>
      <c r="Q114" s="2"/>
      <c r="R114" s="2"/>
      <c r="S114" s="2"/>
      <c r="T114" s="2"/>
      <c r="U114" s="2"/>
      <c r="V114" s="2"/>
      <c r="W114" s="2"/>
      <c r="X114" s="2"/>
      <c r="Y114" s="2"/>
      <c r="Z114" s="2"/>
      <c r="AA114" s="2"/>
      <c r="AB114" s="2"/>
      <c r="AC114" s="2"/>
      <c r="AD114" s="2"/>
      <c r="AE114" s="2"/>
      <c r="AF114" s="2"/>
      <c r="AG114" s="2"/>
      <c r="AH114" s="2"/>
    </row>
    <row r="115" spans="1:34">
      <c r="A115">
        <f ca="1">IF(OR(Start.listina!H123&gt;Start.listina!$K$7,Start.listina!G123=TRUE),"",Start.listina!H123)</f>
        <v>113</v>
      </c>
      <c r="B115" s="2" t="str">
        <f ca="1">IF(A115&gt;Start.listina!$K$7,"",ADDRESS(INT((A115-1)/$M$2)+1,IF(MOD(A115,$M$2)=0,IF(MOD(INT((A115-1)/$M$2)+1,2)=1,$M$2,1),IF(MOD(INT((A115-1)/$M$2)+1,2)=1,MOD(A115,$M$2),$M$2-MOD(A115,$M$2)+1)),4,1))</f>
        <v>AA3</v>
      </c>
      <c r="C115" s="11" t="str">
        <f ca="1">Start.listina!$AL123</f>
        <v>113 PK Polouvsí - Ondryhal Lukáš</v>
      </c>
      <c r="D115" s="2">
        <f ca="1">IF(A115&gt;Start.listina!$K$7,"",INT((A115-1)/$M$2)+1)</f>
        <v>3</v>
      </c>
      <c r="E115" s="301">
        <f ca="1">IF(A115&gt;Start.listina!$K$7,"",MIN(F115:L115))</f>
        <v>143</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143</v>
      </c>
      <c r="N115" s="2"/>
      <c r="O115" s="2"/>
      <c r="P115" s="2"/>
      <c r="Q115" s="2"/>
      <c r="R115" s="2"/>
      <c r="S115" s="2"/>
      <c r="T115" s="2"/>
      <c r="U115" s="2"/>
      <c r="V115" s="2"/>
      <c r="W115" s="2"/>
      <c r="X115" s="2"/>
      <c r="Y115" s="2"/>
      <c r="Z115" s="2"/>
      <c r="AA115" s="2"/>
      <c r="AB115" s="2"/>
      <c r="AC115" s="2"/>
      <c r="AD115" s="2"/>
      <c r="AE115" s="2"/>
      <c r="AF115" s="2"/>
      <c r="AG115" s="2"/>
      <c r="AH115" s="2"/>
    </row>
    <row r="116" spans="1:34">
      <c r="A116">
        <f ca="1">IF(OR(Start.listina!H124&gt;Start.listina!$K$7,Start.listina!G124=TRUE),"",Start.listina!H124)</f>
        <v>114</v>
      </c>
      <c r="B116" s="2" t="str">
        <f ca="1">IF(A116&gt;Start.listina!$K$7,"",ADDRESS(INT((A116-1)/$M$2)+1,IF(MOD(A116,$M$2)=0,IF(MOD(INT((A116-1)/$M$2)+1,2)=1,$M$2,1),IF(MOD(INT((A116-1)/$M$2)+1,2)=1,MOD(A116,$M$2),$M$2-MOD(A116,$M$2)+1)),4,1))</f>
        <v>AB3</v>
      </c>
      <c r="C116" s="11" t="str">
        <f ca="1">Start.listina!$AL124</f>
        <v>114 PCP Lipník - Reinbergrová Václava</v>
      </c>
      <c r="D116" s="2">
        <f ca="1">IF(A116&gt;Start.listina!$K$7,"",INT((A116-1)/$M$2)+1)</f>
        <v>3</v>
      </c>
      <c r="E116" s="301">
        <f ca="1">IF(A116&gt;Start.listina!$K$7,"",MIN(F116:L116))</f>
        <v>64</v>
      </c>
      <c r="F116" s="2">
        <f ca="1">IF(TYPE(VLOOKUP(C116,Konečné_pořadí_1_16!$B$2:$D$17,3,0))&lt;4,VLOOKUP(C116,Konečné_pořadí_1_16!$B$2:$D$17,3,0),999)</f>
        <v>999</v>
      </c>
      <c r="G116" s="2">
        <f ca="1">IF(TYPE(VLOOKUP(C116,'KO64'!$D$4:$D$129,1,0))&lt;4,64,999)</f>
        <v>64</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143</v>
      </c>
      <c r="N116" s="2"/>
      <c r="O116" s="2"/>
      <c r="P116" s="2"/>
      <c r="Q116" s="2"/>
      <c r="R116" s="2"/>
      <c r="S116" s="2"/>
      <c r="T116" s="2"/>
      <c r="U116" s="2"/>
      <c r="V116" s="2"/>
      <c r="W116" s="2"/>
      <c r="X116" s="2"/>
      <c r="Y116" s="2"/>
      <c r="Z116" s="2"/>
      <c r="AA116" s="2"/>
      <c r="AB116" s="2"/>
      <c r="AC116" s="2"/>
      <c r="AD116" s="2"/>
      <c r="AE116" s="2"/>
      <c r="AF116" s="2"/>
      <c r="AG116" s="2"/>
      <c r="AH116" s="2"/>
    </row>
    <row r="117" spans="1:34">
      <c r="A117">
        <f ca="1">IF(OR(Start.listina!H125&gt;Start.listina!$K$7,Start.listina!G125=TRUE),"",Start.listina!H125)</f>
        <v>115</v>
      </c>
      <c r="B117" s="2" t="str">
        <f ca="1">IF(A117&gt;Start.listina!$K$7,"",ADDRESS(INT((A117-1)/$M$2)+1,IF(MOD(A117,$M$2)=0,IF(MOD(INT((A117-1)/$M$2)+1,2)=1,$M$2,1),IF(MOD(INT((A117-1)/$M$2)+1,2)=1,MOD(A117,$M$2),$M$2-MOD(A117,$M$2)+1)),4,1))</f>
        <v>AC3</v>
      </c>
      <c r="C117" s="11" t="str">
        <f ca="1">Start.listina!$AL125</f>
        <v>115 SK Pétanque Řepy - Křížek Evžen</v>
      </c>
      <c r="D117" s="2">
        <f ca="1">IF(A117&gt;Start.listina!$K$7,"",INT((A117-1)/$M$2)+1)</f>
        <v>3</v>
      </c>
      <c r="E117" s="301">
        <f ca="1">IF(A117&gt;Start.listina!$K$7,"",MIN(F117:L117))</f>
        <v>143</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143</v>
      </c>
      <c r="N117" s="2"/>
      <c r="O117" s="2"/>
      <c r="P117" s="2"/>
      <c r="Q117" s="2"/>
      <c r="R117" s="2"/>
      <c r="S117" s="2"/>
      <c r="T117" s="2"/>
      <c r="U117" s="2"/>
      <c r="V117" s="2"/>
      <c r="W117" s="2"/>
      <c r="X117" s="2"/>
      <c r="Y117" s="2"/>
      <c r="Z117" s="2"/>
      <c r="AA117" s="2"/>
      <c r="AB117" s="2"/>
      <c r="AC117" s="2"/>
      <c r="AD117" s="2"/>
      <c r="AE117" s="2"/>
      <c r="AF117" s="2"/>
      <c r="AG117" s="2"/>
      <c r="AH117" s="2"/>
    </row>
    <row r="118" spans="1:34">
      <c r="A118">
        <f ca="1">IF(OR(Start.listina!H126&gt;Start.listina!$K$7,Start.listina!G126=TRUE),"",Start.listina!H126)</f>
        <v>116</v>
      </c>
      <c r="B118" s="2" t="str">
        <f ca="1">IF(A118&gt;Start.listina!$K$7,"",ADDRESS(INT((A118-1)/$M$2)+1,IF(MOD(A118,$M$2)=0,IF(MOD(INT((A118-1)/$M$2)+1,2)=1,$M$2,1),IF(MOD(INT((A118-1)/$M$2)+1,2)=1,MOD(A118,$M$2),$M$2-MOD(A118,$M$2)+1)),4,1))</f>
        <v>AD3</v>
      </c>
      <c r="C118" s="11" t="str">
        <f ca="1">Start.listina!$AL126</f>
        <v>116 SK Pétanque Řepy - Procházka Josef</v>
      </c>
      <c r="D118" s="2">
        <f ca="1">IF(A118&gt;Start.listina!$K$7,"",INT((A118-1)/$M$2)+1)</f>
        <v>3</v>
      </c>
      <c r="E118" s="301">
        <f ca="1">IF(A118&gt;Start.listina!$K$7,"",MIN(F118:L118))</f>
        <v>143</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143</v>
      </c>
      <c r="N118" s="2"/>
      <c r="O118" s="2"/>
      <c r="P118" s="2"/>
      <c r="Q118" s="2"/>
      <c r="R118" s="2"/>
      <c r="S118" s="2"/>
      <c r="T118" s="2"/>
      <c r="U118" s="2"/>
      <c r="V118" s="2"/>
      <c r="W118" s="2"/>
      <c r="X118" s="2"/>
      <c r="Y118" s="2"/>
      <c r="Z118" s="2"/>
      <c r="AA118" s="2"/>
      <c r="AB118" s="2"/>
      <c r="AC118" s="2"/>
      <c r="AD118" s="2"/>
      <c r="AE118" s="2"/>
      <c r="AF118" s="2"/>
      <c r="AG118" s="2"/>
      <c r="AH118" s="2"/>
    </row>
    <row r="119" spans="1:34">
      <c r="A119">
        <f ca="1">IF(OR(Start.listina!H127&gt;Start.listina!$K$7,Start.listina!G127=TRUE),"",Start.listina!H127)</f>
        <v>117</v>
      </c>
      <c r="B119" s="2" t="str">
        <f ca="1">IF(A119&gt;Start.listina!$K$7,"",ADDRESS(INT((A119-1)/$M$2)+1,IF(MOD(A119,$M$2)=0,IF(MOD(INT((A119-1)/$M$2)+1,2)=1,$M$2,1),IF(MOD(INT((A119-1)/$M$2)+1,2)=1,MOD(A119,$M$2),$M$2-MOD(A119,$M$2)+1)),4,1))</f>
        <v>AE3</v>
      </c>
      <c r="C119" s="11" t="str">
        <f ca="1">Start.listina!$AL127</f>
        <v>117 PEK Stolín - Jablonský Lukáš</v>
      </c>
      <c r="D119" s="2">
        <f ca="1">IF(A119&gt;Start.listina!$K$7,"",INT((A119-1)/$M$2)+1)</f>
        <v>3</v>
      </c>
      <c r="E119" s="301">
        <f ca="1">IF(A119&gt;Start.listina!$K$7,"",MIN(F119:L119))</f>
        <v>143</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143</v>
      </c>
      <c r="N119" s="2"/>
      <c r="O119" s="2"/>
      <c r="P119" s="2"/>
      <c r="Q119" s="2"/>
      <c r="R119" s="2"/>
      <c r="S119" s="2"/>
      <c r="T119" s="2"/>
      <c r="U119" s="2"/>
      <c r="V119" s="2"/>
      <c r="W119" s="2"/>
      <c r="X119" s="2"/>
      <c r="Y119" s="2"/>
      <c r="Z119" s="2"/>
      <c r="AA119" s="2"/>
      <c r="AB119" s="2"/>
      <c r="AC119" s="2"/>
      <c r="AD119" s="2"/>
      <c r="AE119" s="2"/>
      <c r="AF119" s="2"/>
      <c r="AG119" s="2"/>
      <c r="AH119" s="2"/>
    </row>
    <row r="120" spans="1:34">
      <c r="A120">
        <f ca="1">IF(OR(Start.listina!H128&gt;Start.listina!$K$7,Start.listina!G128=TRUE),"",Start.listina!H128)</f>
        <v>118</v>
      </c>
      <c r="B120" s="2" t="str">
        <f ca="1">IF(A120&gt;Start.listina!$K$7,"",ADDRESS(INT((A120-1)/$M$2)+1,IF(MOD(A120,$M$2)=0,IF(MOD(INT((A120-1)/$M$2)+1,2)=1,$M$2,1),IF(MOD(INT((A120-1)/$M$2)+1,2)=1,MOD(A120,$M$2),$M$2-MOD(A120,$M$2)+1)),4,1))</f>
        <v>AF3</v>
      </c>
      <c r="C120" s="11" t="str">
        <f ca="1">Start.listina!$AL128</f>
        <v>118 PEK Stolín - Hájková Iveta</v>
      </c>
      <c r="D120" s="2">
        <f ca="1">IF(A120&gt;Start.listina!$K$7,"",INT((A120-1)/$M$2)+1)</f>
        <v>3</v>
      </c>
      <c r="E120" s="301">
        <f ca="1">IF(A120&gt;Start.listina!$K$7,"",MIN(F120:L120))</f>
        <v>64</v>
      </c>
      <c r="F120" s="2">
        <f ca="1">IF(TYPE(VLOOKUP(C120,Konečné_pořadí_1_16!$B$2:$D$17,3,0))&lt;4,VLOOKUP(C120,Konečné_pořadí_1_16!$B$2:$D$17,3,0),999)</f>
        <v>999</v>
      </c>
      <c r="G120" s="2">
        <f ca="1">IF(TYPE(VLOOKUP(C120,'KO64'!$D$4:$D$129,1,0))&lt;4,64,999)</f>
        <v>64</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143</v>
      </c>
      <c r="N120" s="2"/>
      <c r="O120" s="2"/>
      <c r="P120" s="2"/>
      <c r="Q120" s="2"/>
      <c r="R120" s="2"/>
      <c r="S120" s="2"/>
      <c r="T120" s="2"/>
      <c r="U120" s="2"/>
      <c r="V120" s="2"/>
      <c r="W120" s="2"/>
      <c r="X120" s="2"/>
      <c r="Y120" s="2"/>
      <c r="Z120" s="2"/>
      <c r="AA120" s="2"/>
      <c r="AB120" s="2"/>
      <c r="AC120" s="2"/>
      <c r="AD120" s="2"/>
      <c r="AE120" s="2"/>
      <c r="AF120" s="2"/>
      <c r="AG120" s="2"/>
      <c r="AH120" s="2"/>
    </row>
    <row r="121" spans="1:34">
      <c r="A121">
        <f ca="1">IF(OR(Start.listina!H129&gt;Start.listina!$K$7,Start.listina!G129=TRUE),"",Start.listina!H129)</f>
        <v>119</v>
      </c>
      <c r="B121" s="2" t="str">
        <f ca="1">IF(A121&gt;Start.listina!$K$7,"",ADDRESS(INT((A121-1)/$M$2)+1,IF(MOD(A121,$M$2)=0,IF(MOD(INT((A121-1)/$M$2)+1,2)=1,$M$2,1),IF(MOD(INT((A121-1)/$M$2)+1,2)=1,MOD(A121,$M$2),$M$2-MOD(A121,$M$2)+1)),4,1))</f>
        <v>AG3</v>
      </c>
      <c r="C121" s="11" t="str">
        <f ca="1">Start.listina!$AL129</f>
        <v>119 Petank Club Praha - Rendjambe Amos</v>
      </c>
      <c r="D121" s="2">
        <f ca="1">IF(A121&gt;Start.listina!$K$7,"",INT((A121-1)/$M$2)+1)</f>
        <v>3</v>
      </c>
      <c r="E121" s="301">
        <f ca="1">IF(A121&gt;Start.listina!$K$7,"",MIN(F121:L121))</f>
        <v>143</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143</v>
      </c>
      <c r="N121" s="2"/>
      <c r="O121" s="2"/>
      <c r="P121" s="2"/>
      <c r="Q121" s="2"/>
      <c r="R121" s="2"/>
      <c r="S121" s="2"/>
      <c r="T121" s="2"/>
      <c r="U121" s="2"/>
      <c r="V121" s="2"/>
      <c r="W121" s="2"/>
      <c r="X121" s="2"/>
      <c r="Y121" s="2"/>
      <c r="Z121" s="2"/>
      <c r="AA121" s="2"/>
      <c r="AB121" s="2"/>
      <c r="AC121" s="2"/>
      <c r="AD121" s="2"/>
      <c r="AE121" s="2"/>
      <c r="AF121" s="2"/>
      <c r="AG121" s="2"/>
      <c r="AH121" s="2"/>
    </row>
    <row r="122" spans="1:34">
      <c r="A122">
        <f ca="1">IF(OR(Start.listina!H130&gt;Start.listina!$K$7,Start.listina!G130=TRUE),"",Start.listina!H130)</f>
        <v>120</v>
      </c>
      <c r="B122" s="2" t="str">
        <f ca="1">IF(A122&gt;Start.listina!$K$7,"",ADDRESS(INT((A122-1)/$M$2)+1,IF(MOD(A122,$M$2)=0,IF(MOD(INT((A122-1)/$M$2)+1,2)=1,$M$2,1),IF(MOD(INT((A122-1)/$M$2)+1,2)=1,MOD(A122,$M$2),$M$2-MOD(A122,$M$2)+1)),4,1))</f>
        <v>AH3</v>
      </c>
      <c r="C122" s="11" t="str">
        <f ca="1">Start.listina!$AL130</f>
        <v>120 Petank Club Praha - Křešťáková Jana</v>
      </c>
      <c r="D122" s="2">
        <f ca="1">IF(A122&gt;Start.listina!$K$7,"",INT((A122-1)/$M$2)+1)</f>
        <v>3</v>
      </c>
      <c r="E122" s="301">
        <f ca="1">IF(A122&gt;Start.listina!$K$7,"",MIN(F122:L122))</f>
        <v>64</v>
      </c>
      <c r="F122" s="2">
        <f ca="1">IF(TYPE(VLOOKUP(C122,Konečné_pořadí_1_16!$B$2:$D$17,3,0))&lt;4,VLOOKUP(C122,Konečné_pořadí_1_16!$B$2:$D$17,3,0),999)</f>
        <v>999</v>
      </c>
      <c r="G122" s="2">
        <f ca="1">IF(TYPE(VLOOKUP(C122,'KO64'!$D$4:$D$129,1,0))&lt;4,64,999)</f>
        <v>64</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143</v>
      </c>
      <c r="N122" s="2"/>
      <c r="O122" s="2"/>
      <c r="P122" s="2"/>
      <c r="Q122" s="2"/>
      <c r="R122" s="2"/>
      <c r="S122" s="2"/>
      <c r="T122" s="2"/>
      <c r="U122" s="2"/>
      <c r="V122" s="2"/>
      <c r="W122" s="2"/>
      <c r="X122" s="2"/>
      <c r="Y122" s="2"/>
      <c r="Z122" s="2"/>
      <c r="AA122" s="2"/>
      <c r="AB122" s="2"/>
      <c r="AC122" s="2"/>
      <c r="AD122" s="2"/>
      <c r="AE122" s="2"/>
      <c r="AF122" s="2"/>
      <c r="AG122" s="2"/>
      <c r="AH122" s="2"/>
    </row>
    <row r="123" spans="1:34">
      <c r="A123">
        <f ca="1">IF(OR(Start.listina!H131&gt;Start.listina!$K$7,Start.listina!G131=TRUE),"",Start.listina!H131)</f>
        <v>121</v>
      </c>
      <c r="B123" s="2" t="str">
        <f ca="1">IF(A123&gt;Start.listina!$K$7,"",ADDRESS(INT((A123-1)/$M$2)+1,IF(MOD(A123,$M$2)=0,IF(MOD(INT((A123-1)/$M$2)+1,2)=1,$M$2,1),IF(MOD(INT((A123-1)/$M$2)+1,2)=1,MOD(A123,$M$2),$M$2-MOD(A123,$M$2)+1)),4,1))</f>
        <v>AI3</v>
      </c>
      <c r="C123" s="11" t="str">
        <f ca="1">Start.listina!$AL131</f>
        <v>121 PCP Lipník - Kmoch Miroslav</v>
      </c>
      <c r="D123" s="2">
        <f ca="1">IF(A123&gt;Start.listina!$K$7,"",INT((A123-1)/$M$2)+1)</f>
        <v>3</v>
      </c>
      <c r="E123" s="301">
        <f ca="1">IF(A123&gt;Start.listina!$K$7,"",MIN(F123:L123))</f>
        <v>64</v>
      </c>
      <c r="F123" s="2">
        <f ca="1">IF(TYPE(VLOOKUP(C123,Konečné_pořadí_1_16!$B$2:$D$17,3,0))&lt;4,VLOOKUP(C123,Konečné_pořadí_1_16!$B$2:$D$17,3,0),999)</f>
        <v>999</v>
      </c>
      <c r="G123" s="2">
        <f ca="1">IF(TYPE(VLOOKUP(C123,'KO64'!$D$4:$D$129,1,0))&lt;4,64,999)</f>
        <v>64</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143</v>
      </c>
      <c r="N123" s="2"/>
      <c r="O123" s="2"/>
      <c r="P123" s="2"/>
      <c r="Q123" s="2"/>
      <c r="R123" s="2"/>
      <c r="S123" s="2"/>
      <c r="T123" s="2"/>
      <c r="U123" s="2"/>
      <c r="V123" s="2"/>
      <c r="W123" s="2"/>
      <c r="X123" s="2"/>
      <c r="Y123" s="2"/>
      <c r="Z123" s="2"/>
      <c r="AA123" s="2"/>
      <c r="AB123" s="2"/>
      <c r="AC123" s="2"/>
      <c r="AD123" s="2"/>
      <c r="AE123" s="2"/>
      <c r="AF123" s="2"/>
      <c r="AG123" s="2"/>
      <c r="AH123" s="2"/>
    </row>
    <row r="124" spans="1:34">
      <c r="A124">
        <f ca="1">IF(OR(Start.listina!H132&gt;Start.listina!$K$7,Start.listina!G132=TRUE),"",Start.listina!H132)</f>
        <v>122</v>
      </c>
      <c r="B124" s="2" t="str">
        <f ca="1">IF(A124&gt;Start.listina!$K$7,"",ADDRESS(INT((A124-1)/$M$2)+1,IF(MOD(A124,$M$2)=0,IF(MOD(INT((A124-1)/$M$2)+1,2)=1,$M$2,1),IF(MOD(INT((A124-1)/$M$2)+1,2)=1,MOD(A124,$M$2),$M$2-MOD(A124,$M$2)+1)),4,1))</f>
        <v>AJ3</v>
      </c>
      <c r="C124" s="11" t="str">
        <f ca="1">Start.listina!$AL132</f>
        <v>122 SK Pétanque Řepy - Koňasová Hana</v>
      </c>
      <c r="D124" s="2">
        <f ca="1">IF(A124&gt;Start.listina!$K$7,"",INT((A124-1)/$M$2)+1)</f>
        <v>3</v>
      </c>
      <c r="E124" s="301">
        <f ca="1">IF(A124&gt;Start.listina!$K$7,"",MIN(F124:L124))</f>
        <v>143</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143</v>
      </c>
      <c r="N124" s="2"/>
      <c r="O124" s="2"/>
      <c r="P124" s="2"/>
      <c r="Q124" s="2"/>
      <c r="R124" s="2"/>
      <c r="S124" s="2"/>
      <c r="T124" s="2"/>
      <c r="U124" s="2"/>
      <c r="V124" s="2"/>
      <c r="W124" s="2"/>
      <c r="X124" s="2"/>
      <c r="Y124" s="2"/>
      <c r="Z124" s="2"/>
      <c r="AA124" s="2"/>
      <c r="AB124" s="2"/>
      <c r="AC124" s="2"/>
      <c r="AD124" s="2"/>
      <c r="AE124" s="2"/>
      <c r="AF124" s="2"/>
      <c r="AG124" s="2"/>
      <c r="AH124" s="2"/>
    </row>
    <row r="125" spans="1:34">
      <c r="A125">
        <f ca="1">IF(OR(Start.listina!H133&gt;Start.listina!$K$7,Start.listina!G133=TRUE),"",Start.listina!H133)</f>
        <v>123</v>
      </c>
      <c r="B125" s="2" t="str">
        <f ca="1">IF(A125&gt;Start.listina!$K$7,"",ADDRESS(INT((A125-1)/$M$2)+1,IF(MOD(A125,$M$2)=0,IF(MOD(INT((A125-1)/$M$2)+1,2)=1,$M$2,1),IF(MOD(INT((A125-1)/$M$2)+1,2)=1,MOD(A125,$M$2),$M$2-MOD(A125,$M$2)+1)),4,1))</f>
        <v>AK3</v>
      </c>
      <c r="C125" s="11" t="str">
        <f ca="1">Start.listina!$AL133</f>
        <v>123 SK Pétanque Řepy - Josífková Eva</v>
      </c>
      <c r="D125" s="2">
        <f ca="1">IF(A125&gt;Start.listina!$K$7,"",INT((A125-1)/$M$2)+1)</f>
        <v>3</v>
      </c>
      <c r="E125" s="301">
        <f ca="1">IF(A125&gt;Start.listina!$K$7,"",MIN(F125:L125))</f>
        <v>143</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143</v>
      </c>
      <c r="N125" s="2"/>
      <c r="O125" s="2"/>
      <c r="P125" s="2"/>
      <c r="Q125" s="2"/>
      <c r="R125" s="2"/>
      <c r="S125" s="2"/>
      <c r="T125" s="2"/>
      <c r="U125" s="2"/>
      <c r="V125" s="2"/>
      <c r="W125" s="2"/>
      <c r="X125" s="2"/>
      <c r="Y125" s="2"/>
      <c r="Z125" s="2"/>
      <c r="AA125" s="2"/>
      <c r="AB125" s="2"/>
      <c r="AC125" s="2"/>
      <c r="AD125" s="2"/>
      <c r="AE125" s="2"/>
      <c r="AF125" s="2"/>
      <c r="AG125" s="2"/>
      <c r="AH125" s="2"/>
    </row>
    <row r="126" spans="1:34">
      <c r="A126">
        <f ca="1">IF(OR(Start.listina!H134&gt;Start.listina!$K$7,Start.listina!G134=TRUE),"",Start.listina!H134)</f>
        <v>124</v>
      </c>
      <c r="B126" s="2" t="str">
        <f ca="1">IF(A126&gt;Start.listina!$K$7,"",ADDRESS(INT((A126-1)/$M$2)+1,IF(MOD(A126,$M$2)=0,IF(MOD(INT((A126-1)/$M$2)+1,2)=1,$M$2,1),IF(MOD(INT((A126-1)/$M$2)+1,2)=1,MOD(A126,$M$2),$M$2-MOD(A126,$M$2)+1)),4,1))</f>
        <v>AL3</v>
      </c>
      <c r="C126" s="11" t="str">
        <f ca="1">Start.listina!$AL134</f>
        <v>124 SK Sahara Vědomice - Suchomel Luděk</v>
      </c>
      <c r="D126" s="2">
        <f ca="1">IF(A126&gt;Start.listina!$K$7,"",INT((A126-1)/$M$2)+1)</f>
        <v>3</v>
      </c>
      <c r="E126" s="301">
        <f ca="1">IF(A126&gt;Start.listina!$K$7,"",MIN(F126:L126))</f>
        <v>143</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143</v>
      </c>
      <c r="N126" s="2"/>
      <c r="O126" s="2"/>
      <c r="P126" s="2"/>
      <c r="Q126" s="2"/>
      <c r="R126" s="2"/>
      <c r="S126" s="2"/>
      <c r="T126" s="2"/>
      <c r="U126" s="2"/>
      <c r="V126" s="2"/>
      <c r="W126" s="2"/>
      <c r="X126" s="2"/>
      <c r="Y126" s="2"/>
      <c r="Z126" s="2"/>
      <c r="AA126" s="2"/>
      <c r="AB126" s="2"/>
      <c r="AC126" s="2"/>
      <c r="AD126" s="2"/>
      <c r="AE126" s="2"/>
      <c r="AF126" s="2"/>
      <c r="AG126" s="2"/>
      <c r="AH126" s="2"/>
    </row>
    <row r="127" spans="1:34">
      <c r="A127">
        <f ca="1">IF(OR(Start.listina!H135&gt;Start.listina!$K$7,Start.listina!G135=TRUE),"",Start.listina!H135)</f>
        <v>125</v>
      </c>
      <c r="B127" s="2" t="str">
        <f ca="1">IF(A127&gt;Start.listina!$K$7,"",ADDRESS(INT((A127-1)/$M$2)+1,IF(MOD(A127,$M$2)=0,IF(MOD(INT((A127-1)/$M$2)+1,2)=1,$M$2,1),IF(MOD(INT((A127-1)/$M$2)+1,2)=1,MOD(A127,$M$2),$M$2-MOD(A127,$M$2)+1)),4,1))</f>
        <v>AM3</v>
      </c>
      <c r="C127" s="11" t="str">
        <f ca="1">Start.listina!$AL135</f>
        <v>125 SK Pétanque Řepy - Váňová Věra</v>
      </c>
      <c r="D127" s="2">
        <f ca="1">IF(A127&gt;Start.listina!$K$7,"",INT((A127-1)/$M$2)+1)</f>
        <v>3</v>
      </c>
      <c r="E127" s="301">
        <f ca="1">IF(A127&gt;Start.listina!$K$7,"",MIN(F127:L127))</f>
        <v>143</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143</v>
      </c>
      <c r="N127" s="2"/>
      <c r="O127" s="2"/>
      <c r="P127" s="2"/>
      <c r="Q127" s="2"/>
      <c r="R127" s="2"/>
      <c r="S127" s="2"/>
      <c r="T127" s="2"/>
      <c r="U127" s="2"/>
      <c r="V127" s="2"/>
      <c r="W127" s="2"/>
      <c r="X127" s="2"/>
      <c r="Y127" s="2"/>
      <c r="Z127" s="2"/>
      <c r="AA127" s="2"/>
      <c r="AB127" s="2"/>
      <c r="AC127" s="2"/>
      <c r="AD127" s="2"/>
      <c r="AE127" s="2"/>
      <c r="AF127" s="2"/>
      <c r="AG127" s="2"/>
      <c r="AH127" s="2"/>
    </row>
    <row r="128" spans="1:34">
      <c r="A128">
        <f ca="1">IF(OR(Start.listina!H136&gt;Start.listina!$K$7,Start.listina!G136=TRUE),"",Start.listina!H136)</f>
        <v>126</v>
      </c>
      <c r="B128" s="2" t="str">
        <f ca="1">IF(A128&gt;Start.listina!$K$7,"",ADDRESS(INT((A128-1)/$M$2)+1,IF(MOD(A128,$M$2)=0,IF(MOD(INT((A128-1)/$M$2)+1,2)=1,$M$2,1),IF(MOD(INT((A128-1)/$M$2)+1,2)=1,MOD(A128,$M$2),$M$2-MOD(A128,$M$2)+1)),4,1))</f>
        <v>AN3</v>
      </c>
      <c r="C128" s="11" t="str">
        <f ca="1">Start.listina!$AL136</f>
        <v>126 1. KPK Vrchlabí - Lukeš Jakub</v>
      </c>
      <c r="D128" s="2">
        <f ca="1">IF(A128&gt;Start.listina!$K$7,"",INT((A128-1)/$M$2)+1)</f>
        <v>3</v>
      </c>
      <c r="E128" s="301">
        <f ca="1">IF(A128&gt;Start.listina!$K$7,"",MIN(F128:L128))</f>
        <v>64</v>
      </c>
      <c r="F128" s="2">
        <f ca="1">IF(TYPE(VLOOKUP(C128,Konečné_pořadí_1_16!$B$2:$D$17,3,0))&lt;4,VLOOKUP(C128,Konečné_pořadí_1_16!$B$2:$D$17,3,0),999)</f>
        <v>999</v>
      </c>
      <c r="G128" s="2">
        <f ca="1">IF(TYPE(VLOOKUP(C128,'KO64'!$D$4:$D$129,1,0))&lt;4,64,999)</f>
        <v>64</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143</v>
      </c>
      <c r="N128" s="2"/>
      <c r="O128" s="2"/>
      <c r="P128" s="2"/>
      <c r="Q128" s="2"/>
      <c r="R128" s="2"/>
      <c r="S128" s="2"/>
      <c r="T128" s="2"/>
      <c r="U128" s="2"/>
      <c r="V128" s="2"/>
      <c r="W128" s="2"/>
      <c r="X128" s="2"/>
      <c r="Y128" s="2"/>
      <c r="Z128" s="2"/>
      <c r="AA128" s="2"/>
      <c r="AB128" s="2"/>
      <c r="AC128" s="2"/>
      <c r="AD128" s="2"/>
      <c r="AE128" s="2"/>
      <c r="AF128" s="2"/>
      <c r="AG128" s="2"/>
      <c r="AH128" s="2"/>
    </row>
    <row r="129" spans="1:34">
      <c r="A129">
        <f ca="1">IF(OR(Start.listina!H137&gt;Start.listina!$K$7,Start.listina!G137=TRUE),"",Start.listina!H137)</f>
        <v>127</v>
      </c>
      <c r="B129" s="2" t="str">
        <f ca="1">IF(A129&gt;Start.listina!$K$7,"",ADDRESS(INT((A129-1)/$M$2)+1,IF(MOD(A129,$M$2)=0,IF(MOD(INT((A129-1)/$M$2)+1,2)=1,$M$2,1),IF(MOD(INT((A129-1)/$M$2)+1,2)=1,MOD(A129,$M$2),$M$2-MOD(A129,$M$2)+1)),4,1))</f>
        <v>AO3</v>
      </c>
      <c r="C129" s="11" t="str">
        <f ca="1">Start.listina!$AL137</f>
        <v>127 JAPKO - Fukal Milan</v>
      </c>
      <c r="D129" s="2">
        <f ca="1">IF(A129&gt;Start.listina!$K$7,"",INT((A129-1)/$M$2)+1)</f>
        <v>3</v>
      </c>
      <c r="E129" s="301">
        <f ca="1">IF(A129&gt;Start.listina!$K$7,"",MIN(F129:L129))</f>
        <v>64</v>
      </c>
      <c r="F129" s="2">
        <f ca="1">IF(TYPE(VLOOKUP(C129,Konečné_pořadí_1_16!$B$2:$D$17,3,0))&lt;4,VLOOKUP(C129,Konečné_pořadí_1_16!$B$2:$D$17,3,0),999)</f>
        <v>999</v>
      </c>
      <c r="G129" s="2">
        <f ca="1">IF(TYPE(VLOOKUP(C129,'KO64'!$D$4:$D$129,1,0))&lt;4,64,999)</f>
        <v>64</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143</v>
      </c>
      <c r="N129" s="2"/>
      <c r="O129" s="2"/>
      <c r="P129" s="2"/>
      <c r="Q129" s="2"/>
      <c r="R129" s="2"/>
      <c r="S129" s="2"/>
      <c r="T129" s="2"/>
      <c r="U129" s="2"/>
      <c r="V129" s="2"/>
      <c r="W129" s="2"/>
      <c r="X129" s="2"/>
      <c r="Y129" s="2"/>
      <c r="Z129" s="2"/>
      <c r="AA129" s="2"/>
      <c r="AB129" s="2"/>
      <c r="AC129" s="2"/>
      <c r="AD129" s="2"/>
      <c r="AE129" s="2"/>
      <c r="AF129" s="2"/>
      <c r="AG129" s="2"/>
      <c r="AH129" s="2"/>
    </row>
    <row r="130" spans="1:34">
      <c r="A130">
        <f ca="1">IF(OR(Start.listina!H138&gt;Start.listina!$K$7,Start.listina!G138=TRUE),"",Start.listina!H138)</f>
        <v>128</v>
      </c>
      <c r="B130" s="2" t="str">
        <f ca="1">IF(A130&gt;Start.listina!$K$7,"",ADDRESS(INT((A130-1)/$M$2)+1,IF(MOD(A130,$M$2)=0,IF(MOD(INT((A130-1)/$M$2)+1,2)=1,$M$2,1),IF(MOD(INT((A130-1)/$M$2)+1,2)=1,MOD(A130,$M$2),$M$2-MOD(A130,$M$2)+1)),4,1))</f>
        <v>AP3</v>
      </c>
      <c r="C130" s="11" t="str">
        <f ca="1">Start.listina!$AL138</f>
        <v>128 PC Mimo Done - Duška Miloš</v>
      </c>
      <c r="D130" s="2">
        <f ca="1">IF(A130&gt;Start.listina!$K$7,"",INT((A130-1)/$M$2)+1)</f>
        <v>3</v>
      </c>
      <c r="E130" s="301">
        <f ca="1">IF(A130&gt;Start.listina!$K$7,"",MIN(F130:L130))</f>
        <v>143</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143</v>
      </c>
      <c r="N130" s="2"/>
      <c r="O130" s="2"/>
      <c r="P130" s="2"/>
      <c r="Q130" s="2"/>
      <c r="R130" s="2"/>
      <c r="S130" s="2"/>
      <c r="T130" s="2"/>
      <c r="U130" s="2"/>
      <c r="V130" s="2"/>
      <c r="W130" s="2"/>
      <c r="X130" s="2"/>
      <c r="Y130" s="2"/>
      <c r="Z130" s="2"/>
      <c r="AA130" s="2"/>
      <c r="AB130" s="2"/>
      <c r="AC130" s="2"/>
      <c r="AD130" s="2"/>
      <c r="AE130" s="2"/>
      <c r="AF130" s="2"/>
      <c r="AG130" s="2"/>
      <c r="AH130" s="2"/>
    </row>
    <row r="131" spans="1:34">
      <c r="A131">
        <f ca="1">IF(OR(Start.listina!H139&gt;Start.listina!$K$7,Start.listina!G139=TRUE),"",Start.listina!H139)</f>
        <v>129</v>
      </c>
      <c r="B131" s="2" t="str">
        <f ca="1">IF(A131&gt;Start.listina!$K$7,"",ADDRESS(INT((A131-1)/$M$2)+1,IF(MOD(A131,$M$2)=0,IF(MOD(INT((A131-1)/$M$2)+1,2)=1,$M$2,1),IF(MOD(INT((A131-1)/$M$2)+1,2)=1,MOD(A131,$M$2),$M$2-MOD(A131,$M$2)+1)),4,1))</f>
        <v>AQ3</v>
      </c>
      <c r="C131" s="11" t="str">
        <f ca="1">Start.listina!$AL139</f>
        <v>129 SK Pétanque Řepy - Gazdíková Jiřina</v>
      </c>
      <c r="D131" s="2">
        <f ca="1">IF(A131&gt;Start.listina!$K$7,"",INT((A131-1)/$M$2)+1)</f>
        <v>3</v>
      </c>
      <c r="E131" s="301">
        <f ca="1">IF(A131&gt;Start.listina!$K$7,"",MIN(F131:L131))</f>
        <v>0</v>
      </c>
    </row>
    <row r="132" spans="1:34">
      <c r="A132">
        <f ca="1">IF(OR(Start.listina!H140&gt;Start.listina!$K$7,Start.listina!G140=TRUE),"",Start.listina!H140)</f>
        <v>130</v>
      </c>
      <c r="B132" s="2" t="str">
        <f ca="1">IF(A132&gt;Start.listina!$K$7,"",ADDRESS(INT((A132-1)/$M$2)+1,IF(MOD(A132,$M$2)=0,IF(MOD(INT((A132-1)/$M$2)+1,2)=1,$M$2,1),IF(MOD(INT((A132-1)/$M$2)+1,2)=1,MOD(A132,$M$2),$M$2-MOD(A132,$M$2)+1)),4,1))</f>
        <v>AQ4</v>
      </c>
      <c r="C132" s="11" t="str">
        <f ca="1">Start.listina!$AL140</f>
        <v>130 PEK Stolín - Rousková Nina</v>
      </c>
      <c r="D132" s="2">
        <f ca="1">IF(A132&gt;Start.listina!$K$7,"",INT((A132-1)/$M$2)+1)</f>
        <v>4</v>
      </c>
      <c r="E132" s="301">
        <f ca="1">IF(A132&gt;Start.listina!$K$7,"",MIN(F132:L132))</f>
        <v>0</v>
      </c>
    </row>
    <row r="133" spans="1:34">
      <c r="A133">
        <f ca="1">IF(OR(Start.listina!H141&gt;Start.listina!$K$7,Start.listina!G141=TRUE),"",Start.listina!H141)</f>
        <v>131</v>
      </c>
      <c r="B133" s="2" t="str">
        <f ca="1">IF(A133&gt;Start.listina!$K$7,"",ADDRESS(INT((A133-1)/$M$2)+1,IF(MOD(A133,$M$2)=0,IF(MOD(INT((A133-1)/$M$2)+1,2)=1,$M$2,1),IF(MOD(INT((A133-1)/$M$2)+1,2)=1,MOD(A133,$M$2),$M$2-MOD(A133,$M$2)+1)),4,1))</f>
        <v>AP4</v>
      </c>
      <c r="C133" s="11" t="str">
        <f ca="1">Start.listina!$AL141</f>
        <v>131 PKT Velký Šanc - Sedláčková Hedvika</v>
      </c>
      <c r="D133" s="2">
        <f ca="1">IF(A133&gt;Start.listina!$K$7,"",INT((A133-1)/$M$2)+1)</f>
        <v>4</v>
      </c>
      <c r="E133" s="301">
        <f ca="1">IF(A133&gt;Start.listina!$K$7,"",MIN(F133:L133))</f>
        <v>0</v>
      </c>
    </row>
    <row r="134" spans="1:34">
      <c r="A134">
        <f ca="1">IF(OR(Start.listina!H142&gt;Start.listina!$K$7,Start.listina!G142=TRUE),"",Start.listina!H142)</f>
        <v>132</v>
      </c>
      <c r="B134" s="2" t="str">
        <f ca="1">IF(A134&gt;Start.listina!$K$7,"",ADDRESS(INT((A134-1)/$M$2)+1,IF(MOD(A134,$M$2)=0,IF(MOD(INT((A134-1)/$M$2)+1,2)=1,$M$2,1),IF(MOD(INT((A134-1)/$M$2)+1,2)=1,MOD(A134,$M$2),$M$2-MOD(A134,$M$2)+1)),4,1))</f>
        <v>AO4</v>
      </c>
      <c r="C134" s="11" t="str">
        <f ca="1">Start.listina!$AL142</f>
        <v>132 SK Pétanque Řepy - Čapková Věra</v>
      </c>
      <c r="D134" s="2">
        <f ca="1">IF(A134&gt;Start.listina!$K$7,"",INT((A134-1)/$M$2)+1)</f>
        <v>4</v>
      </c>
      <c r="E134" s="301">
        <f ca="1">IF(A134&gt;Start.listina!$K$7,"",MIN(F134:L134))</f>
        <v>0</v>
      </c>
    </row>
    <row r="135" spans="1:34">
      <c r="A135">
        <f ca="1">IF(OR(Start.listina!H143&gt;Start.listina!$K$7,Start.listina!G143=TRUE),"",Start.listina!H143)</f>
        <v>133</v>
      </c>
      <c r="B135" s="2" t="str">
        <f ca="1">IF(A135&gt;Start.listina!$K$7,"",ADDRESS(INT((A135-1)/$M$2)+1,IF(MOD(A135,$M$2)=0,IF(MOD(INT((A135-1)/$M$2)+1,2)=1,$M$2,1),IF(MOD(INT((A135-1)/$M$2)+1,2)=1,MOD(A135,$M$2),$M$2-MOD(A135,$M$2)+1)),4,1))</f>
        <v>AN4</v>
      </c>
      <c r="C135" s="11" t="str">
        <f ca="1">Start.listina!$AL143</f>
        <v>133 FRAPECO - Husáková Petra</v>
      </c>
      <c r="D135" s="2">
        <f ca="1">IF(A135&gt;Start.listina!$K$7,"",INT((A135-1)/$M$2)+1)</f>
        <v>4</v>
      </c>
      <c r="E135" s="301">
        <f ca="1">IF(A135&gt;Start.listina!$K$7,"",MIN(F135:L135))</f>
        <v>0</v>
      </c>
    </row>
    <row r="136" spans="1:34">
      <c r="A136">
        <f ca="1">IF(OR(Start.listina!H144&gt;Start.listina!$K$7,Start.listina!G144=TRUE),"",Start.listina!H144)</f>
        <v>134</v>
      </c>
      <c r="B136" s="2" t="str">
        <f ca="1">IF(A136&gt;Start.listina!$K$7,"",ADDRESS(INT((A136-1)/$M$2)+1,IF(MOD(A136,$M$2)=0,IF(MOD(INT((A136-1)/$M$2)+1,2)=1,$M$2,1),IF(MOD(INT((A136-1)/$M$2)+1,2)=1,MOD(A136,$M$2),$M$2-MOD(A136,$M$2)+1)),4,1))</f>
        <v>AM4</v>
      </c>
      <c r="C136" s="11" t="str">
        <f ca="1">Start.listina!$AL144</f>
        <v>134 UBU Únětice - Kolaříková Josefína</v>
      </c>
      <c r="D136" s="2">
        <f ca="1">IF(A136&gt;Start.listina!$K$7,"",INT((A136-1)/$M$2)+1)</f>
        <v>4</v>
      </c>
      <c r="E136" s="301">
        <f ca="1">IF(A136&gt;Start.listina!$K$7,"",MIN(F136:L136))</f>
        <v>0</v>
      </c>
    </row>
    <row r="137" spans="1:34">
      <c r="A137">
        <f ca="1">IF(OR(Start.listina!H145&gt;Start.listina!$K$7,Start.listina!G145=TRUE),"",Start.listina!H145)</f>
        <v>135</v>
      </c>
      <c r="B137" s="2" t="str">
        <f ca="1">IF(A137&gt;Start.listina!$K$7,"",ADDRESS(INT((A137-1)/$M$2)+1,IF(MOD(A137,$M$2)=0,IF(MOD(INT((A137-1)/$M$2)+1,2)=1,$M$2,1),IF(MOD(INT((A137-1)/$M$2)+1,2)=1,MOD(A137,$M$2),$M$2-MOD(A137,$M$2)+1)),4,1))</f>
        <v>AL4</v>
      </c>
      <c r="C137" s="11" t="str">
        <f ca="1">Start.listina!$AL145</f>
        <v>135 VARAN - Tintěrová Kateřina</v>
      </c>
      <c r="D137" s="2">
        <f ca="1">IF(A137&gt;Start.listina!$K$7,"",INT((A137-1)/$M$2)+1)</f>
        <v>4</v>
      </c>
      <c r="E137" s="301">
        <f ca="1">IF(A137&gt;Start.listina!$K$7,"",MIN(F137:L137))</f>
        <v>0</v>
      </c>
    </row>
    <row r="138" spans="1:34">
      <c r="A138">
        <f ca="1">IF(OR(Start.listina!H146&gt;Start.listina!$K$7,Start.listina!G146=TRUE),"",Start.listina!H146)</f>
        <v>136</v>
      </c>
      <c r="B138" s="2" t="str">
        <f ca="1">IF(A138&gt;Start.listina!$K$7,"",ADDRESS(INT((A138-1)/$M$2)+1,IF(MOD(A138,$M$2)=0,IF(MOD(INT((A138-1)/$M$2)+1,2)=1,$M$2,1),IF(MOD(INT((A138-1)/$M$2)+1,2)=1,MOD(A138,$M$2),$M$2-MOD(A138,$M$2)+1)),4,1))</f>
        <v>AK4</v>
      </c>
      <c r="C138" s="11" t="str">
        <f ca="1">Start.listina!$AL146</f>
        <v>136 PC Sokol PP Hr. Králové - Vávrová Ivana</v>
      </c>
      <c r="D138" s="2">
        <f ca="1">IF(A138&gt;Start.listina!$K$7,"",INT((A138-1)/$M$2)+1)</f>
        <v>4</v>
      </c>
      <c r="E138" s="301">
        <f ca="1">IF(A138&gt;Start.listina!$K$7,"",MIN(F138:L138))</f>
        <v>0</v>
      </c>
    </row>
    <row r="139" spans="1:34">
      <c r="A139">
        <f ca="1">IF(OR(Start.listina!H147&gt;Start.listina!$K$7,Start.listina!G147=TRUE),"",Start.listina!H147)</f>
        <v>137</v>
      </c>
      <c r="B139" s="2" t="str">
        <f ca="1">IF(A139&gt;Start.listina!$K$7,"",ADDRESS(INT((A139-1)/$M$2)+1,IF(MOD(A139,$M$2)=0,IF(MOD(INT((A139-1)/$M$2)+1,2)=1,$M$2,1),IF(MOD(INT((A139-1)/$M$2)+1,2)=1,MOD(A139,$M$2),$M$2-MOD(A139,$M$2)+1)),4,1))</f>
        <v>AJ4</v>
      </c>
      <c r="C139" s="11" t="str">
        <f ca="1">Start.listina!$AL147</f>
        <v>137 SK Pétanque Řepy - Klazarová Vlasta</v>
      </c>
      <c r="D139" s="2">
        <f ca="1">IF(A139&gt;Start.listina!$K$7,"",INT((A139-1)/$M$2)+1)</f>
        <v>4</v>
      </c>
      <c r="E139" s="301">
        <f ca="1">IF(A139&gt;Start.listina!$K$7,"",MIN(F139:L139))</f>
        <v>0</v>
      </c>
    </row>
    <row r="140" spans="1:34">
      <c r="A140">
        <f ca="1">IF(OR(Start.listina!H148&gt;Start.listina!$K$7,Start.listina!G148=TRUE),"",Start.listina!H148)</f>
        <v>138</v>
      </c>
      <c r="B140" s="2" t="str">
        <f ca="1">IF(A140&gt;Start.listina!$K$7,"",ADDRESS(INT((A140-1)/$M$2)+1,IF(MOD(A140,$M$2)=0,IF(MOD(INT((A140-1)/$M$2)+1,2)=1,$M$2,1),IF(MOD(INT((A140-1)/$M$2)+1,2)=1,MOD(A140,$M$2),$M$2-MOD(A140,$M$2)+1)),4,1))</f>
        <v>AI4</v>
      </c>
      <c r="C140" s="11" t="str">
        <f ca="1">Start.listina!$AL148</f>
        <v>138 SK Pétanque Řepy - Mullerová Jiřina</v>
      </c>
      <c r="D140" s="2">
        <f ca="1">IF(A140&gt;Start.listina!$K$7,"",INT((A140-1)/$M$2)+1)</f>
        <v>4</v>
      </c>
      <c r="E140" s="301">
        <f ca="1">IF(A140&gt;Start.listina!$K$7,"",MIN(F140:L140))</f>
        <v>0</v>
      </c>
    </row>
    <row r="141" spans="1:34">
      <c r="A141">
        <f ca="1">IF(OR(Start.listina!H149&gt;Start.listina!$K$7,Start.listina!G149=TRUE),"",Start.listina!H149)</f>
        <v>139</v>
      </c>
      <c r="B141" s="2" t="str">
        <f ca="1">IF(A141&gt;Start.listina!$K$7,"",ADDRESS(INT((A141-1)/$M$2)+1,IF(MOD(A141,$M$2)=0,IF(MOD(INT((A141-1)/$M$2)+1,2)=1,$M$2,1),IF(MOD(INT((A141-1)/$M$2)+1,2)=1,MOD(A141,$M$2),$M$2-MOD(A141,$M$2)+1)),4,1))</f>
        <v>AH4</v>
      </c>
      <c r="C141" s="11" t="str">
        <f ca="1">Start.listina!$AL149</f>
        <v>139 ČPK Poděbrady - Karbulka Jan</v>
      </c>
      <c r="D141" s="2">
        <f ca="1">IF(A141&gt;Start.listina!$K$7,"",INT((A141-1)/$M$2)+1)</f>
        <v>4</v>
      </c>
      <c r="E141" s="301">
        <f ca="1">IF(A141&gt;Start.listina!$K$7,"",MIN(F141:L141))</f>
        <v>0</v>
      </c>
    </row>
    <row r="142" spans="1:34">
      <c r="A142">
        <f ca="1">IF(OR(Start.listina!H150&gt;Start.listina!$K$7,Start.listina!G150=TRUE),"",Start.listina!H150)</f>
        <v>140</v>
      </c>
      <c r="B142" s="2" t="str">
        <f ca="1">IF(A142&gt;Start.listina!$K$7,"",ADDRESS(INT((A142-1)/$M$2)+1,IF(MOD(A142,$M$2)=0,IF(MOD(INT((A142-1)/$M$2)+1,2)=1,$M$2,1),IF(MOD(INT((A142-1)/$M$2)+1,2)=1,MOD(A142,$M$2),$M$2-MOD(A142,$M$2)+1)),4,1))</f>
        <v>AG4</v>
      </c>
      <c r="C142" s="11" t="str">
        <f ca="1">Start.listina!$AL150</f>
        <v>140 PKT Velký Šanc - Loprais Zdeněk</v>
      </c>
      <c r="D142" s="2">
        <f ca="1">IF(A142&gt;Start.listina!$K$7,"",INT((A142-1)/$M$2)+1)</f>
        <v>4</v>
      </c>
      <c r="E142" s="301">
        <f ca="1">IF(A142&gt;Start.listina!$K$7,"",MIN(F142:L142))</f>
        <v>0</v>
      </c>
    </row>
    <row r="143" spans="1:34">
      <c r="A143">
        <f ca="1">IF(OR(Start.listina!H151&gt;Start.listina!$K$7,Start.listina!G151=TRUE),"",Start.listina!H151)</f>
        <v>141</v>
      </c>
      <c r="B143" s="2" t="str">
        <f ca="1">IF(A143&gt;Start.listina!$K$7,"",ADDRESS(INT((A143-1)/$M$2)+1,IF(MOD(A143,$M$2)=0,IF(MOD(INT((A143-1)/$M$2)+1,2)=1,$M$2,1),IF(MOD(INT((A143-1)/$M$2)+1,2)=1,MOD(A143,$M$2),$M$2-MOD(A143,$M$2)+1)),4,1))</f>
        <v>AF4</v>
      </c>
      <c r="C143" s="11" t="str">
        <f ca="1">Start.listina!$AL151</f>
        <v>141 PC Sokol PP Hr. Králové - Jarouš Vítek</v>
      </c>
      <c r="D143" s="2">
        <f ca="1">IF(A143&gt;Start.listina!$K$7,"",INT((A143-1)/$M$2)+1)</f>
        <v>4</v>
      </c>
      <c r="E143" s="301">
        <f ca="1">IF(A143&gt;Start.listina!$K$7,"",MIN(F143:L143))</f>
        <v>0</v>
      </c>
    </row>
    <row r="144" spans="1:34">
      <c r="A144">
        <f ca="1">IF(OR(Start.listina!H152&gt;Start.listina!$K$7,Start.listina!G152=TRUE),"",Start.listina!H152)</f>
        <v>142</v>
      </c>
      <c r="B144" s="2" t="str">
        <f ca="1">IF(A144&gt;Start.listina!$K$7,"",ADDRESS(INT((A144-1)/$M$2)+1,IF(MOD(A144,$M$2)=0,IF(MOD(INT((A144-1)/$M$2)+1,2)=1,$M$2,1),IF(MOD(INT((A144-1)/$M$2)+1,2)=1,MOD(A144,$M$2),$M$2-MOD(A144,$M$2)+1)),4,1))</f>
        <v>AE4</v>
      </c>
      <c r="C144" s="11" t="str">
        <f ca="1">Start.listina!$AL152</f>
        <v>142 PEK Stolín - Rousek Simon</v>
      </c>
      <c r="D144" s="2">
        <f ca="1">IF(A144&gt;Start.listina!$K$7,"",INT((A144-1)/$M$2)+1)</f>
        <v>4</v>
      </c>
      <c r="E144" s="301">
        <f ca="1">IF(A144&gt;Start.listina!$K$7,"",MIN(F144:L144))</f>
        <v>0</v>
      </c>
    </row>
    <row r="145" spans="1:5">
      <c r="A145">
        <f ca="1">IF(OR(Start.listina!H153&gt;Start.listina!$K$7,Start.listina!G153=TRUE),"",Start.listina!H153)</f>
        <v>143</v>
      </c>
      <c r="B145" s="2" t="str">
        <f ca="1">IF(A145&gt;Start.listina!$K$7,"",ADDRESS(INT((A145-1)/$M$2)+1,IF(MOD(A145,$M$2)=0,IF(MOD(INT((A145-1)/$M$2)+1,2)=1,$M$2,1),IF(MOD(INT((A145-1)/$M$2)+1,2)=1,MOD(A145,$M$2),$M$2-MOD(A145,$M$2)+1)),4,1))</f>
        <v>AD4</v>
      </c>
      <c r="C145" s="11" t="str">
        <f ca="1">Start.listina!$AL153</f>
        <v>143 PEK Stolín - Geisler Dan</v>
      </c>
      <c r="D145" s="2">
        <f ca="1">IF(A145&gt;Start.listina!$K$7,"",INT((A145-1)/$M$2)+1)</f>
        <v>4</v>
      </c>
      <c r="E145" s="301">
        <f ca="1">IF(A145&gt;Start.listina!$K$7,"",MIN(F145:L145))</f>
        <v>0</v>
      </c>
    </row>
    <row r="146" spans="1:5">
      <c r="A146" t="str">
        <f ca="1">IF(OR(Start.listina!H154&gt;Start.listina!$K$7,Start.listina!G154=TRUE),"",Start.listina!H154)</f>
        <v/>
      </c>
      <c r="B146" s="2" t="str">
        <f ca="1">IF(A146&gt;Start.listina!$K$7,"",ADDRESS(INT((A146-1)/$M$2)+1,IF(MOD(A146,$M$2)=0,IF(MOD(INT((A146-1)/$M$2)+1,2)=1,$M$2,1),IF(MOD(INT((A146-1)/$M$2)+1,2)=1,MOD(A146,$M$2),$M$2-MOD(A146,$M$2)+1)),4,1))</f>
        <v/>
      </c>
      <c r="C146" s="11" t="str">
        <f ca="1">Start.listina!$AL154</f>
        <v/>
      </c>
      <c r="D146" s="2" t="str">
        <f ca="1">IF(A146&gt;Start.listina!$K$7,"",INT((A146-1)/$M$2)+1)</f>
        <v/>
      </c>
      <c r="E146" s="301" t="str">
        <f ca="1">IF(A146&gt;Start.listina!$K$7,"",MIN(F146:L146))</f>
        <v/>
      </c>
    </row>
    <row r="147" spans="1:5">
      <c r="A147" t="str">
        <f ca="1">IF(OR(Start.listina!H155&gt;Start.listina!$K$7,Start.listina!G155=TRUE),"",Start.listina!H155)</f>
        <v/>
      </c>
      <c r="B147" s="2" t="str">
        <f ca="1">IF(A147&gt;Start.listina!$K$7,"",ADDRESS(INT((A147-1)/$M$2)+1,IF(MOD(A147,$M$2)=0,IF(MOD(INT((A147-1)/$M$2)+1,2)=1,$M$2,1),IF(MOD(INT((A147-1)/$M$2)+1,2)=1,MOD(A147,$M$2),$M$2-MOD(A147,$M$2)+1)),4,1))</f>
        <v/>
      </c>
      <c r="C147" s="11" t="str">
        <f ca="1">Start.listina!$AL155</f>
        <v/>
      </c>
      <c r="D147" s="2" t="str">
        <f ca="1">IF(A147&gt;Start.listina!$K$7,"",INT((A147-1)/$M$2)+1)</f>
        <v/>
      </c>
      <c r="E147" s="301" t="str">
        <f ca="1">IF(A147&gt;Start.listina!$K$7,"",MIN(F147:L147))</f>
        <v/>
      </c>
    </row>
    <row r="148" spans="1:5">
      <c r="A148" t="str">
        <f ca="1">IF(OR(Start.listina!H156&gt;Start.listina!$K$7,Start.listina!G156=TRUE),"",Start.listina!H156)</f>
        <v/>
      </c>
      <c r="B148" s="2" t="str">
        <f ca="1">IF(A148&gt;Start.listina!$K$7,"",ADDRESS(INT((A148-1)/$M$2)+1,IF(MOD(A148,$M$2)=0,IF(MOD(INT((A148-1)/$M$2)+1,2)=1,$M$2,1),IF(MOD(INT((A148-1)/$M$2)+1,2)=1,MOD(A148,$M$2),$M$2-MOD(A148,$M$2)+1)),4,1))</f>
        <v/>
      </c>
      <c r="C148" s="11" t="str">
        <f ca="1">Start.listina!$AL156</f>
        <v/>
      </c>
      <c r="D148" s="2" t="str">
        <f ca="1">IF(A148&gt;Start.listina!$K$7,"",INT((A148-1)/$M$2)+1)</f>
        <v/>
      </c>
      <c r="E148" s="301" t="str">
        <f ca="1">IF(A148&gt;Start.listina!$K$7,"",MIN(F148:L148))</f>
        <v/>
      </c>
    </row>
    <row r="149" spans="1:5">
      <c r="A149" t="str">
        <f ca="1">IF(OR(Start.listina!H157&gt;Start.listina!$K$7,Start.listina!G157=TRUE),"",Start.listina!H157)</f>
        <v/>
      </c>
      <c r="B149" s="2" t="str">
        <f ca="1">IF(A149&gt;Start.listina!$K$7,"",ADDRESS(INT((A149-1)/$M$2)+1,IF(MOD(A149,$M$2)=0,IF(MOD(INT((A149-1)/$M$2)+1,2)=1,$M$2,1),IF(MOD(INT((A149-1)/$M$2)+1,2)=1,MOD(A149,$M$2),$M$2-MOD(A149,$M$2)+1)),4,1))</f>
        <v/>
      </c>
      <c r="C149" s="11" t="str">
        <f ca="1">Start.listina!$AL157</f>
        <v/>
      </c>
      <c r="D149" s="2" t="str">
        <f ca="1">IF(A149&gt;Start.listina!$K$7,"",INT((A149-1)/$M$2)+1)</f>
        <v/>
      </c>
      <c r="E149" s="301" t="str">
        <f ca="1">IF(A149&gt;Start.listina!$K$7,"",MIN(F149:L149))</f>
        <v/>
      </c>
    </row>
    <row r="150" spans="1:5">
      <c r="A150" t="str">
        <f ca="1">IF(OR(Start.listina!H158&gt;Start.listina!$K$7,Start.listina!G158=TRUE),"",Start.listina!H158)</f>
        <v/>
      </c>
      <c r="B150" s="2" t="str">
        <f ca="1">IF(A150&gt;Start.listina!$K$7,"",ADDRESS(INT((A150-1)/$M$2)+1,IF(MOD(A150,$M$2)=0,IF(MOD(INT((A150-1)/$M$2)+1,2)=1,$M$2,1),IF(MOD(INT((A150-1)/$M$2)+1,2)=1,MOD(A150,$M$2),$M$2-MOD(A150,$M$2)+1)),4,1))</f>
        <v/>
      </c>
      <c r="C150" s="11" t="str">
        <f ca="1">Start.listina!$AL158</f>
        <v/>
      </c>
      <c r="D150" s="2" t="str">
        <f ca="1">IF(A150&gt;Start.listina!$K$7,"",INT((A150-1)/$M$2)+1)</f>
        <v/>
      </c>
      <c r="E150" s="301" t="str">
        <f ca="1">IF(A150&gt;Start.listina!$K$7,"",MIN(F150:L150))</f>
        <v/>
      </c>
    </row>
    <row r="151" spans="1:5">
      <c r="A151" t="str">
        <f ca="1">IF(OR(Start.listina!H159&gt;Start.listina!$K$7,Start.listina!G159=TRUE),"",Start.listina!H159)</f>
        <v/>
      </c>
      <c r="B151" s="2" t="str">
        <f ca="1">IF(A151&gt;Start.listina!$K$7,"",ADDRESS(INT((A151-1)/$M$2)+1,IF(MOD(A151,$M$2)=0,IF(MOD(INT((A151-1)/$M$2)+1,2)=1,$M$2,1),IF(MOD(INT((A151-1)/$M$2)+1,2)=1,MOD(A151,$M$2),$M$2-MOD(A151,$M$2)+1)),4,1))</f>
        <v/>
      </c>
      <c r="C151" s="11" t="str">
        <f ca="1">Start.listina!$AL159</f>
        <v/>
      </c>
      <c r="D151" s="2" t="str">
        <f ca="1">IF(A151&gt;Start.listina!$K$7,"",INT((A151-1)/$M$2)+1)</f>
        <v/>
      </c>
      <c r="E151" s="301" t="str">
        <f ca="1">IF(A151&gt;Start.listina!$K$7,"",MIN(F151:L151))</f>
        <v/>
      </c>
    </row>
    <row r="152" spans="1:5">
      <c r="A152" t="str">
        <f ca="1">IF(OR(Start.listina!H160&gt;Start.listina!$K$7,Start.listina!G160=TRUE),"",Start.listina!H160)</f>
        <v/>
      </c>
      <c r="B152" s="2" t="str">
        <f ca="1">IF(A152&gt;Start.listina!$K$7,"",ADDRESS(INT((A152-1)/$M$2)+1,IF(MOD(A152,$M$2)=0,IF(MOD(INT((A152-1)/$M$2)+1,2)=1,$M$2,1),IF(MOD(INT((A152-1)/$M$2)+1,2)=1,MOD(A152,$M$2),$M$2-MOD(A152,$M$2)+1)),4,1))</f>
        <v/>
      </c>
      <c r="C152" s="11" t="str">
        <f ca="1">Start.listina!$AL160</f>
        <v/>
      </c>
      <c r="D152" s="2" t="str">
        <f ca="1">IF(A152&gt;Start.listina!$K$7,"",INT((A152-1)/$M$2)+1)</f>
        <v/>
      </c>
      <c r="E152" s="301" t="str">
        <f ca="1">IF(A152&gt;Start.listina!$K$7,"",MIN(F152:L152))</f>
        <v/>
      </c>
    </row>
    <row r="153" spans="1:5">
      <c r="A153" t="str">
        <f ca="1">IF(OR(Start.listina!H161&gt;Start.listina!$K$7,Start.listina!G161=TRUE),"",Start.listina!H161)</f>
        <v/>
      </c>
      <c r="B153" s="2" t="str">
        <f ca="1">IF(A153&gt;Start.listina!$K$7,"",ADDRESS(INT((A153-1)/$M$2)+1,IF(MOD(A153,$M$2)=0,IF(MOD(INT((A153-1)/$M$2)+1,2)=1,$M$2,1),IF(MOD(INT((A153-1)/$M$2)+1,2)=1,MOD(A153,$M$2),$M$2-MOD(A153,$M$2)+1)),4,1))</f>
        <v/>
      </c>
      <c r="C153" s="11" t="str">
        <f ca="1">Start.listina!$AL161</f>
        <v/>
      </c>
      <c r="D153" s="2" t="str">
        <f ca="1">IF(A153&gt;Start.listina!$K$7,"",INT((A153-1)/$M$2)+1)</f>
        <v/>
      </c>
      <c r="E153" s="301" t="str">
        <f ca="1">IF(A153&gt;Start.listina!$K$7,"",MIN(F153:L153))</f>
        <v/>
      </c>
    </row>
    <row r="154" spans="1:5">
      <c r="A154" t="str">
        <f ca="1">IF(OR(Start.listina!H162&gt;Start.listina!$K$7,Start.listina!G162=TRUE),"",Start.listina!H162)</f>
        <v/>
      </c>
      <c r="B154" s="2" t="str">
        <f ca="1">IF(A154&gt;Start.listina!$K$7,"",ADDRESS(INT((A154-1)/$M$2)+1,IF(MOD(A154,$M$2)=0,IF(MOD(INT((A154-1)/$M$2)+1,2)=1,$M$2,1),IF(MOD(INT((A154-1)/$M$2)+1,2)=1,MOD(A154,$M$2),$M$2-MOD(A154,$M$2)+1)),4,1))</f>
        <v/>
      </c>
      <c r="C154" s="11" t="str">
        <f ca="1">Start.listina!$AL162</f>
        <v/>
      </c>
      <c r="D154" s="2" t="str">
        <f ca="1">IF(A154&gt;Start.listina!$K$7,"",INT((A154-1)/$M$2)+1)</f>
        <v/>
      </c>
      <c r="E154" s="301" t="str">
        <f ca="1">IF(A154&gt;Start.listina!$K$7,"",MIN(F154:L154))</f>
        <v/>
      </c>
    </row>
    <row r="155" spans="1:5">
      <c r="A155" t="str">
        <f ca="1">IF(OR(Start.listina!H163&gt;Start.listina!$K$7,Start.listina!G163=TRUE),"",Start.listina!H163)</f>
        <v/>
      </c>
      <c r="B155" s="2" t="str">
        <f ca="1">IF(A155&gt;Start.listina!$K$7,"",ADDRESS(INT((A155-1)/$M$2)+1,IF(MOD(A155,$M$2)=0,IF(MOD(INT((A155-1)/$M$2)+1,2)=1,$M$2,1),IF(MOD(INT((A155-1)/$M$2)+1,2)=1,MOD(A155,$M$2),$M$2-MOD(A155,$M$2)+1)),4,1))</f>
        <v/>
      </c>
      <c r="C155" s="11" t="str">
        <f ca="1">Start.listina!$AL163</f>
        <v/>
      </c>
      <c r="D155" s="2" t="str">
        <f ca="1">IF(A155&gt;Start.listina!$K$7,"",INT((A155-1)/$M$2)+1)</f>
        <v/>
      </c>
      <c r="E155" s="301" t="str">
        <f ca="1">IF(A155&gt;Start.listina!$K$7,"",MIN(F155:L155))</f>
        <v/>
      </c>
    </row>
    <row r="156" spans="1:5">
      <c r="A156" t="str">
        <f ca="1">IF(OR(Start.listina!H164&gt;Start.listina!$K$7,Start.listina!G164=TRUE),"",Start.listina!H164)</f>
        <v/>
      </c>
      <c r="B156" s="2" t="str">
        <f ca="1">IF(A156&gt;Start.listina!$K$7,"",ADDRESS(INT((A156-1)/$M$2)+1,IF(MOD(A156,$M$2)=0,IF(MOD(INT((A156-1)/$M$2)+1,2)=1,$M$2,1),IF(MOD(INT((A156-1)/$M$2)+1,2)=1,MOD(A156,$M$2),$M$2-MOD(A156,$M$2)+1)),4,1))</f>
        <v/>
      </c>
      <c r="C156" s="11" t="str">
        <f ca="1">Start.listina!$AL164</f>
        <v/>
      </c>
      <c r="D156" s="2" t="str">
        <f ca="1">IF(A156&gt;Start.listina!$K$7,"",INT((A156-1)/$M$2)+1)</f>
        <v/>
      </c>
      <c r="E156" s="301" t="str">
        <f ca="1">IF(A156&gt;Start.listina!$K$7,"",MIN(F156:L156))</f>
        <v/>
      </c>
    </row>
    <row r="157" spans="1:5">
      <c r="A157" t="str">
        <f ca="1">IF(OR(Start.listina!H165&gt;Start.listina!$K$7,Start.listina!G165=TRUE),"",Start.listina!H165)</f>
        <v/>
      </c>
      <c r="B157" s="2" t="str">
        <f ca="1">IF(A157&gt;Start.listina!$K$7,"",ADDRESS(INT((A157-1)/$M$2)+1,IF(MOD(A157,$M$2)=0,IF(MOD(INT((A157-1)/$M$2)+1,2)=1,$M$2,1),IF(MOD(INT((A157-1)/$M$2)+1,2)=1,MOD(A157,$M$2),$M$2-MOD(A157,$M$2)+1)),4,1))</f>
        <v/>
      </c>
      <c r="C157" s="11" t="str">
        <f ca="1">Start.listina!$AL165</f>
        <v/>
      </c>
      <c r="D157" s="2" t="str">
        <f ca="1">IF(A157&gt;Start.listina!$K$7,"",INT((A157-1)/$M$2)+1)</f>
        <v/>
      </c>
      <c r="E157" s="301" t="str">
        <f ca="1">IF(A157&gt;Start.listina!$K$7,"",MIN(F157:L157))</f>
        <v/>
      </c>
    </row>
    <row r="158" spans="1:5">
      <c r="A158" t="str">
        <f ca="1">IF(OR(Start.listina!H166&gt;Start.listina!$K$7,Start.listina!G166=TRUE),"",Start.listina!H166)</f>
        <v/>
      </c>
      <c r="B158" s="2" t="str">
        <f ca="1">IF(A158&gt;Start.listina!$K$7,"",ADDRESS(INT((A158-1)/$M$2)+1,IF(MOD(A158,$M$2)=0,IF(MOD(INT((A158-1)/$M$2)+1,2)=1,$M$2,1),IF(MOD(INT((A158-1)/$M$2)+1,2)=1,MOD(A158,$M$2),$M$2-MOD(A158,$M$2)+1)),4,1))</f>
        <v/>
      </c>
      <c r="C158" s="11" t="str">
        <f ca="1">Start.listina!$AL166</f>
        <v/>
      </c>
      <c r="D158" s="2" t="str">
        <f ca="1">IF(A158&gt;Start.listina!$K$7,"",INT((A158-1)/$M$2)+1)</f>
        <v/>
      </c>
      <c r="E158" s="301" t="str">
        <f ca="1">IF(A158&gt;Start.listina!$K$7,"",MIN(F158:L158))</f>
        <v/>
      </c>
    </row>
    <row r="159" spans="1:5">
      <c r="A159" t="str">
        <f ca="1">IF(OR(Start.listina!H167&gt;Start.listina!$K$7,Start.listina!G167=TRUE),"",Start.listina!H167)</f>
        <v/>
      </c>
      <c r="B159" s="2" t="str">
        <f ca="1">IF(A159&gt;Start.listina!$K$7,"",ADDRESS(INT((A159-1)/$M$2)+1,IF(MOD(A159,$M$2)=0,IF(MOD(INT((A159-1)/$M$2)+1,2)=1,$M$2,1),IF(MOD(INT((A159-1)/$M$2)+1,2)=1,MOD(A159,$M$2),$M$2-MOD(A159,$M$2)+1)),4,1))</f>
        <v/>
      </c>
      <c r="C159" s="11" t="str">
        <f ca="1">Start.listina!$AL167</f>
        <v/>
      </c>
      <c r="D159" s="2" t="str">
        <f ca="1">IF(A159&gt;Start.listina!$K$7,"",INT((A159-1)/$M$2)+1)</f>
        <v/>
      </c>
      <c r="E159" s="301" t="str">
        <f ca="1">IF(A159&gt;Start.listina!$K$7,"",MIN(F159:L159))</f>
        <v/>
      </c>
    </row>
    <row r="160" spans="1:5">
      <c r="A160" t="str">
        <f ca="1">IF(OR(Start.listina!H168&gt;Start.listina!$K$7,Start.listina!G168=TRUE),"",Start.listina!H168)</f>
        <v/>
      </c>
      <c r="B160" s="2" t="str">
        <f ca="1">IF(A160&gt;Start.listina!$K$7,"",ADDRESS(INT((A160-1)/$M$2)+1,IF(MOD(A160,$M$2)=0,IF(MOD(INT((A160-1)/$M$2)+1,2)=1,$M$2,1),IF(MOD(INT((A160-1)/$M$2)+1,2)=1,MOD(A160,$M$2),$M$2-MOD(A160,$M$2)+1)),4,1))</f>
        <v/>
      </c>
      <c r="C160" s="11" t="str">
        <f ca="1">Start.listina!$AL168</f>
        <v/>
      </c>
      <c r="D160" s="2" t="str">
        <f ca="1">IF(A160&gt;Start.listina!$K$7,"",INT((A160-1)/$M$2)+1)</f>
        <v/>
      </c>
      <c r="E160" s="301" t="str">
        <f ca="1">IF(A160&gt;Start.listina!$K$7,"",MIN(F160:L160))</f>
        <v/>
      </c>
    </row>
    <row r="161" spans="1:5">
      <c r="A161" t="str">
        <f ca="1">IF(OR(Start.listina!H169&gt;Start.listina!$K$7,Start.listina!G169=TRUE),"",Start.listina!H169)</f>
        <v/>
      </c>
      <c r="B161" s="2" t="str">
        <f ca="1">IF(A161&gt;Start.listina!$K$7,"",ADDRESS(INT((A161-1)/$M$2)+1,IF(MOD(A161,$M$2)=0,IF(MOD(INT((A161-1)/$M$2)+1,2)=1,$M$2,1),IF(MOD(INT((A161-1)/$M$2)+1,2)=1,MOD(A161,$M$2),$M$2-MOD(A161,$M$2)+1)),4,1))</f>
        <v/>
      </c>
      <c r="C161" s="11" t="str">
        <f ca="1">Start.listina!$AL169</f>
        <v/>
      </c>
      <c r="D161" s="2" t="str">
        <f ca="1">IF(A161&gt;Start.listina!$K$7,"",INT((A161-1)/$M$2)+1)</f>
        <v/>
      </c>
      <c r="E161" s="301" t="str">
        <f ca="1">IF(A161&gt;Start.listina!$K$7,"",MIN(F161:L161))</f>
        <v/>
      </c>
    </row>
    <row r="162" spans="1:5">
      <c r="A162" t="str">
        <f ca="1">IF(OR(Start.listina!H170&gt;Start.listina!$K$7,Start.listina!G170=TRUE),"",Start.listina!H170)</f>
        <v/>
      </c>
      <c r="B162" s="2" t="str">
        <f ca="1">IF(A162&gt;Start.listina!$K$7,"",ADDRESS(INT((A162-1)/$M$2)+1,IF(MOD(A162,$M$2)=0,IF(MOD(INT((A162-1)/$M$2)+1,2)=1,$M$2,1),IF(MOD(INT((A162-1)/$M$2)+1,2)=1,MOD(A162,$M$2),$M$2-MOD(A162,$M$2)+1)),4,1))</f>
        <v/>
      </c>
      <c r="C162" s="11" t="str">
        <f ca="1">Start.listina!$AL170</f>
        <v/>
      </c>
      <c r="D162" s="2" t="str">
        <f ca="1">IF(A162&gt;Start.listina!$K$7,"",INT((A162-1)/$M$2)+1)</f>
        <v/>
      </c>
      <c r="E162" s="301" t="str">
        <f ca="1">IF(A162&gt;Start.listina!$K$7,"",MIN(F162:L162))</f>
        <v/>
      </c>
    </row>
    <row r="163" spans="1:5">
      <c r="A163" t="str">
        <f ca="1">IF(OR(Start.listina!H171&gt;Start.listina!$K$7,Start.listina!G171=TRUE),"",Start.listina!H171)</f>
        <v/>
      </c>
      <c r="B163" s="2" t="str">
        <f ca="1">IF(A163&gt;Start.listina!$K$7,"",ADDRESS(INT((A163-1)/$M$2)+1,IF(MOD(A163,$M$2)=0,IF(MOD(INT((A163-1)/$M$2)+1,2)=1,$M$2,1),IF(MOD(INT((A163-1)/$M$2)+1,2)=1,MOD(A163,$M$2),$M$2-MOD(A163,$M$2)+1)),4,1))</f>
        <v/>
      </c>
      <c r="C163" s="11" t="str">
        <f ca="1">Start.listina!$AL171</f>
        <v/>
      </c>
      <c r="D163" s="2" t="str">
        <f ca="1">IF(A163&gt;Start.listina!$K$7,"",INT((A163-1)/$M$2)+1)</f>
        <v/>
      </c>
      <c r="E163" s="301" t="str">
        <f ca="1">IF(A163&gt;Start.listina!$K$7,"",MIN(F163:L163))</f>
        <v/>
      </c>
    </row>
    <row r="164" spans="1:5">
      <c r="A164" t="str">
        <f ca="1">IF(OR(Start.listina!H172&gt;Start.listina!$K$7,Start.listina!G172=TRUE),"",Start.listina!H172)</f>
        <v/>
      </c>
      <c r="B164" s="2" t="str">
        <f ca="1">IF(A164&gt;Start.listina!$K$7,"",ADDRESS(INT((A164-1)/$M$2)+1,IF(MOD(A164,$M$2)=0,IF(MOD(INT((A164-1)/$M$2)+1,2)=1,$M$2,1),IF(MOD(INT((A164-1)/$M$2)+1,2)=1,MOD(A164,$M$2),$M$2-MOD(A164,$M$2)+1)),4,1))</f>
        <v/>
      </c>
      <c r="C164" s="11" t="str">
        <f ca="1">Start.listina!$AL172</f>
        <v/>
      </c>
      <c r="D164" s="2" t="str">
        <f ca="1">IF(A164&gt;Start.listina!$K$7,"",INT((A164-1)/$M$2)+1)</f>
        <v/>
      </c>
      <c r="E164" s="301" t="str">
        <f ca="1">IF(A164&gt;Start.listina!$K$7,"",MIN(F164:L164))</f>
        <v/>
      </c>
    </row>
    <row r="165" spans="1:5">
      <c r="A165" t="str">
        <f ca="1">IF(OR(Start.listina!H173&gt;Start.listina!$K$7,Start.listina!G173=TRUE),"",Start.listina!H173)</f>
        <v/>
      </c>
      <c r="B165" s="2" t="str">
        <f ca="1">IF(A165&gt;Start.listina!$K$7,"",ADDRESS(INT((A165-1)/$M$2)+1,IF(MOD(A165,$M$2)=0,IF(MOD(INT((A165-1)/$M$2)+1,2)=1,$M$2,1),IF(MOD(INT((A165-1)/$M$2)+1,2)=1,MOD(A165,$M$2),$M$2-MOD(A165,$M$2)+1)),4,1))</f>
        <v/>
      </c>
      <c r="C165" s="11" t="str">
        <f ca="1">Start.listina!$AL173</f>
        <v/>
      </c>
      <c r="D165" s="2" t="str">
        <f ca="1">IF(A165&gt;Start.listina!$K$7,"",INT((A165-1)/$M$2)+1)</f>
        <v/>
      </c>
      <c r="E165" s="301" t="str">
        <f ca="1">IF(A165&gt;Start.listina!$K$7,"",MIN(F165:L165))</f>
        <v/>
      </c>
    </row>
    <row r="166" spans="1:5">
      <c r="A166" t="str">
        <f ca="1">IF(OR(Start.listina!H174&gt;Start.listina!$K$7,Start.listina!G174=TRUE),"",Start.listina!H174)</f>
        <v/>
      </c>
      <c r="B166" s="2" t="str">
        <f ca="1">IF(A166&gt;Start.listina!$K$7,"",ADDRESS(INT((A166-1)/$M$2)+1,IF(MOD(A166,$M$2)=0,IF(MOD(INT((A166-1)/$M$2)+1,2)=1,$M$2,1),IF(MOD(INT((A166-1)/$M$2)+1,2)=1,MOD(A166,$M$2),$M$2-MOD(A166,$M$2)+1)),4,1))</f>
        <v/>
      </c>
      <c r="C166" s="11" t="str">
        <f ca="1">Start.listina!$AL174</f>
        <v/>
      </c>
      <c r="D166" s="2" t="str">
        <f ca="1">IF(A166&gt;Start.listina!$K$7,"",INT((A166-1)/$M$2)+1)</f>
        <v/>
      </c>
      <c r="E166" s="301" t="str">
        <f ca="1">IF(A166&gt;Start.listina!$K$7,"",MIN(F166:L166))</f>
        <v/>
      </c>
    </row>
    <row r="167" spans="1:5">
      <c r="A167" t="str">
        <f ca="1">IF(OR(Start.listina!H175&gt;Start.listina!$K$7,Start.listina!G175=TRUE),"",Start.listina!H175)</f>
        <v/>
      </c>
      <c r="B167" s="2" t="str">
        <f ca="1">IF(A167&gt;Start.listina!$K$7,"",ADDRESS(INT((A167-1)/$M$2)+1,IF(MOD(A167,$M$2)=0,IF(MOD(INT((A167-1)/$M$2)+1,2)=1,$M$2,1),IF(MOD(INT((A167-1)/$M$2)+1,2)=1,MOD(A167,$M$2),$M$2-MOD(A167,$M$2)+1)),4,1))</f>
        <v/>
      </c>
      <c r="C167" s="11" t="str">
        <f ca="1">Start.listina!$AL175</f>
        <v/>
      </c>
      <c r="D167" s="2" t="str">
        <f ca="1">IF(A167&gt;Start.listina!$K$7,"",INT((A167-1)/$M$2)+1)</f>
        <v/>
      </c>
      <c r="E167" s="301" t="str">
        <f ca="1">IF(A167&gt;Start.listina!$K$7,"",MIN(F167:L167))</f>
        <v/>
      </c>
    </row>
    <row r="168" spans="1:5">
      <c r="A168" t="str">
        <f ca="1">IF(OR(Start.listina!H176&gt;Start.listina!$K$7,Start.listina!G176=TRUE),"",Start.listina!H176)</f>
        <v/>
      </c>
      <c r="B168" s="2" t="str">
        <f ca="1">IF(A168&gt;Start.listina!$K$7,"",ADDRESS(INT((A168-1)/$M$2)+1,IF(MOD(A168,$M$2)=0,IF(MOD(INT((A168-1)/$M$2)+1,2)=1,$M$2,1),IF(MOD(INT((A168-1)/$M$2)+1,2)=1,MOD(A168,$M$2),$M$2-MOD(A168,$M$2)+1)),4,1))</f>
        <v/>
      </c>
      <c r="C168" s="11" t="str">
        <f ca="1">Start.listina!$AL176</f>
        <v/>
      </c>
      <c r="D168" s="2" t="str">
        <f ca="1">IF(A168&gt;Start.listina!$K$7,"",INT((A168-1)/$M$2)+1)</f>
        <v/>
      </c>
      <c r="E168" s="301" t="str">
        <f ca="1">IF(A168&gt;Start.listina!$K$7,"",MIN(F168:L168))</f>
        <v/>
      </c>
    </row>
    <row r="169" spans="1:5">
      <c r="A169" t="str">
        <f ca="1">IF(OR(Start.listina!H177&gt;Start.listina!$K$7,Start.listina!G177=TRUE),"",Start.listina!H177)</f>
        <v/>
      </c>
      <c r="B169" s="2" t="str">
        <f ca="1">IF(A169&gt;Start.listina!$K$7,"",ADDRESS(INT((A169-1)/$M$2)+1,IF(MOD(A169,$M$2)=0,IF(MOD(INT((A169-1)/$M$2)+1,2)=1,$M$2,1),IF(MOD(INT((A169-1)/$M$2)+1,2)=1,MOD(A169,$M$2),$M$2-MOD(A169,$M$2)+1)),4,1))</f>
        <v/>
      </c>
      <c r="C169" s="11" t="str">
        <f ca="1">Start.listina!$AL177</f>
        <v/>
      </c>
      <c r="D169" s="2" t="str">
        <f ca="1">IF(A169&gt;Start.listina!$K$7,"",INT((A169-1)/$M$2)+1)</f>
        <v/>
      </c>
      <c r="E169" s="301" t="str">
        <f ca="1">IF(A169&gt;Start.listina!$K$7,"",MIN(F169:L169))</f>
        <v/>
      </c>
    </row>
    <row r="170" spans="1:5">
      <c r="A170" t="str">
        <f ca="1">IF(OR(Start.listina!H178&gt;Start.listina!$K$7,Start.listina!G178=TRUE),"",Start.listina!H178)</f>
        <v/>
      </c>
      <c r="B170" s="2" t="str">
        <f ca="1">IF(A170&gt;Start.listina!$K$7,"",ADDRESS(INT((A170-1)/$M$2)+1,IF(MOD(A170,$M$2)=0,IF(MOD(INT((A170-1)/$M$2)+1,2)=1,$M$2,1),IF(MOD(INT((A170-1)/$M$2)+1,2)=1,MOD(A170,$M$2),$M$2-MOD(A170,$M$2)+1)),4,1))</f>
        <v/>
      </c>
      <c r="C170" s="11" t="str">
        <f ca="1">Start.listina!$AL178</f>
        <v/>
      </c>
      <c r="D170" s="2" t="str">
        <f ca="1">IF(A170&gt;Start.listina!$K$7,"",INT((A170-1)/$M$2)+1)</f>
        <v/>
      </c>
      <c r="E170" s="301" t="str">
        <f ca="1">IF(A170&gt;Start.listina!$K$7,"",MIN(F170:L170))</f>
        <v/>
      </c>
    </row>
    <row r="171" spans="1:5">
      <c r="A171" t="str">
        <f ca="1">IF(OR(Start.listina!H179&gt;Start.listina!$K$7,Start.listina!G179=TRUE),"",Start.listina!H179)</f>
        <v/>
      </c>
      <c r="B171" s="2" t="str">
        <f ca="1">IF(A171&gt;Start.listina!$K$7,"",ADDRESS(INT((A171-1)/$M$2)+1,IF(MOD(A171,$M$2)=0,IF(MOD(INT((A171-1)/$M$2)+1,2)=1,$M$2,1),IF(MOD(INT((A171-1)/$M$2)+1,2)=1,MOD(A171,$M$2),$M$2-MOD(A171,$M$2)+1)),4,1))</f>
        <v/>
      </c>
      <c r="C171" s="11" t="str">
        <f ca="1">Start.listina!$AL179</f>
        <v/>
      </c>
      <c r="D171" s="2" t="str">
        <f ca="1">IF(A171&gt;Start.listina!$K$7,"",INT((A171-1)/$M$2)+1)</f>
        <v/>
      </c>
      <c r="E171" s="301" t="str">
        <f ca="1">IF(A171&gt;Start.listina!$K$7,"",MIN(F171:L171))</f>
        <v/>
      </c>
    </row>
    <row r="172" spans="1:5">
      <c r="A172" t="str">
        <f ca="1">IF(OR(Start.listina!H180&gt;Start.listina!$K$7,Start.listina!G180=TRUE),"",Start.listina!H180)</f>
        <v/>
      </c>
      <c r="B172" s="2" t="str">
        <f ca="1">IF(A172&gt;Start.listina!$K$7,"",ADDRESS(INT((A172-1)/$M$2)+1,IF(MOD(A172,$M$2)=0,IF(MOD(INT((A172-1)/$M$2)+1,2)=1,$M$2,1),IF(MOD(INT((A172-1)/$M$2)+1,2)=1,MOD(A172,$M$2),$M$2-MOD(A172,$M$2)+1)),4,1))</f>
        <v/>
      </c>
      <c r="C172" s="11" t="str">
        <f ca="1">Start.listina!$AL180</f>
        <v/>
      </c>
      <c r="D172" s="2" t="str">
        <f ca="1">IF(A172&gt;Start.listina!$K$7,"",INT((A172-1)/$M$2)+1)</f>
        <v/>
      </c>
      <c r="E172" s="301" t="str">
        <f ca="1">IF(A172&gt;Start.listina!$K$7,"",MIN(F172:L172))</f>
        <v/>
      </c>
    </row>
    <row r="173" spans="1:5">
      <c r="A173" t="str">
        <f ca="1">IF(OR(Start.listina!H181&gt;Start.listina!$K$7,Start.listina!G181=TRUE),"",Start.listina!H181)</f>
        <v/>
      </c>
      <c r="B173" s="2" t="str">
        <f ca="1">IF(A173&gt;Start.listina!$K$7,"",ADDRESS(INT((A173-1)/$M$2)+1,IF(MOD(A173,$M$2)=0,IF(MOD(INT((A173-1)/$M$2)+1,2)=1,$M$2,1),IF(MOD(INT((A173-1)/$M$2)+1,2)=1,MOD(A173,$M$2),$M$2-MOD(A173,$M$2)+1)),4,1))</f>
        <v/>
      </c>
      <c r="C173" s="11" t="str">
        <f ca="1">Start.listina!$AL181</f>
        <v/>
      </c>
      <c r="D173" s="2" t="str">
        <f ca="1">IF(A173&gt;Start.listina!$K$7,"",INT((A173-1)/$M$2)+1)</f>
        <v/>
      </c>
      <c r="E173" s="301" t="str">
        <f ca="1">IF(A173&gt;Start.listina!$K$7,"",MIN(F173:L173))</f>
        <v/>
      </c>
    </row>
    <row r="174" spans="1:5">
      <c r="A174" t="str">
        <f ca="1">IF(OR(Start.listina!H182&gt;Start.listina!$K$7,Start.listina!G182=TRUE),"",Start.listina!H182)</f>
        <v/>
      </c>
      <c r="B174" s="2" t="str">
        <f ca="1">IF(A174&gt;Start.listina!$K$7,"",ADDRESS(INT((A174-1)/$M$2)+1,IF(MOD(A174,$M$2)=0,IF(MOD(INT((A174-1)/$M$2)+1,2)=1,$M$2,1),IF(MOD(INT((A174-1)/$M$2)+1,2)=1,MOD(A174,$M$2),$M$2-MOD(A174,$M$2)+1)),4,1))</f>
        <v/>
      </c>
      <c r="C174" s="11" t="str">
        <f ca="1">Start.listina!$AL182</f>
        <v/>
      </c>
      <c r="D174" s="2" t="str">
        <f ca="1">IF(A174&gt;Start.listina!$K$7,"",INT((A174-1)/$M$2)+1)</f>
        <v/>
      </c>
      <c r="E174" s="301" t="str">
        <f ca="1">IF(A174&gt;Start.listina!$K$7,"",MIN(F174:L174))</f>
        <v/>
      </c>
    </row>
    <row r="175" spans="1:5">
      <c r="A175" t="str">
        <f ca="1">IF(OR(Start.listina!H183&gt;Start.listina!$K$7,Start.listina!G183=TRUE),"",Start.listina!H183)</f>
        <v/>
      </c>
      <c r="B175" s="2" t="str">
        <f ca="1">IF(A175&gt;Start.listina!$K$7,"",ADDRESS(INT((A175-1)/$M$2)+1,IF(MOD(A175,$M$2)=0,IF(MOD(INT((A175-1)/$M$2)+1,2)=1,$M$2,1),IF(MOD(INT((A175-1)/$M$2)+1,2)=1,MOD(A175,$M$2),$M$2-MOD(A175,$M$2)+1)),4,1))</f>
        <v/>
      </c>
      <c r="C175" s="11" t="str">
        <f ca="1">Start.listina!$AL183</f>
        <v/>
      </c>
      <c r="D175" s="2" t="str">
        <f ca="1">IF(A175&gt;Start.listina!$K$7,"",INT((A175-1)/$M$2)+1)</f>
        <v/>
      </c>
      <c r="E175" s="301" t="str">
        <f ca="1">IF(A175&gt;Start.listina!$K$7,"",MIN(F175:L175))</f>
        <v/>
      </c>
    </row>
    <row r="176" spans="1:5">
      <c r="A176" t="str">
        <f ca="1">IF(OR(Start.listina!H184&gt;Start.listina!$K$7,Start.listina!G184=TRUE),"",Start.listina!H184)</f>
        <v/>
      </c>
      <c r="B176" s="2" t="str">
        <f ca="1">IF(A176&gt;Start.listina!$K$7,"",ADDRESS(INT((A176-1)/$M$2)+1,IF(MOD(A176,$M$2)=0,IF(MOD(INT((A176-1)/$M$2)+1,2)=1,$M$2,1),IF(MOD(INT((A176-1)/$M$2)+1,2)=1,MOD(A176,$M$2),$M$2-MOD(A176,$M$2)+1)),4,1))</f>
        <v/>
      </c>
      <c r="C176" s="11" t="str">
        <f ca="1">Start.listina!$AL184</f>
        <v/>
      </c>
      <c r="D176" s="2" t="str">
        <f ca="1">IF(A176&gt;Start.listina!$K$7,"",INT((A176-1)/$M$2)+1)</f>
        <v/>
      </c>
      <c r="E176" s="301" t="str">
        <f ca="1">IF(A176&gt;Start.listina!$K$7,"",MIN(F176:L176))</f>
        <v/>
      </c>
    </row>
    <row r="177" spans="1:5">
      <c r="A177" t="str">
        <f ca="1">IF(OR(Start.listina!H185&gt;Start.listina!$K$7,Start.listina!G185=TRUE),"",Start.listina!H185)</f>
        <v/>
      </c>
      <c r="B177" s="2" t="str">
        <f ca="1">IF(A177&gt;Start.listina!$K$7,"",ADDRESS(INT((A177-1)/$M$2)+1,IF(MOD(A177,$M$2)=0,IF(MOD(INT((A177-1)/$M$2)+1,2)=1,$M$2,1),IF(MOD(INT((A177-1)/$M$2)+1,2)=1,MOD(A177,$M$2),$M$2-MOD(A177,$M$2)+1)),4,1))</f>
        <v/>
      </c>
      <c r="C177" s="11" t="str">
        <f ca="1">Start.listina!$AL185</f>
        <v/>
      </c>
      <c r="D177" s="2" t="str">
        <f ca="1">IF(A177&gt;Start.listina!$K$7,"",INT((A177-1)/$M$2)+1)</f>
        <v/>
      </c>
      <c r="E177" s="301" t="str">
        <f ca="1">IF(A177&gt;Start.listina!$K$7,"",MIN(F177:L177))</f>
        <v/>
      </c>
    </row>
    <row r="178" spans="1:5">
      <c r="A178" t="str">
        <f ca="1">IF(OR(Start.listina!H186&gt;Start.listina!$K$7,Start.listina!G186=TRUE),"",Start.listina!H186)</f>
        <v/>
      </c>
      <c r="B178" s="2" t="str">
        <f ca="1">IF(A178&gt;Start.listina!$K$7,"",ADDRESS(INT((A178-1)/$M$2)+1,IF(MOD(A178,$M$2)=0,IF(MOD(INT((A178-1)/$M$2)+1,2)=1,$M$2,1),IF(MOD(INT((A178-1)/$M$2)+1,2)=1,MOD(A178,$M$2),$M$2-MOD(A178,$M$2)+1)),4,1))</f>
        <v/>
      </c>
      <c r="C178" s="11" t="str">
        <f ca="1">Start.listina!$AL186</f>
        <v/>
      </c>
      <c r="D178" s="2" t="str">
        <f ca="1">IF(A178&gt;Start.listina!$K$7,"",INT((A178-1)/$M$2)+1)</f>
        <v/>
      </c>
      <c r="E178" s="301" t="str">
        <f ca="1">IF(A178&gt;Start.listina!$K$7,"",MIN(F178:L178))</f>
        <v/>
      </c>
    </row>
    <row r="179" spans="1:5">
      <c r="A179" t="str">
        <f ca="1">IF(OR(Start.listina!H187&gt;Start.listina!$K$7,Start.listina!G187=TRUE),"",Start.listina!H187)</f>
        <v/>
      </c>
      <c r="B179" s="2" t="str">
        <f ca="1">IF(A179&gt;Start.listina!$K$7,"",ADDRESS(INT((A179-1)/$M$2)+1,IF(MOD(A179,$M$2)=0,IF(MOD(INT((A179-1)/$M$2)+1,2)=1,$M$2,1),IF(MOD(INT((A179-1)/$M$2)+1,2)=1,MOD(A179,$M$2),$M$2-MOD(A179,$M$2)+1)),4,1))</f>
        <v/>
      </c>
      <c r="C179" s="11" t="str">
        <f ca="1">Start.listina!$AL187</f>
        <v/>
      </c>
      <c r="D179" s="2" t="str">
        <f ca="1">IF(A179&gt;Start.listina!$K$7,"",INT((A179-1)/$M$2)+1)</f>
        <v/>
      </c>
      <c r="E179" s="301" t="str">
        <f ca="1">IF(A179&gt;Start.listina!$K$7,"",MIN(F179:L179))</f>
        <v/>
      </c>
    </row>
    <row r="180" spans="1:5">
      <c r="A180" t="str">
        <f ca="1">IF(OR(Start.listina!H188&gt;Start.listina!$K$7,Start.listina!G188=TRUE),"",Start.listina!H188)</f>
        <v/>
      </c>
      <c r="B180" s="2" t="str">
        <f ca="1">IF(A180&gt;Start.listina!$K$7,"",ADDRESS(INT((A180-1)/$M$2)+1,IF(MOD(A180,$M$2)=0,IF(MOD(INT((A180-1)/$M$2)+1,2)=1,$M$2,1),IF(MOD(INT((A180-1)/$M$2)+1,2)=1,MOD(A180,$M$2),$M$2-MOD(A180,$M$2)+1)),4,1))</f>
        <v/>
      </c>
      <c r="C180" s="11" t="str">
        <f ca="1">Start.listina!$AL188</f>
        <v/>
      </c>
      <c r="D180" s="2" t="str">
        <f ca="1">IF(A180&gt;Start.listina!$K$7,"",INT((A180-1)/$M$2)+1)</f>
        <v/>
      </c>
      <c r="E180" s="301" t="str">
        <f ca="1">IF(A180&gt;Start.listina!$K$7,"",MIN(F180:L180))</f>
        <v/>
      </c>
    </row>
    <row r="181" spans="1:5">
      <c r="A181" t="str">
        <f ca="1">IF(OR(Start.listina!H189&gt;Start.listina!$K$7,Start.listina!G189=TRUE),"",Start.listina!H189)</f>
        <v/>
      </c>
      <c r="B181" s="2" t="str">
        <f ca="1">IF(A181&gt;Start.listina!$K$7,"",ADDRESS(INT((A181-1)/$M$2)+1,IF(MOD(A181,$M$2)=0,IF(MOD(INT((A181-1)/$M$2)+1,2)=1,$M$2,1),IF(MOD(INT((A181-1)/$M$2)+1,2)=1,MOD(A181,$M$2),$M$2-MOD(A181,$M$2)+1)),4,1))</f>
        <v/>
      </c>
      <c r="C181" s="11" t="str">
        <f ca="1">Start.listina!$AL189</f>
        <v/>
      </c>
      <c r="D181" s="2" t="str">
        <f ca="1">IF(A181&gt;Start.listina!$K$7,"",INT((A181-1)/$M$2)+1)</f>
        <v/>
      </c>
      <c r="E181" s="301" t="str">
        <f ca="1">IF(A181&gt;Start.listina!$K$7,"",MIN(F181:L181))</f>
        <v/>
      </c>
    </row>
    <row r="182" spans="1:5">
      <c r="A182" t="str">
        <f ca="1">IF(OR(Start.listina!H190&gt;Start.listina!$K$7,Start.listina!G190=TRUE),"",Start.listina!H190)</f>
        <v/>
      </c>
      <c r="B182" s="2" t="str">
        <f ca="1">IF(A182&gt;Start.listina!$K$7,"",ADDRESS(INT((A182-1)/$M$2)+1,IF(MOD(A182,$M$2)=0,IF(MOD(INT((A182-1)/$M$2)+1,2)=1,$M$2,1),IF(MOD(INT((A182-1)/$M$2)+1,2)=1,MOD(A182,$M$2),$M$2-MOD(A182,$M$2)+1)),4,1))</f>
        <v/>
      </c>
      <c r="C182" s="11" t="str">
        <f ca="1">Start.listina!$AL190</f>
        <v/>
      </c>
      <c r="D182" s="2" t="str">
        <f ca="1">IF(A182&gt;Start.listina!$K$7,"",INT((A182-1)/$M$2)+1)</f>
        <v/>
      </c>
      <c r="E182" s="301" t="str">
        <f ca="1">IF(A182&gt;Start.listina!$K$7,"",MIN(F182:L182))</f>
        <v/>
      </c>
    </row>
    <row r="183" spans="1:5">
      <c r="A183" t="str">
        <f ca="1">IF(OR(Start.listina!H191&gt;Start.listina!$K$7,Start.listina!G191=TRUE),"",Start.listina!H191)</f>
        <v/>
      </c>
      <c r="B183" s="2" t="str">
        <f ca="1">IF(A183&gt;Start.listina!$K$7,"",ADDRESS(INT((A183-1)/$M$2)+1,IF(MOD(A183,$M$2)=0,IF(MOD(INT((A183-1)/$M$2)+1,2)=1,$M$2,1),IF(MOD(INT((A183-1)/$M$2)+1,2)=1,MOD(A183,$M$2),$M$2-MOD(A183,$M$2)+1)),4,1))</f>
        <v/>
      </c>
      <c r="C183" s="11" t="str">
        <f ca="1">Start.listina!$AL191</f>
        <v/>
      </c>
      <c r="D183" s="2" t="str">
        <f ca="1">IF(A183&gt;Start.listina!$K$7,"",INT((A183-1)/$M$2)+1)</f>
        <v/>
      </c>
      <c r="E183" s="301" t="str">
        <f ca="1">IF(A183&gt;Start.listina!$K$7,"",MIN(F183:L183))</f>
        <v/>
      </c>
    </row>
    <row r="184" spans="1:5">
      <c r="A184" t="str">
        <f ca="1">IF(OR(Start.listina!H192&gt;Start.listina!$K$7,Start.listina!G192=TRUE),"",Start.listina!H192)</f>
        <v/>
      </c>
      <c r="B184" s="2" t="str">
        <f ca="1">IF(A184&gt;Start.listina!$K$7,"",ADDRESS(INT((A184-1)/$M$2)+1,IF(MOD(A184,$M$2)=0,IF(MOD(INT((A184-1)/$M$2)+1,2)=1,$M$2,1),IF(MOD(INT((A184-1)/$M$2)+1,2)=1,MOD(A184,$M$2),$M$2-MOD(A184,$M$2)+1)),4,1))</f>
        <v/>
      </c>
      <c r="C184" s="11" t="str">
        <f ca="1">Start.listina!$AL192</f>
        <v/>
      </c>
      <c r="D184" s="2" t="str">
        <f ca="1">IF(A184&gt;Start.listina!$K$7,"",INT((A184-1)/$M$2)+1)</f>
        <v/>
      </c>
      <c r="E184" s="301" t="str">
        <f ca="1">IF(A184&gt;Start.listina!$K$7,"",MIN(F184:L184))</f>
        <v/>
      </c>
    </row>
    <row r="185" spans="1:5">
      <c r="A185" t="str">
        <f ca="1">IF(OR(Start.listina!H193&gt;Start.listina!$K$7,Start.listina!G193=TRUE),"",Start.listina!H193)</f>
        <v/>
      </c>
      <c r="B185" s="2" t="str">
        <f ca="1">IF(A185&gt;Start.listina!$K$7,"",ADDRESS(INT((A185-1)/$M$2)+1,IF(MOD(A185,$M$2)=0,IF(MOD(INT((A185-1)/$M$2)+1,2)=1,$M$2,1),IF(MOD(INT((A185-1)/$M$2)+1,2)=1,MOD(A185,$M$2),$M$2-MOD(A185,$M$2)+1)),4,1))</f>
        <v/>
      </c>
      <c r="C185" s="11" t="str">
        <f ca="1">Start.listina!$AL193</f>
        <v/>
      </c>
      <c r="D185" s="2" t="str">
        <f ca="1">IF(A185&gt;Start.listina!$K$7,"",INT((A185-1)/$M$2)+1)</f>
        <v/>
      </c>
      <c r="E185" s="301" t="str">
        <f ca="1">IF(A185&gt;Start.listina!$K$7,"",MIN(F185:L185))</f>
        <v/>
      </c>
    </row>
    <row r="186" spans="1:5">
      <c r="A186" t="str">
        <f ca="1">IF(OR(Start.listina!H194&gt;Start.listina!$K$7,Start.listina!G194=TRUE),"",Start.listina!H194)</f>
        <v/>
      </c>
      <c r="B186" s="2" t="str">
        <f ca="1">IF(A186&gt;Start.listina!$K$7,"",ADDRESS(INT((A186-1)/$M$2)+1,IF(MOD(A186,$M$2)=0,IF(MOD(INT((A186-1)/$M$2)+1,2)=1,$M$2,1),IF(MOD(INT((A186-1)/$M$2)+1,2)=1,MOD(A186,$M$2),$M$2-MOD(A186,$M$2)+1)),4,1))</f>
        <v/>
      </c>
      <c r="C186" s="11" t="str">
        <f ca="1">Start.listina!$AL194</f>
        <v/>
      </c>
      <c r="D186" s="2" t="str">
        <f ca="1">IF(A186&gt;Start.listina!$K$7,"",INT((A186-1)/$M$2)+1)</f>
        <v/>
      </c>
      <c r="E186" s="301" t="str">
        <f ca="1">IF(A186&gt;Start.listina!$K$7,"",MIN(F186:L186))</f>
        <v/>
      </c>
    </row>
    <row r="187" spans="1:5">
      <c r="A187" t="str">
        <f ca="1">IF(OR(Start.listina!H195&gt;Start.listina!$K$7,Start.listina!G195=TRUE),"",Start.listina!H195)</f>
        <v/>
      </c>
      <c r="B187" s="2" t="str">
        <f ca="1">IF(A187&gt;Start.listina!$K$7,"",ADDRESS(INT((A187-1)/$M$2)+1,IF(MOD(A187,$M$2)=0,IF(MOD(INT((A187-1)/$M$2)+1,2)=1,$M$2,1),IF(MOD(INT((A187-1)/$M$2)+1,2)=1,MOD(A187,$M$2),$M$2-MOD(A187,$M$2)+1)),4,1))</f>
        <v/>
      </c>
      <c r="C187" s="11" t="str">
        <f ca="1">Start.listina!$AL195</f>
        <v/>
      </c>
      <c r="D187" s="2" t="str">
        <f ca="1">IF(A187&gt;Start.listina!$K$7,"",INT((A187-1)/$M$2)+1)</f>
        <v/>
      </c>
      <c r="E187" s="301" t="str">
        <f ca="1">IF(A187&gt;Start.listina!$K$7,"",MIN(F187:L187))</f>
        <v/>
      </c>
    </row>
    <row r="188" spans="1:5">
      <c r="A188" t="str">
        <f ca="1">IF(OR(Start.listina!H196&gt;Start.listina!$K$7,Start.listina!G196=TRUE),"",Start.listina!H196)</f>
        <v/>
      </c>
      <c r="B188" s="2" t="str">
        <f ca="1">IF(A188&gt;Start.listina!$K$7,"",ADDRESS(INT((A188-1)/$M$2)+1,IF(MOD(A188,$M$2)=0,IF(MOD(INT((A188-1)/$M$2)+1,2)=1,$M$2,1),IF(MOD(INT((A188-1)/$M$2)+1,2)=1,MOD(A188,$M$2),$M$2-MOD(A188,$M$2)+1)),4,1))</f>
        <v/>
      </c>
      <c r="C188" s="11" t="str">
        <f ca="1">Start.listina!$AL196</f>
        <v/>
      </c>
      <c r="D188" s="2" t="str">
        <f ca="1">IF(A188&gt;Start.listina!$K$7,"",INT((A188-1)/$M$2)+1)</f>
        <v/>
      </c>
      <c r="E188" s="301" t="str">
        <f ca="1">IF(A188&gt;Start.listina!$K$7,"",MIN(F188:L188))</f>
        <v/>
      </c>
    </row>
    <row r="189" spans="1:5">
      <c r="A189" t="str">
        <f ca="1">IF(OR(Start.listina!H197&gt;Start.listina!$K$7,Start.listina!G197=TRUE),"",Start.listina!H197)</f>
        <v/>
      </c>
      <c r="B189" s="2" t="str">
        <f ca="1">IF(A189&gt;Start.listina!$K$7,"",ADDRESS(INT((A189-1)/$M$2)+1,IF(MOD(A189,$M$2)=0,IF(MOD(INT((A189-1)/$M$2)+1,2)=1,$M$2,1),IF(MOD(INT((A189-1)/$M$2)+1,2)=1,MOD(A189,$M$2),$M$2-MOD(A189,$M$2)+1)),4,1))</f>
        <v/>
      </c>
      <c r="C189" s="11" t="str">
        <f ca="1">Start.listina!$AL197</f>
        <v/>
      </c>
      <c r="D189" s="2" t="str">
        <f ca="1">IF(A189&gt;Start.listina!$K$7,"",INT((A189-1)/$M$2)+1)</f>
        <v/>
      </c>
      <c r="E189" s="301" t="str">
        <f ca="1">IF(A189&gt;Start.listina!$K$7,"",MIN(F189:L189))</f>
        <v/>
      </c>
    </row>
    <row r="190" spans="1:5">
      <c r="A190" t="str">
        <f ca="1">IF(OR(Start.listina!H198&gt;Start.listina!$K$7,Start.listina!G198=TRUE),"",Start.listina!H198)</f>
        <v/>
      </c>
      <c r="B190" s="2" t="str">
        <f ca="1">IF(A190&gt;Start.listina!$K$7,"",ADDRESS(INT((A190-1)/$M$2)+1,IF(MOD(A190,$M$2)=0,IF(MOD(INT((A190-1)/$M$2)+1,2)=1,$M$2,1),IF(MOD(INT((A190-1)/$M$2)+1,2)=1,MOD(A190,$M$2),$M$2-MOD(A190,$M$2)+1)),4,1))</f>
        <v/>
      </c>
      <c r="C190" s="11" t="str">
        <f ca="1">Start.listina!$AL198</f>
        <v/>
      </c>
      <c r="D190" s="2" t="str">
        <f ca="1">IF(A190&gt;Start.listina!$K$7,"",INT((A190-1)/$M$2)+1)</f>
        <v/>
      </c>
      <c r="E190" s="301" t="str">
        <f ca="1">IF(A190&gt;Start.listina!$K$7,"",MIN(F190:L190))</f>
        <v/>
      </c>
    </row>
    <row r="191" spans="1:5">
      <c r="A191" t="str">
        <f ca="1">IF(OR(Start.listina!H199&gt;Start.listina!$K$7,Start.listina!G199=TRUE),"",Start.listina!H199)</f>
        <v/>
      </c>
      <c r="B191" s="2" t="str">
        <f ca="1">IF(A191&gt;Start.listina!$K$7,"",ADDRESS(INT((A191-1)/$M$2)+1,IF(MOD(A191,$M$2)=0,IF(MOD(INT((A191-1)/$M$2)+1,2)=1,$M$2,1),IF(MOD(INT((A191-1)/$M$2)+1,2)=1,MOD(A191,$M$2),$M$2-MOD(A191,$M$2)+1)),4,1))</f>
        <v/>
      </c>
      <c r="C191" s="11" t="str">
        <f ca="1">Start.listina!$AL199</f>
        <v/>
      </c>
      <c r="D191" s="2" t="str">
        <f ca="1">IF(A191&gt;Start.listina!$K$7,"",INT((A191-1)/$M$2)+1)</f>
        <v/>
      </c>
      <c r="E191" s="301" t="str">
        <f ca="1">IF(A191&gt;Start.listina!$K$7,"",MIN(F191:L191))</f>
        <v/>
      </c>
    </row>
    <row r="192" spans="1:5">
      <c r="A192" t="str">
        <f ca="1">IF(OR(Start.listina!H200&gt;Start.listina!$K$7,Start.listina!G200=TRUE),"",Start.listina!H200)</f>
        <v/>
      </c>
      <c r="B192" s="2" t="str">
        <f ca="1">IF(A192&gt;Start.listina!$K$7,"",ADDRESS(INT((A192-1)/$M$2)+1,IF(MOD(A192,$M$2)=0,IF(MOD(INT((A192-1)/$M$2)+1,2)=1,$M$2,1),IF(MOD(INT((A192-1)/$M$2)+1,2)=1,MOD(A192,$M$2),$M$2-MOD(A192,$M$2)+1)),4,1))</f>
        <v/>
      </c>
      <c r="C192" s="11" t="str">
        <f ca="1">Start.listina!$AL200</f>
        <v/>
      </c>
      <c r="D192" s="2" t="str">
        <f ca="1">IF(A192&gt;Start.listina!$K$7,"",INT((A192-1)/$M$2)+1)</f>
        <v/>
      </c>
      <c r="E192" s="301" t="str">
        <f ca="1">IF(A192&gt;Start.listina!$K$7,"",MIN(F192:L192))</f>
        <v/>
      </c>
    </row>
    <row r="193" spans="1:5">
      <c r="A193" t="str">
        <f ca="1">IF(OR(Start.listina!H201&gt;Start.listina!$K$7,Start.listina!G201=TRUE),"",Start.listina!H201)</f>
        <v/>
      </c>
      <c r="B193" s="2" t="str">
        <f ca="1">IF(A193&gt;Start.listina!$K$7,"",ADDRESS(INT((A193-1)/$M$2)+1,IF(MOD(A193,$M$2)=0,IF(MOD(INT((A193-1)/$M$2)+1,2)=1,$M$2,1),IF(MOD(INT((A193-1)/$M$2)+1,2)=1,MOD(A193,$M$2),$M$2-MOD(A193,$M$2)+1)),4,1))</f>
        <v/>
      </c>
      <c r="C193" s="11" t="str">
        <f ca="1">Start.listina!$AL201</f>
        <v/>
      </c>
      <c r="D193" s="2" t="str">
        <f ca="1">IF(A193&gt;Start.listina!$K$7,"",INT((A193-1)/$M$2)+1)</f>
        <v/>
      </c>
      <c r="E193" s="301" t="str">
        <f ca="1">IF(A193&gt;Start.listina!$K$7,"",MIN(F193:L193))</f>
        <v/>
      </c>
    </row>
    <row r="194" spans="1:5">
      <c r="A194" t="str">
        <f ca="1">IF(OR(Start.listina!H202&gt;Start.listina!$K$7,Start.listina!G202=TRUE),"",Start.listina!H202)</f>
        <v/>
      </c>
      <c r="B194" s="2" t="str">
        <f ca="1">IF(A194&gt;Start.listina!$K$7,"",ADDRESS(INT((A194-1)/$M$2)+1,IF(MOD(A194,$M$2)=0,IF(MOD(INT((A194-1)/$M$2)+1,2)=1,$M$2,1),IF(MOD(INT((A194-1)/$M$2)+1,2)=1,MOD(A194,$M$2),$M$2-MOD(A194,$M$2)+1)),4,1))</f>
        <v/>
      </c>
      <c r="C194" s="11" t="str">
        <f ca="1">Start.listina!$AL202</f>
        <v/>
      </c>
      <c r="D194" s="2" t="str">
        <f ca="1">IF(A194&gt;Start.listina!$K$7,"",INT((A194-1)/$M$2)+1)</f>
        <v/>
      </c>
      <c r="E194" s="301" t="str">
        <f ca="1">IF(A194&gt;Start.listina!$K$7,"",MIN(F194:L194))</f>
        <v/>
      </c>
    </row>
    <row r="195" spans="1:5">
      <c r="A195" t="str">
        <f ca="1">IF(OR(Start.listina!H203&gt;Start.listina!$K$7,Start.listina!G203=TRUE),"",Start.listina!H203)</f>
        <v/>
      </c>
      <c r="B195" s="2" t="str">
        <f ca="1">IF(A195&gt;Start.listina!$K$7,"",ADDRESS(INT((A195-1)/$M$2)+1,IF(MOD(A195,$M$2)=0,IF(MOD(INT((A195-1)/$M$2)+1,2)=1,$M$2,1),IF(MOD(INT((A195-1)/$M$2)+1,2)=1,MOD(A195,$M$2),$M$2-MOD(A195,$M$2)+1)),4,1))</f>
        <v/>
      </c>
      <c r="C195" s="11" t="str">
        <f ca="1">Start.listina!$AL203</f>
        <v/>
      </c>
      <c r="D195" s="2" t="str">
        <f ca="1">IF(A195&gt;Start.listina!$K$7,"",INT((A195-1)/$M$2)+1)</f>
        <v/>
      </c>
      <c r="E195" s="301" t="str">
        <f ca="1">IF(A195&gt;Start.listina!$K$7,"",MIN(F195:L195))</f>
        <v/>
      </c>
    </row>
    <row r="196" spans="1:5">
      <c r="A196" t="str">
        <f ca="1">IF(OR(Start.listina!H204&gt;Start.listina!$K$7,Start.listina!G204=TRUE),"",Start.listina!H204)</f>
        <v/>
      </c>
      <c r="B196" s="2" t="str">
        <f ca="1">IF(A196&gt;Start.listina!$K$7,"",ADDRESS(INT((A196-1)/$M$2)+1,IF(MOD(A196,$M$2)=0,IF(MOD(INT((A196-1)/$M$2)+1,2)=1,$M$2,1),IF(MOD(INT((A196-1)/$M$2)+1,2)=1,MOD(A196,$M$2),$M$2-MOD(A196,$M$2)+1)),4,1))</f>
        <v/>
      </c>
      <c r="C196" s="11" t="str">
        <f ca="1">Start.listina!$AL204</f>
        <v/>
      </c>
      <c r="D196" s="2" t="str">
        <f ca="1">IF(A196&gt;Start.listina!$K$7,"",INT((A196-1)/$M$2)+1)</f>
        <v/>
      </c>
      <c r="E196" s="301" t="str">
        <f ca="1">IF(A196&gt;Start.listina!$K$7,"",MIN(F196:L196))</f>
        <v/>
      </c>
    </row>
    <row r="197" spans="1:5">
      <c r="A197" t="str">
        <f ca="1">IF(OR(Start.listina!H205&gt;Start.listina!$K$7,Start.listina!G205=TRUE),"",Start.listina!H205)</f>
        <v/>
      </c>
      <c r="B197" s="2" t="str">
        <f ca="1">IF(A197&gt;Start.listina!$K$7,"",ADDRESS(INT((A197-1)/$M$2)+1,IF(MOD(A197,$M$2)=0,IF(MOD(INT((A197-1)/$M$2)+1,2)=1,$M$2,1),IF(MOD(INT((A197-1)/$M$2)+1,2)=1,MOD(A197,$M$2),$M$2-MOD(A197,$M$2)+1)),4,1))</f>
        <v/>
      </c>
      <c r="C197" s="11" t="str">
        <f ca="1">Start.listina!$AL205</f>
        <v/>
      </c>
      <c r="D197" s="2" t="str">
        <f ca="1">IF(A197&gt;Start.listina!$K$7,"",INT((A197-1)/$M$2)+1)</f>
        <v/>
      </c>
      <c r="E197" s="301" t="str">
        <f ca="1">IF(A197&gt;Start.listina!$K$7,"",MIN(F197:L197))</f>
        <v/>
      </c>
    </row>
    <row r="198" spans="1:5">
      <c r="A198" t="str">
        <f ca="1">IF(OR(Start.listina!H206&gt;Start.listina!$K$7,Start.listina!G206=TRUE),"",Start.listina!H206)</f>
        <v/>
      </c>
      <c r="B198" s="2" t="str">
        <f ca="1">IF(A198&gt;Start.listina!$K$7,"",ADDRESS(INT((A198-1)/$M$2)+1,IF(MOD(A198,$M$2)=0,IF(MOD(INT((A198-1)/$M$2)+1,2)=1,$M$2,1),IF(MOD(INT((A198-1)/$M$2)+1,2)=1,MOD(A198,$M$2),$M$2-MOD(A198,$M$2)+1)),4,1))</f>
        <v/>
      </c>
      <c r="C198" s="11" t="str">
        <f ca="1">Start.listina!$AL206</f>
        <v/>
      </c>
      <c r="D198" s="2" t="str">
        <f ca="1">IF(A198&gt;Start.listina!$K$7,"",INT((A198-1)/$M$2)+1)</f>
        <v/>
      </c>
      <c r="E198" s="301" t="str">
        <f ca="1">IF(A198&gt;Start.listina!$K$7,"",MIN(F198:L198))</f>
        <v/>
      </c>
    </row>
    <row r="199" spans="1:5">
      <c r="A199" t="str">
        <f ca="1">IF(OR(Start.listina!H207&gt;Start.listina!$K$7,Start.listina!G207=TRUE),"",Start.listina!H207)</f>
        <v/>
      </c>
      <c r="B199" s="2" t="str">
        <f ca="1">IF(A199&gt;Start.listina!$K$7,"",ADDRESS(INT((A199-1)/$M$2)+1,IF(MOD(A199,$M$2)=0,IF(MOD(INT((A199-1)/$M$2)+1,2)=1,$M$2,1),IF(MOD(INT((A199-1)/$M$2)+1,2)=1,MOD(A199,$M$2),$M$2-MOD(A199,$M$2)+1)),4,1))</f>
        <v/>
      </c>
      <c r="C199" s="11" t="str">
        <f ca="1">Start.listina!$AL207</f>
        <v/>
      </c>
      <c r="D199" s="2" t="str">
        <f ca="1">IF(A199&gt;Start.listina!$K$7,"",INT((A199-1)/$M$2)+1)</f>
        <v/>
      </c>
      <c r="E199" s="301" t="str">
        <f ca="1">IF(A199&gt;Start.listina!$K$7,"",MIN(F199:L199))</f>
        <v/>
      </c>
    </row>
    <row r="200" spans="1:5">
      <c r="A200" t="str">
        <f ca="1">IF(OR(Start.listina!H208&gt;Start.listina!$K$7,Start.listina!G208=TRUE),"",Start.listina!H208)</f>
        <v/>
      </c>
      <c r="B200" s="2" t="str">
        <f ca="1">IF(A200&gt;Start.listina!$K$7,"",ADDRESS(INT((A200-1)/$M$2)+1,IF(MOD(A200,$M$2)=0,IF(MOD(INT((A200-1)/$M$2)+1,2)=1,$M$2,1),IF(MOD(INT((A200-1)/$M$2)+1,2)=1,MOD(A200,$M$2),$M$2-MOD(A200,$M$2)+1)),4,1))</f>
        <v/>
      </c>
      <c r="C200" s="11" t="str">
        <f ca="1">Start.listina!$AL208</f>
        <v/>
      </c>
      <c r="D200" s="2" t="str">
        <f ca="1">IF(A200&gt;Start.listina!$K$7,"",INT((A200-1)/$M$2)+1)</f>
        <v/>
      </c>
      <c r="E200" s="301" t="str">
        <f ca="1">IF(A200&gt;Start.listina!$K$7,"",MIN(F200:L200))</f>
        <v/>
      </c>
    </row>
    <row r="201" spans="1:5">
      <c r="A201" t="str">
        <f ca="1">IF(OR(Start.listina!H209&gt;Start.listina!$K$7,Start.listina!G209=TRUE),"",Start.listina!H209)</f>
        <v/>
      </c>
      <c r="B201" s="2" t="str">
        <f ca="1">IF(A201&gt;Start.listina!$K$7,"",ADDRESS(INT((A201-1)/$M$2)+1,IF(MOD(A201,$M$2)=0,IF(MOD(INT((A201-1)/$M$2)+1,2)=1,$M$2,1),IF(MOD(INT((A201-1)/$M$2)+1,2)=1,MOD(A201,$M$2),$M$2-MOD(A201,$M$2)+1)),4,1))</f>
        <v/>
      </c>
      <c r="C201" s="11" t="str">
        <f ca="1">Start.listina!$AL209</f>
        <v/>
      </c>
      <c r="D201" s="2" t="str">
        <f ca="1">IF(A201&gt;Start.listina!$K$7,"",INT((A201-1)/$M$2)+1)</f>
        <v/>
      </c>
      <c r="E201" s="301" t="str">
        <f ca="1">IF(A201&gt;Start.listina!$K$7,"",MIN(F201:L201))</f>
        <v/>
      </c>
    </row>
    <row r="202" spans="1:5">
      <c r="A202" t="str">
        <f ca="1">IF(OR(Start.listina!H210&gt;Start.listina!$K$7,Start.listina!G210=TRUE),"",Start.listina!H210)</f>
        <v/>
      </c>
      <c r="B202" s="2" t="str">
        <f ca="1">IF(A202&gt;Start.listina!$K$7,"",ADDRESS(INT((A202-1)/$M$2)+1,IF(MOD(A202,$M$2)=0,IF(MOD(INT((A202-1)/$M$2)+1,2)=1,$M$2,1),IF(MOD(INT((A202-1)/$M$2)+1,2)=1,MOD(A202,$M$2),$M$2-MOD(A202,$M$2)+1)),4,1))</f>
        <v/>
      </c>
      <c r="C202" s="11" t="str">
        <f ca="1">Start.listina!$AL210</f>
        <v/>
      </c>
      <c r="D202" s="2" t="str">
        <f ca="1">IF(A202&gt;Start.listina!$K$7,"",INT((A202-1)/$M$2)+1)</f>
        <v/>
      </c>
      <c r="E202" s="301" t="str">
        <f ca="1">IF(A202&gt;Start.listina!$K$7,"",MIN(F202:L202))</f>
        <v/>
      </c>
    </row>
    <row r="203" spans="1:5">
      <c r="A203" t="str">
        <f ca="1">IF(OR(Start.listina!H211&gt;Start.listina!$K$7,Start.listina!G211=TRUE),"",Start.listina!H211)</f>
        <v/>
      </c>
      <c r="B203" s="2" t="str">
        <f ca="1">IF(A203&gt;Start.listina!$K$7,"",ADDRESS(INT((A203-1)/$M$2)+1,IF(MOD(A203,$M$2)=0,IF(MOD(INT((A203-1)/$M$2)+1,2)=1,$M$2,1),IF(MOD(INT((A203-1)/$M$2)+1,2)=1,MOD(A203,$M$2),$M$2-MOD(A203,$M$2)+1)),4,1))</f>
        <v/>
      </c>
      <c r="C203" s="11" t="str">
        <f ca="1">Start.listina!$AL211</f>
        <v/>
      </c>
      <c r="D203" s="2" t="str">
        <f ca="1">IF(A203&gt;Start.listina!$K$7,"",INT((A203-1)/$M$2)+1)</f>
        <v/>
      </c>
      <c r="E203" s="301" t="str">
        <f ca="1">IF(A203&gt;Start.listina!$K$7,"",MIN(F203:L203))</f>
        <v/>
      </c>
    </row>
    <row r="204" spans="1:5">
      <c r="A204" t="str">
        <f ca="1">IF(OR(Start.listina!H212&gt;Start.listina!$K$7,Start.listina!G212=TRUE),"",Start.listina!H212)</f>
        <v/>
      </c>
      <c r="B204" s="2" t="str">
        <f ca="1">IF(A204&gt;Start.listina!$K$7,"",ADDRESS(INT((A204-1)/$M$2)+1,IF(MOD(A204,$M$2)=0,IF(MOD(INT((A204-1)/$M$2)+1,2)=1,$M$2,1),IF(MOD(INT((A204-1)/$M$2)+1,2)=1,MOD(A204,$M$2),$M$2-MOD(A204,$M$2)+1)),4,1))</f>
        <v/>
      </c>
      <c r="C204" s="11" t="str">
        <f ca="1">Start.listina!$AL212</f>
        <v/>
      </c>
      <c r="D204" s="2" t="str">
        <f ca="1">IF(A204&gt;Start.listina!$K$7,"",INT((A204-1)/$M$2)+1)</f>
        <v/>
      </c>
      <c r="E204" s="301" t="str">
        <f ca="1">IF(A204&gt;Start.listina!$K$7,"",MIN(F204:L204))</f>
        <v/>
      </c>
    </row>
    <row r="205" spans="1:5">
      <c r="A205" t="str">
        <f ca="1">IF(OR(Start.listina!H213&gt;Start.listina!$K$7,Start.listina!G213=TRUE),"",Start.listina!H213)</f>
        <v/>
      </c>
      <c r="B205" s="2" t="str">
        <f ca="1">IF(A205&gt;Start.listina!$K$7,"",ADDRESS(INT((A205-1)/$M$2)+1,IF(MOD(A205,$M$2)=0,IF(MOD(INT((A205-1)/$M$2)+1,2)=1,$M$2,1),IF(MOD(INT((A205-1)/$M$2)+1,2)=1,MOD(A205,$M$2),$M$2-MOD(A205,$M$2)+1)),4,1))</f>
        <v/>
      </c>
      <c r="C205" s="11" t="str">
        <f ca="1">Start.listina!$AL213</f>
        <v/>
      </c>
      <c r="D205" s="2" t="str">
        <f ca="1">IF(A205&gt;Start.listina!$K$7,"",INT((A205-1)/$M$2)+1)</f>
        <v/>
      </c>
      <c r="E205" s="301" t="str">
        <f ca="1">IF(A205&gt;Start.listina!$K$7,"",MIN(F205:L205))</f>
        <v/>
      </c>
    </row>
    <row r="206" spans="1:5">
      <c r="A206" t="str">
        <f ca="1">IF(OR(Start.listina!H214&gt;Start.listina!$K$7,Start.listina!G214=TRUE),"",Start.listina!H214)</f>
        <v/>
      </c>
      <c r="B206" s="2" t="str">
        <f ca="1">IF(A206&gt;Start.listina!$K$7,"",ADDRESS(INT((A206-1)/$M$2)+1,IF(MOD(A206,$M$2)=0,IF(MOD(INT((A206-1)/$M$2)+1,2)=1,$M$2,1),IF(MOD(INT((A206-1)/$M$2)+1,2)=1,MOD(A206,$M$2),$M$2-MOD(A206,$M$2)+1)),4,1))</f>
        <v/>
      </c>
      <c r="C206" s="11" t="str">
        <f ca="1">Start.listina!$AL214</f>
        <v/>
      </c>
      <c r="D206" s="2" t="str">
        <f ca="1">IF(A206&gt;Start.listina!$K$7,"",INT((A206-1)/$M$2)+1)</f>
        <v/>
      </c>
      <c r="E206" s="301" t="str">
        <f ca="1">IF(A206&gt;Start.listina!$K$7,"",MIN(F206:L206))</f>
        <v/>
      </c>
    </row>
    <row r="207" spans="1:5">
      <c r="A207" t="str">
        <f ca="1">IF(OR(Start.listina!H215&gt;Start.listina!$K$7,Start.listina!G215=TRUE),"",Start.listina!H215)</f>
        <v/>
      </c>
      <c r="B207" s="2" t="str">
        <f ca="1">IF(A207&gt;Start.listina!$K$7,"",ADDRESS(INT((A207-1)/$M$2)+1,IF(MOD(A207,$M$2)=0,IF(MOD(INT((A207-1)/$M$2)+1,2)=1,$M$2,1),IF(MOD(INT((A207-1)/$M$2)+1,2)=1,MOD(A207,$M$2),$M$2-MOD(A207,$M$2)+1)),4,1))</f>
        <v/>
      </c>
      <c r="C207" s="11" t="str">
        <f ca="1">Start.listina!$AL215</f>
        <v/>
      </c>
      <c r="D207" s="2" t="str">
        <f ca="1">IF(A207&gt;Start.listina!$K$7,"",INT((A207-1)/$M$2)+1)</f>
        <v/>
      </c>
      <c r="E207" s="301" t="str">
        <f ca="1">IF(A207&gt;Start.listina!$K$7,"",MIN(F207:L207))</f>
        <v/>
      </c>
    </row>
    <row r="208" spans="1:5">
      <c r="A208" t="str">
        <f ca="1">IF(OR(Start.listina!H216&gt;Start.listina!$K$7,Start.listina!G216=TRUE),"",Start.listina!H216)</f>
        <v/>
      </c>
      <c r="B208" s="2" t="str">
        <f ca="1">IF(A208&gt;Start.listina!$K$7,"",ADDRESS(INT((A208-1)/$M$2)+1,IF(MOD(A208,$M$2)=0,IF(MOD(INT((A208-1)/$M$2)+1,2)=1,$M$2,1),IF(MOD(INT((A208-1)/$M$2)+1,2)=1,MOD(A208,$M$2),$M$2-MOD(A208,$M$2)+1)),4,1))</f>
        <v/>
      </c>
      <c r="C208" s="11" t="str">
        <f ca="1">Start.listina!$AL216</f>
        <v/>
      </c>
      <c r="D208" s="2" t="str">
        <f ca="1">IF(A208&gt;Start.listina!$K$7,"",INT((A208-1)/$M$2)+1)</f>
        <v/>
      </c>
      <c r="E208" s="301" t="str">
        <f ca="1">IF(A208&gt;Start.listina!$K$7,"",MIN(F208:L208))</f>
        <v/>
      </c>
    </row>
    <row r="209" spans="1:5">
      <c r="A209" t="str">
        <f ca="1">IF(OR(Start.listina!H217&gt;Start.listina!$K$7,Start.listina!G217=TRUE),"",Start.listina!H217)</f>
        <v/>
      </c>
      <c r="B209" s="2" t="str">
        <f ca="1">IF(A209&gt;Start.listina!$K$7,"",ADDRESS(INT((A209-1)/$M$2)+1,IF(MOD(A209,$M$2)=0,IF(MOD(INT((A209-1)/$M$2)+1,2)=1,$M$2,1),IF(MOD(INT((A209-1)/$M$2)+1,2)=1,MOD(A209,$M$2),$M$2-MOD(A209,$M$2)+1)),4,1))</f>
        <v/>
      </c>
      <c r="C209" s="11" t="str">
        <f ca="1">Start.listina!$AL217</f>
        <v/>
      </c>
      <c r="D209" s="2" t="str">
        <f ca="1">IF(A209&gt;Start.listina!$K$7,"",INT((A209-1)/$M$2)+1)</f>
        <v/>
      </c>
      <c r="E209" s="301" t="str">
        <f ca="1">IF(A209&gt;Start.listina!$K$7,"",MIN(F209:L209))</f>
        <v/>
      </c>
    </row>
    <row r="210" spans="1:5">
      <c r="A210" t="str">
        <f ca="1">IF(OR(Start.listina!H218&gt;Start.listina!$K$7,Start.listina!G218=TRUE),"",Start.listina!H218)</f>
        <v/>
      </c>
      <c r="B210" s="2" t="str">
        <f ca="1">IF(A210&gt;Start.listina!$K$7,"",ADDRESS(INT((A210-1)/$M$2)+1,IF(MOD(A210,$M$2)=0,IF(MOD(INT((A210-1)/$M$2)+1,2)=1,$M$2,1),IF(MOD(INT((A210-1)/$M$2)+1,2)=1,MOD(A210,$M$2),$M$2-MOD(A210,$M$2)+1)),4,1))</f>
        <v/>
      </c>
      <c r="C210" s="11" t="str">
        <f ca="1">Start.listina!$AL218</f>
        <v/>
      </c>
      <c r="D210" s="2" t="str">
        <f ca="1">IF(A210&gt;Start.listina!$K$7,"",INT((A210-1)/$M$2)+1)</f>
        <v/>
      </c>
      <c r="E210" s="301" t="str">
        <f ca="1">IF(A210&gt;Start.listina!$K$7,"",MIN(F210:L210))</f>
        <v/>
      </c>
    </row>
    <row r="211" spans="1:5">
      <c r="A211" t="str">
        <f ca="1">IF(OR(Start.listina!H219&gt;Start.listina!$K$7,Start.listina!G219=TRUE),"",Start.listina!H219)</f>
        <v/>
      </c>
      <c r="B211" s="2" t="str">
        <f ca="1">IF(A211&gt;Start.listina!$K$7,"",ADDRESS(INT((A211-1)/$M$2)+1,IF(MOD(A211,$M$2)=0,IF(MOD(INT((A211-1)/$M$2)+1,2)=1,$M$2,1),IF(MOD(INT((A211-1)/$M$2)+1,2)=1,MOD(A211,$M$2),$M$2-MOD(A211,$M$2)+1)),4,1))</f>
        <v/>
      </c>
      <c r="C211" s="11" t="str">
        <f ca="1">Start.listina!$AL219</f>
        <v/>
      </c>
      <c r="D211" s="2" t="str">
        <f ca="1">IF(A211&gt;Start.listina!$K$7,"",INT((A211-1)/$M$2)+1)</f>
        <v/>
      </c>
      <c r="E211" s="301" t="str">
        <f ca="1">IF(A211&gt;Start.listina!$K$7,"",MIN(F211:L211))</f>
        <v/>
      </c>
    </row>
    <row r="212" spans="1:5">
      <c r="A212" t="str">
        <f ca="1">IF(OR(Start.listina!H220&gt;Start.listina!$K$7,Start.listina!G220=TRUE),"",Start.listina!H220)</f>
        <v/>
      </c>
      <c r="B212" s="2" t="str">
        <f ca="1">IF(A212&gt;Start.listina!$K$7,"",ADDRESS(INT((A212-1)/$M$2)+1,IF(MOD(A212,$M$2)=0,IF(MOD(INT((A212-1)/$M$2)+1,2)=1,$M$2,1),IF(MOD(INT((A212-1)/$M$2)+1,2)=1,MOD(A212,$M$2),$M$2-MOD(A212,$M$2)+1)),4,1))</f>
        <v/>
      </c>
      <c r="C212" s="11" t="str">
        <f ca="1">Start.listina!$AL220</f>
        <v/>
      </c>
      <c r="D212" s="2" t="str">
        <f ca="1">IF(A212&gt;Start.listina!$K$7,"",INT((A212-1)/$M$2)+1)</f>
        <v/>
      </c>
      <c r="E212" s="301" t="str">
        <f ca="1">IF(A212&gt;Start.listina!$K$7,"",MIN(F212:L212))</f>
        <v/>
      </c>
    </row>
    <row r="213" spans="1:5">
      <c r="A213" t="str">
        <f ca="1">IF(OR(Start.listina!H221&gt;Start.listina!$K$7,Start.listina!G221=TRUE),"",Start.listina!H221)</f>
        <v/>
      </c>
      <c r="B213" s="2" t="str">
        <f ca="1">IF(A213&gt;Start.listina!$K$7,"",ADDRESS(INT((A213-1)/$M$2)+1,IF(MOD(A213,$M$2)=0,IF(MOD(INT((A213-1)/$M$2)+1,2)=1,$M$2,1),IF(MOD(INT((A213-1)/$M$2)+1,2)=1,MOD(A213,$M$2),$M$2-MOD(A213,$M$2)+1)),4,1))</f>
        <v/>
      </c>
      <c r="C213" s="11" t="str">
        <f ca="1">Start.listina!$AL221</f>
        <v/>
      </c>
      <c r="D213" s="2" t="str">
        <f ca="1">IF(A213&gt;Start.listina!$K$7,"",INT((A213-1)/$M$2)+1)</f>
        <v/>
      </c>
      <c r="E213" s="301" t="str">
        <f ca="1">IF(A213&gt;Start.listina!$K$7,"",MIN(F213:L213))</f>
        <v/>
      </c>
    </row>
    <row r="214" spans="1:5">
      <c r="A214" t="str">
        <f ca="1">IF(OR(Start.listina!H222&gt;Start.listina!$K$7,Start.listina!G222=TRUE),"",Start.listina!H222)</f>
        <v/>
      </c>
      <c r="B214" s="2" t="str">
        <f ca="1">IF(A214&gt;Start.listina!$K$7,"",ADDRESS(INT((A214-1)/$M$2)+1,IF(MOD(A214,$M$2)=0,IF(MOD(INT((A214-1)/$M$2)+1,2)=1,$M$2,1),IF(MOD(INT((A214-1)/$M$2)+1,2)=1,MOD(A214,$M$2),$M$2-MOD(A214,$M$2)+1)),4,1))</f>
        <v/>
      </c>
      <c r="C214" s="11" t="str">
        <f ca="1">Start.listina!$AL222</f>
        <v/>
      </c>
      <c r="D214" s="2" t="str">
        <f ca="1">IF(A214&gt;Start.listina!$K$7,"",INT((A214-1)/$M$2)+1)</f>
        <v/>
      </c>
      <c r="E214" s="301" t="str">
        <f ca="1">IF(A214&gt;Start.listina!$K$7,"",MIN(F214:L214))</f>
        <v/>
      </c>
    </row>
    <row r="215" spans="1:5">
      <c r="A215" t="str">
        <f ca="1">IF(OR(Start.listina!H223&gt;Start.listina!$K$7,Start.listina!G223=TRUE),"",Start.listina!H223)</f>
        <v/>
      </c>
      <c r="B215" s="2" t="str">
        <f ca="1">IF(A215&gt;Start.listina!$K$7,"",ADDRESS(INT((A215-1)/$M$2)+1,IF(MOD(A215,$M$2)=0,IF(MOD(INT((A215-1)/$M$2)+1,2)=1,$M$2,1),IF(MOD(INT((A215-1)/$M$2)+1,2)=1,MOD(A215,$M$2),$M$2-MOD(A215,$M$2)+1)),4,1))</f>
        <v/>
      </c>
      <c r="C215" s="11" t="str">
        <f ca="1">Start.listina!$AL223</f>
        <v/>
      </c>
      <c r="D215" s="2" t="str">
        <f ca="1">IF(A215&gt;Start.listina!$K$7,"",INT((A215-1)/$M$2)+1)</f>
        <v/>
      </c>
      <c r="E215" s="301" t="str">
        <f ca="1">IF(A215&gt;Start.listina!$K$7,"",MIN(F215:L215))</f>
        <v/>
      </c>
    </row>
    <row r="216" spans="1:5">
      <c r="A216" t="str">
        <f ca="1">IF(OR(Start.listina!H224&gt;Start.listina!$K$7,Start.listina!G224=TRUE),"",Start.listina!H224)</f>
        <v/>
      </c>
      <c r="B216" s="2" t="str">
        <f ca="1">IF(A216&gt;Start.listina!$K$7,"",ADDRESS(INT((A216-1)/$M$2)+1,IF(MOD(A216,$M$2)=0,IF(MOD(INT((A216-1)/$M$2)+1,2)=1,$M$2,1),IF(MOD(INT((A216-1)/$M$2)+1,2)=1,MOD(A216,$M$2),$M$2-MOD(A216,$M$2)+1)),4,1))</f>
        <v/>
      </c>
      <c r="C216" s="11" t="str">
        <f ca="1">Start.listina!$AL224</f>
        <v/>
      </c>
      <c r="D216" s="2" t="str">
        <f ca="1">IF(A216&gt;Start.listina!$K$7,"",INT((A216-1)/$M$2)+1)</f>
        <v/>
      </c>
      <c r="E216" s="301" t="str">
        <f ca="1">IF(A216&gt;Start.listina!$K$7,"",MIN(F216:L216))</f>
        <v/>
      </c>
    </row>
    <row r="217" spans="1:5">
      <c r="A217" t="str">
        <f ca="1">IF(OR(Start.listina!H225&gt;Start.listina!$K$7,Start.listina!G225=TRUE),"",Start.listina!H225)</f>
        <v/>
      </c>
      <c r="B217" s="2" t="str">
        <f ca="1">IF(A217&gt;Start.listina!$K$7,"",ADDRESS(INT((A217-1)/$M$2)+1,IF(MOD(A217,$M$2)=0,IF(MOD(INT((A217-1)/$M$2)+1,2)=1,$M$2,1),IF(MOD(INT((A217-1)/$M$2)+1,2)=1,MOD(A217,$M$2),$M$2-MOD(A217,$M$2)+1)),4,1))</f>
        <v/>
      </c>
      <c r="C217" s="11" t="str">
        <f ca="1">Start.listina!$AL225</f>
        <v/>
      </c>
      <c r="D217" s="2" t="str">
        <f ca="1">IF(A217&gt;Start.listina!$K$7,"",INT((A217-1)/$M$2)+1)</f>
        <v/>
      </c>
      <c r="E217" s="301" t="str">
        <f ca="1">IF(A217&gt;Start.listina!$K$7,"",MIN(F217:L217))</f>
        <v/>
      </c>
    </row>
    <row r="218" spans="1:5">
      <c r="A218" t="str">
        <f ca="1">IF(OR(Start.listina!H226&gt;Start.listina!$K$7,Start.listina!G226=TRUE),"",Start.listina!H226)</f>
        <v/>
      </c>
      <c r="B218" s="2" t="str">
        <f ca="1">IF(A218&gt;Start.listina!$K$7,"",ADDRESS(INT((A218-1)/$M$2)+1,IF(MOD(A218,$M$2)=0,IF(MOD(INT((A218-1)/$M$2)+1,2)=1,$M$2,1),IF(MOD(INT((A218-1)/$M$2)+1,2)=1,MOD(A218,$M$2),$M$2-MOD(A218,$M$2)+1)),4,1))</f>
        <v/>
      </c>
      <c r="C218" s="11" t="str">
        <f ca="1">Start.listina!$AL226</f>
        <v/>
      </c>
      <c r="D218" s="2" t="str">
        <f ca="1">IF(A218&gt;Start.listina!$K$7,"",INT((A218-1)/$M$2)+1)</f>
        <v/>
      </c>
      <c r="E218" s="301" t="str">
        <f ca="1">IF(A218&gt;Start.listina!$K$7,"",MIN(F218:L218))</f>
        <v/>
      </c>
    </row>
    <row r="219" spans="1:5">
      <c r="A219" t="str">
        <f ca="1">IF(OR(Start.listina!H227&gt;Start.listina!$K$7,Start.listina!G227=TRUE),"",Start.listina!H227)</f>
        <v/>
      </c>
      <c r="B219" s="2" t="str">
        <f ca="1">IF(A219&gt;Start.listina!$K$7,"",ADDRESS(INT((A219-1)/$M$2)+1,IF(MOD(A219,$M$2)=0,IF(MOD(INT((A219-1)/$M$2)+1,2)=1,$M$2,1),IF(MOD(INT((A219-1)/$M$2)+1,2)=1,MOD(A219,$M$2),$M$2-MOD(A219,$M$2)+1)),4,1))</f>
        <v/>
      </c>
      <c r="C219" s="11" t="str">
        <f ca="1">Start.listina!$AL227</f>
        <v/>
      </c>
      <c r="D219" s="2" t="str">
        <f ca="1">IF(A219&gt;Start.listina!$K$7,"",INT((A219-1)/$M$2)+1)</f>
        <v/>
      </c>
      <c r="E219" s="301" t="str">
        <f ca="1">IF(A219&gt;Start.listina!$K$7,"",MIN(F219:L219))</f>
        <v/>
      </c>
    </row>
    <row r="220" spans="1:5">
      <c r="A220" t="str">
        <f ca="1">IF(OR(Start.listina!H228&gt;Start.listina!$K$7,Start.listina!G228=TRUE),"",Start.listina!H228)</f>
        <v/>
      </c>
      <c r="B220" s="2" t="str">
        <f ca="1">IF(A220&gt;Start.listina!$K$7,"",ADDRESS(INT((A220-1)/$M$2)+1,IF(MOD(A220,$M$2)=0,IF(MOD(INT((A220-1)/$M$2)+1,2)=1,$M$2,1),IF(MOD(INT((A220-1)/$M$2)+1,2)=1,MOD(A220,$M$2),$M$2-MOD(A220,$M$2)+1)),4,1))</f>
        <v/>
      </c>
      <c r="C220" s="11" t="str">
        <f ca="1">Start.listina!$AL228</f>
        <v/>
      </c>
      <c r="D220" s="2" t="str">
        <f ca="1">IF(A220&gt;Start.listina!$K$7,"",INT((A220-1)/$M$2)+1)</f>
        <v/>
      </c>
      <c r="E220" s="301" t="str">
        <f ca="1">IF(A220&gt;Start.listina!$K$7,"",MIN(F220:L220))</f>
        <v/>
      </c>
    </row>
    <row r="221" spans="1:5">
      <c r="A221" t="str">
        <f ca="1">IF(OR(Start.listina!H229&gt;Start.listina!$K$7,Start.listina!G229=TRUE),"",Start.listina!H229)</f>
        <v/>
      </c>
      <c r="B221" s="2" t="str">
        <f ca="1">IF(A221&gt;Start.listina!$K$7,"",ADDRESS(INT((A221-1)/$M$2)+1,IF(MOD(A221,$M$2)=0,IF(MOD(INT((A221-1)/$M$2)+1,2)=1,$M$2,1),IF(MOD(INT((A221-1)/$M$2)+1,2)=1,MOD(A221,$M$2),$M$2-MOD(A221,$M$2)+1)),4,1))</f>
        <v/>
      </c>
      <c r="C221" s="11" t="str">
        <f ca="1">Start.listina!$AL229</f>
        <v/>
      </c>
      <c r="D221" s="2" t="str">
        <f ca="1">IF(A221&gt;Start.listina!$K$7,"",INT((A221-1)/$M$2)+1)</f>
        <v/>
      </c>
      <c r="E221" s="301" t="str">
        <f ca="1">IF(A221&gt;Start.listina!$K$7,"",MIN(F221:L221))</f>
        <v/>
      </c>
    </row>
    <row r="222" spans="1:5">
      <c r="A222" t="str">
        <f ca="1">IF(OR(Start.listina!H230&gt;Start.listina!$K$7,Start.listina!G230=TRUE),"",Start.listina!H230)</f>
        <v/>
      </c>
      <c r="B222" s="2" t="str">
        <f ca="1">IF(A222&gt;Start.listina!$K$7,"",ADDRESS(INT((A222-1)/$M$2)+1,IF(MOD(A222,$M$2)=0,IF(MOD(INT((A222-1)/$M$2)+1,2)=1,$M$2,1),IF(MOD(INT((A222-1)/$M$2)+1,2)=1,MOD(A222,$M$2),$M$2-MOD(A222,$M$2)+1)),4,1))</f>
        <v/>
      </c>
      <c r="C222" s="11" t="str">
        <f ca="1">Start.listina!$AL230</f>
        <v/>
      </c>
      <c r="D222" s="2" t="str">
        <f ca="1">IF(A222&gt;Start.listina!$K$7,"",INT((A222-1)/$M$2)+1)</f>
        <v/>
      </c>
      <c r="E222" s="301" t="str">
        <f ca="1">IF(A222&gt;Start.listina!$K$7,"",MIN(F222:L222))</f>
        <v/>
      </c>
    </row>
    <row r="223" spans="1:5">
      <c r="A223" t="str">
        <f ca="1">IF(OR(Start.listina!H231&gt;Start.listina!$K$7,Start.listina!G231=TRUE),"",Start.listina!H231)</f>
        <v/>
      </c>
      <c r="B223" s="2" t="str">
        <f ca="1">IF(A223&gt;Start.listina!$K$7,"",ADDRESS(INT((A223-1)/$M$2)+1,IF(MOD(A223,$M$2)=0,IF(MOD(INT((A223-1)/$M$2)+1,2)=1,$M$2,1),IF(MOD(INT((A223-1)/$M$2)+1,2)=1,MOD(A223,$M$2),$M$2-MOD(A223,$M$2)+1)),4,1))</f>
        <v/>
      </c>
      <c r="C223" s="11" t="str">
        <f ca="1">Start.listina!$AL231</f>
        <v/>
      </c>
      <c r="D223" s="2" t="str">
        <f ca="1">IF(A223&gt;Start.listina!$K$7,"",INT((A223-1)/$M$2)+1)</f>
        <v/>
      </c>
      <c r="E223" s="301" t="str">
        <f ca="1">IF(A223&gt;Start.listina!$K$7,"",MIN(F223:L223))</f>
        <v/>
      </c>
    </row>
    <row r="224" spans="1:5">
      <c r="A224" t="str">
        <f ca="1">IF(OR(Start.listina!H232&gt;Start.listina!$K$7,Start.listina!G232=TRUE),"",Start.listina!H232)</f>
        <v/>
      </c>
      <c r="B224" s="2" t="str">
        <f ca="1">IF(A224&gt;Start.listina!$K$7,"",ADDRESS(INT((A224-1)/$M$2)+1,IF(MOD(A224,$M$2)=0,IF(MOD(INT((A224-1)/$M$2)+1,2)=1,$M$2,1),IF(MOD(INT((A224-1)/$M$2)+1,2)=1,MOD(A224,$M$2),$M$2-MOD(A224,$M$2)+1)),4,1))</f>
        <v/>
      </c>
      <c r="C224" s="11" t="str">
        <f ca="1">Start.listina!$AL232</f>
        <v/>
      </c>
      <c r="D224" s="2" t="str">
        <f ca="1">IF(A224&gt;Start.listina!$K$7,"",INT((A224-1)/$M$2)+1)</f>
        <v/>
      </c>
      <c r="E224" s="301" t="str">
        <f ca="1">IF(A224&gt;Start.listina!$K$7,"",MIN(F224:L224))</f>
        <v/>
      </c>
    </row>
    <row r="225" spans="1:5">
      <c r="A225" t="str">
        <f ca="1">IF(OR(Start.listina!H233&gt;Start.listina!$K$7,Start.listina!G233=TRUE),"",Start.listina!H233)</f>
        <v/>
      </c>
      <c r="B225" s="2" t="str">
        <f ca="1">IF(A225&gt;Start.listina!$K$7,"",ADDRESS(INT((A225-1)/$M$2)+1,IF(MOD(A225,$M$2)=0,IF(MOD(INT((A225-1)/$M$2)+1,2)=1,$M$2,1),IF(MOD(INT((A225-1)/$M$2)+1,2)=1,MOD(A225,$M$2),$M$2-MOD(A225,$M$2)+1)),4,1))</f>
        <v/>
      </c>
      <c r="C225" s="11" t="str">
        <f ca="1">Start.listina!$AL233</f>
        <v/>
      </c>
      <c r="D225" s="2" t="str">
        <f ca="1">IF(A225&gt;Start.listina!$K$7,"",INT((A225-1)/$M$2)+1)</f>
        <v/>
      </c>
      <c r="E225" s="301" t="str">
        <f ca="1">IF(A225&gt;Start.listina!$K$7,"",MIN(F225:L225))</f>
        <v/>
      </c>
    </row>
    <row r="226" spans="1:5">
      <c r="A226" t="str">
        <f ca="1">IF(OR(Start.listina!H234&gt;Start.listina!$K$7,Start.listina!G234=TRUE),"",Start.listina!H234)</f>
        <v/>
      </c>
      <c r="B226" s="2" t="str">
        <f ca="1">IF(A226&gt;Start.listina!$K$7,"",ADDRESS(INT((A226-1)/$M$2)+1,IF(MOD(A226,$M$2)=0,IF(MOD(INT((A226-1)/$M$2)+1,2)=1,$M$2,1),IF(MOD(INT((A226-1)/$M$2)+1,2)=1,MOD(A226,$M$2),$M$2-MOD(A226,$M$2)+1)),4,1))</f>
        <v/>
      </c>
      <c r="C226" s="11" t="str">
        <f ca="1">Start.listina!$AL234</f>
        <v/>
      </c>
      <c r="D226" s="2" t="str">
        <f ca="1">IF(A226&gt;Start.listina!$K$7,"",INT((A226-1)/$M$2)+1)</f>
        <v/>
      </c>
      <c r="E226" s="301" t="str">
        <f ca="1">IF(A226&gt;Start.listina!$K$7,"",MIN(F226:L226))</f>
        <v/>
      </c>
    </row>
    <row r="227" spans="1:5">
      <c r="A227" t="str">
        <f ca="1">IF(OR(Start.listina!H235&gt;Start.listina!$K$7,Start.listina!G235=TRUE),"",Start.listina!H235)</f>
        <v/>
      </c>
      <c r="B227" s="2" t="str">
        <f ca="1">IF(A227&gt;Start.listina!$K$7,"",ADDRESS(INT((A227-1)/$M$2)+1,IF(MOD(A227,$M$2)=0,IF(MOD(INT((A227-1)/$M$2)+1,2)=1,$M$2,1),IF(MOD(INT((A227-1)/$M$2)+1,2)=1,MOD(A227,$M$2),$M$2-MOD(A227,$M$2)+1)),4,1))</f>
        <v/>
      </c>
      <c r="C227" s="11" t="str">
        <f ca="1">Start.listina!$AL235</f>
        <v/>
      </c>
      <c r="D227" s="2" t="str">
        <f ca="1">IF(A227&gt;Start.listina!$K$7,"",INT((A227-1)/$M$2)+1)</f>
        <v/>
      </c>
      <c r="E227" s="301" t="str">
        <f ca="1">IF(A227&gt;Start.listina!$K$7,"",MIN(F227:L227))</f>
        <v/>
      </c>
    </row>
    <row r="228" spans="1:5">
      <c r="A228" t="str">
        <f ca="1">IF(OR(Start.listina!H236&gt;Start.listina!$K$7,Start.listina!G236=TRUE),"",Start.listina!H236)</f>
        <v/>
      </c>
      <c r="B228" s="2" t="str">
        <f ca="1">IF(A228&gt;Start.listina!$K$7,"",ADDRESS(INT((A228-1)/$M$2)+1,IF(MOD(A228,$M$2)=0,IF(MOD(INT((A228-1)/$M$2)+1,2)=1,$M$2,1),IF(MOD(INT((A228-1)/$M$2)+1,2)=1,MOD(A228,$M$2),$M$2-MOD(A228,$M$2)+1)),4,1))</f>
        <v/>
      </c>
      <c r="C228" s="11" t="str">
        <f ca="1">Start.listina!$AL236</f>
        <v/>
      </c>
      <c r="D228" s="2" t="str">
        <f ca="1">IF(A228&gt;Start.listina!$K$7,"",INT((A228-1)/$M$2)+1)</f>
        <v/>
      </c>
      <c r="E228" s="301" t="str">
        <f ca="1">IF(A228&gt;Start.listina!$K$7,"",MIN(F228:L228))</f>
        <v/>
      </c>
    </row>
    <row r="229" spans="1:5">
      <c r="A229" t="str">
        <f ca="1">IF(OR(Start.listina!H237&gt;Start.listina!$K$7,Start.listina!G237=TRUE),"",Start.listina!H237)</f>
        <v/>
      </c>
      <c r="B229" s="2" t="str">
        <f ca="1">IF(A229&gt;Start.listina!$K$7,"",ADDRESS(INT((A229-1)/$M$2)+1,IF(MOD(A229,$M$2)=0,IF(MOD(INT((A229-1)/$M$2)+1,2)=1,$M$2,1),IF(MOD(INT((A229-1)/$M$2)+1,2)=1,MOD(A229,$M$2),$M$2-MOD(A229,$M$2)+1)),4,1))</f>
        <v/>
      </c>
      <c r="C229" s="11" t="str">
        <f ca="1">Start.listina!$AL237</f>
        <v/>
      </c>
      <c r="D229" s="2" t="str">
        <f ca="1">IF(A229&gt;Start.listina!$K$7,"",INT((A229-1)/$M$2)+1)</f>
        <v/>
      </c>
      <c r="E229" s="301" t="str">
        <f ca="1">IF(A229&gt;Start.listina!$K$7,"",MIN(F229:L229))</f>
        <v/>
      </c>
    </row>
    <row r="230" spans="1:5">
      <c r="A230" t="str">
        <f ca="1">IF(OR(Start.listina!H238&gt;Start.listina!$K$7,Start.listina!G238=TRUE),"",Start.listina!H238)</f>
        <v/>
      </c>
      <c r="B230" s="2" t="str">
        <f ca="1">IF(A230&gt;Start.listina!$K$7,"",ADDRESS(INT((A230-1)/$M$2)+1,IF(MOD(A230,$M$2)=0,IF(MOD(INT((A230-1)/$M$2)+1,2)=1,$M$2,1),IF(MOD(INT((A230-1)/$M$2)+1,2)=1,MOD(A230,$M$2),$M$2-MOD(A230,$M$2)+1)),4,1))</f>
        <v/>
      </c>
      <c r="C230" s="11" t="str">
        <f ca="1">Start.listina!$AL238</f>
        <v/>
      </c>
      <c r="D230" s="2" t="str">
        <f ca="1">IF(A230&gt;Start.listina!$K$7,"",INT((A230-1)/$M$2)+1)</f>
        <v/>
      </c>
      <c r="E230" s="301" t="str">
        <f ca="1">IF(A230&gt;Start.listina!$K$7,"",MIN(F230:L230))</f>
        <v/>
      </c>
    </row>
    <row r="231" spans="1:5">
      <c r="A231" t="str">
        <f ca="1">IF(OR(Start.listina!H239&gt;Start.listina!$K$7,Start.listina!G239=TRUE),"",Start.listina!H239)</f>
        <v/>
      </c>
      <c r="B231" s="2" t="str">
        <f ca="1">IF(A231&gt;Start.listina!$K$7,"",ADDRESS(INT((A231-1)/$M$2)+1,IF(MOD(A231,$M$2)=0,IF(MOD(INT((A231-1)/$M$2)+1,2)=1,$M$2,1),IF(MOD(INT((A231-1)/$M$2)+1,2)=1,MOD(A231,$M$2),$M$2-MOD(A231,$M$2)+1)),4,1))</f>
        <v/>
      </c>
      <c r="C231" s="11" t="str">
        <f ca="1">Start.listina!$AL239</f>
        <v/>
      </c>
      <c r="D231" s="2" t="str">
        <f ca="1">IF(A231&gt;Start.listina!$K$7,"",INT((A231-1)/$M$2)+1)</f>
        <v/>
      </c>
      <c r="E231" s="301" t="str">
        <f ca="1">IF(A231&gt;Start.listina!$K$7,"",MIN(F231:L231))</f>
        <v/>
      </c>
    </row>
    <row r="232" spans="1:5">
      <c r="A232" t="str">
        <f ca="1">IF(OR(Start.listina!H240&gt;Start.listina!$K$7,Start.listina!G240=TRUE),"",Start.listina!H240)</f>
        <v/>
      </c>
      <c r="B232" s="2" t="str">
        <f ca="1">IF(A232&gt;Start.listina!$K$7,"",ADDRESS(INT((A232-1)/$M$2)+1,IF(MOD(A232,$M$2)=0,IF(MOD(INT((A232-1)/$M$2)+1,2)=1,$M$2,1),IF(MOD(INT((A232-1)/$M$2)+1,2)=1,MOD(A232,$M$2),$M$2-MOD(A232,$M$2)+1)),4,1))</f>
        <v/>
      </c>
      <c r="C232" s="11" t="str">
        <f ca="1">Start.listina!$AL240</f>
        <v/>
      </c>
      <c r="D232" s="2" t="str">
        <f ca="1">IF(A232&gt;Start.listina!$K$7,"",INT((A232-1)/$M$2)+1)</f>
        <v/>
      </c>
      <c r="E232" s="301" t="str">
        <f ca="1">IF(A232&gt;Start.listina!$K$7,"",MIN(F232:L232))</f>
        <v/>
      </c>
    </row>
    <row r="233" spans="1:5">
      <c r="A233" t="str">
        <f ca="1">IF(OR(Start.listina!H241&gt;Start.listina!$K$7,Start.listina!G241=TRUE),"",Start.listina!H241)</f>
        <v/>
      </c>
      <c r="B233" s="2" t="str">
        <f ca="1">IF(A233&gt;Start.listina!$K$7,"",ADDRESS(INT((A233-1)/$M$2)+1,IF(MOD(A233,$M$2)=0,IF(MOD(INT((A233-1)/$M$2)+1,2)=1,$M$2,1),IF(MOD(INT((A233-1)/$M$2)+1,2)=1,MOD(A233,$M$2),$M$2-MOD(A233,$M$2)+1)),4,1))</f>
        <v/>
      </c>
      <c r="C233" s="11" t="str">
        <f ca="1">Start.listina!$AL241</f>
        <v/>
      </c>
      <c r="D233" s="2" t="str">
        <f ca="1">IF(A233&gt;Start.listina!$K$7,"",INT((A233-1)/$M$2)+1)</f>
        <v/>
      </c>
      <c r="E233" s="301" t="str">
        <f ca="1">IF(A233&gt;Start.listina!$K$7,"",MIN(F233:L233))</f>
        <v/>
      </c>
    </row>
    <row r="234" spans="1:5">
      <c r="A234" t="str">
        <f ca="1">IF(OR(Start.listina!H242&gt;Start.listina!$K$7,Start.listina!G242=TRUE),"",Start.listina!H242)</f>
        <v/>
      </c>
      <c r="B234" s="2" t="str">
        <f ca="1">IF(A234&gt;Start.listina!$K$7,"",ADDRESS(INT((A234-1)/$M$2)+1,IF(MOD(A234,$M$2)=0,IF(MOD(INT((A234-1)/$M$2)+1,2)=1,$M$2,1),IF(MOD(INT((A234-1)/$M$2)+1,2)=1,MOD(A234,$M$2),$M$2-MOD(A234,$M$2)+1)),4,1))</f>
        <v/>
      </c>
      <c r="C234" s="11" t="str">
        <f ca="1">Start.listina!$AL242</f>
        <v/>
      </c>
      <c r="D234" s="2" t="str">
        <f ca="1">IF(A234&gt;Start.listina!$K$7,"",INT((A234-1)/$M$2)+1)</f>
        <v/>
      </c>
      <c r="E234" s="301" t="str">
        <f ca="1">IF(A234&gt;Start.listina!$K$7,"",MIN(F234:L234))</f>
        <v/>
      </c>
    </row>
    <row r="235" spans="1:5">
      <c r="A235" t="str">
        <f ca="1">IF(OR(Start.listina!H243&gt;Start.listina!$K$7,Start.listina!G243=TRUE),"",Start.listina!H243)</f>
        <v/>
      </c>
      <c r="B235" s="2" t="str">
        <f ca="1">IF(A235&gt;Start.listina!$K$7,"",ADDRESS(INT((A235-1)/$M$2)+1,IF(MOD(A235,$M$2)=0,IF(MOD(INT((A235-1)/$M$2)+1,2)=1,$M$2,1),IF(MOD(INT((A235-1)/$M$2)+1,2)=1,MOD(A235,$M$2),$M$2-MOD(A235,$M$2)+1)),4,1))</f>
        <v/>
      </c>
      <c r="C235" s="11" t="str">
        <f ca="1">Start.listina!$AL243</f>
        <v/>
      </c>
      <c r="D235" s="2" t="str">
        <f ca="1">IF(A235&gt;Start.listina!$K$7,"",INT((A235-1)/$M$2)+1)</f>
        <v/>
      </c>
      <c r="E235" s="301" t="str">
        <f ca="1">IF(A235&gt;Start.listina!$K$7,"",MIN(F235:L235))</f>
        <v/>
      </c>
    </row>
    <row r="236" spans="1:5">
      <c r="A236" t="str">
        <f ca="1">IF(OR(Start.listina!H244&gt;Start.listina!$K$7,Start.listina!G244=TRUE),"",Start.listina!H244)</f>
        <v/>
      </c>
      <c r="B236" s="2" t="str">
        <f ca="1">IF(A236&gt;Start.listina!$K$7,"",ADDRESS(INT((A236-1)/$M$2)+1,IF(MOD(A236,$M$2)=0,IF(MOD(INT((A236-1)/$M$2)+1,2)=1,$M$2,1),IF(MOD(INT((A236-1)/$M$2)+1,2)=1,MOD(A236,$M$2),$M$2-MOD(A236,$M$2)+1)),4,1))</f>
        <v/>
      </c>
      <c r="C236" s="11" t="str">
        <f ca="1">Start.listina!$AL244</f>
        <v/>
      </c>
      <c r="D236" s="2" t="str">
        <f ca="1">IF(A236&gt;Start.listina!$K$7,"",INT((A236-1)/$M$2)+1)</f>
        <v/>
      </c>
      <c r="E236" s="301" t="str">
        <f ca="1">IF(A236&gt;Start.listina!$K$7,"",MIN(F236:L236))</f>
        <v/>
      </c>
    </row>
    <row r="237" spans="1:5">
      <c r="A237" t="str">
        <f ca="1">IF(OR(Start.listina!H245&gt;Start.listina!$K$7,Start.listina!G245=TRUE),"",Start.listina!H245)</f>
        <v/>
      </c>
      <c r="B237" s="2" t="str">
        <f ca="1">IF(A237&gt;Start.listina!$K$7,"",ADDRESS(INT((A237-1)/$M$2)+1,IF(MOD(A237,$M$2)=0,IF(MOD(INT((A237-1)/$M$2)+1,2)=1,$M$2,1),IF(MOD(INT((A237-1)/$M$2)+1,2)=1,MOD(A237,$M$2),$M$2-MOD(A237,$M$2)+1)),4,1))</f>
        <v/>
      </c>
      <c r="C237" s="11" t="str">
        <f ca="1">Start.listina!$AL245</f>
        <v/>
      </c>
      <c r="D237" s="2" t="str">
        <f ca="1">IF(A237&gt;Start.listina!$K$7,"",INT((A237-1)/$M$2)+1)</f>
        <v/>
      </c>
      <c r="E237" s="301" t="str">
        <f ca="1">IF(A237&gt;Start.listina!$K$7,"",MIN(F237:L237))</f>
        <v/>
      </c>
    </row>
    <row r="238" spans="1:5">
      <c r="A238" t="str">
        <f ca="1">IF(OR(Start.listina!H246&gt;Start.listina!$K$7,Start.listina!G246=TRUE),"",Start.listina!H246)</f>
        <v/>
      </c>
      <c r="B238" s="2" t="str">
        <f ca="1">IF(A238&gt;Start.listina!$K$7,"",ADDRESS(INT((A238-1)/$M$2)+1,IF(MOD(A238,$M$2)=0,IF(MOD(INT((A238-1)/$M$2)+1,2)=1,$M$2,1),IF(MOD(INT((A238-1)/$M$2)+1,2)=1,MOD(A238,$M$2),$M$2-MOD(A238,$M$2)+1)),4,1))</f>
        <v/>
      </c>
      <c r="C238" s="11" t="str">
        <f ca="1">Start.listina!$AL246</f>
        <v/>
      </c>
      <c r="D238" s="2" t="str">
        <f ca="1">IF(A238&gt;Start.listina!$K$7,"",INT((A238-1)/$M$2)+1)</f>
        <v/>
      </c>
      <c r="E238" s="301" t="str">
        <f ca="1">IF(A238&gt;Start.listina!$K$7,"",MIN(F238:L238))</f>
        <v/>
      </c>
    </row>
    <row r="239" spans="1:5">
      <c r="A239" t="str">
        <f ca="1">IF(OR(Start.listina!H247&gt;Start.listina!$K$7,Start.listina!G247=TRUE),"",Start.listina!H247)</f>
        <v/>
      </c>
      <c r="B239" s="2" t="str">
        <f ca="1">IF(A239&gt;Start.listina!$K$7,"",ADDRESS(INT((A239-1)/$M$2)+1,IF(MOD(A239,$M$2)=0,IF(MOD(INT((A239-1)/$M$2)+1,2)=1,$M$2,1),IF(MOD(INT((A239-1)/$M$2)+1,2)=1,MOD(A239,$M$2),$M$2-MOD(A239,$M$2)+1)),4,1))</f>
        <v/>
      </c>
      <c r="C239" s="11" t="str">
        <f ca="1">Start.listina!$AL247</f>
        <v/>
      </c>
      <c r="D239" s="2" t="str">
        <f ca="1">IF(A239&gt;Start.listina!$K$7,"",INT((A239-1)/$M$2)+1)</f>
        <v/>
      </c>
      <c r="E239" s="301" t="str">
        <f ca="1">IF(A239&gt;Start.listina!$K$7,"",MIN(F239:L239))</f>
        <v/>
      </c>
    </row>
    <row r="240" spans="1:5">
      <c r="A240" t="str">
        <f ca="1">IF(OR(Start.listina!H248&gt;Start.listina!$K$7,Start.listina!G248=TRUE),"",Start.listina!H248)</f>
        <v/>
      </c>
      <c r="B240" s="2" t="str">
        <f ca="1">IF(A240&gt;Start.listina!$K$7,"",ADDRESS(INT((A240-1)/$M$2)+1,IF(MOD(A240,$M$2)=0,IF(MOD(INT((A240-1)/$M$2)+1,2)=1,$M$2,1),IF(MOD(INT((A240-1)/$M$2)+1,2)=1,MOD(A240,$M$2),$M$2-MOD(A240,$M$2)+1)),4,1))</f>
        <v/>
      </c>
      <c r="C240" s="11" t="str">
        <f ca="1">Start.listina!$AL248</f>
        <v/>
      </c>
      <c r="D240" s="2" t="str">
        <f ca="1">IF(A240&gt;Start.listina!$K$7,"",INT((A240-1)/$M$2)+1)</f>
        <v/>
      </c>
      <c r="E240" s="301" t="str">
        <f ca="1">IF(A240&gt;Start.listina!$K$7,"",MIN(F240:L240))</f>
        <v/>
      </c>
    </row>
    <row r="241" spans="1:5">
      <c r="A241" t="str">
        <f ca="1">IF(OR(Start.listina!H249&gt;Start.listina!$K$7,Start.listina!G249=TRUE),"",Start.listina!H249)</f>
        <v/>
      </c>
      <c r="B241" s="2" t="str">
        <f ca="1">IF(A241&gt;Start.listina!$K$7,"",ADDRESS(INT((A241-1)/$M$2)+1,IF(MOD(A241,$M$2)=0,IF(MOD(INT((A241-1)/$M$2)+1,2)=1,$M$2,1),IF(MOD(INT((A241-1)/$M$2)+1,2)=1,MOD(A241,$M$2),$M$2-MOD(A241,$M$2)+1)),4,1))</f>
        <v/>
      </c>
      <c r="C241" s="11" t="str">
        <f ca="1">Start.listina!$AL249</f>
        <v/>
      </c>
      <c r="D241" s="2" t="str">
        <f ca="1">IF(A241&gt;Start.listina!$K$7,"",INT((A241-1)/$M$2)+1)</f>
        <v/>
      </c>
      <c r="E241" s="301" t="str">
        <f ca="1">IF(A241&gt;Start.listina!$K$7,"",MIN(F241:L241))</f>
        <v/>
      </c>
    </row>
    <row r="242" spans="1:5">
      <c r="A242" t="str">
        <f ca="1">IF(OR(Start.listina!H250&gt;Start.listina!$K$7,Start.listina!G250=TRUE),"",Start.listina!H250)</f>
        <v/>
      </c>
      <c r="B242" s="2" t="str">
        <f ca="1">IF(A242&gt;Start.listina!$K$7,"",ADDRESS(INT((A242-1)/$M$2)+1,IF(MOD(A242,$M$2)=0,IF(MOD(INT((A242-1)/$M$2)+1,2)=1,$M$2,1),IF(MOD(INT((A242-1)/$M$2)+1,2)=1,MOD(A242,$M$2),$M$2-MOD(A242,$M$2)+1)),4,1))</f>
        <v/>
      </c>
      <c r="C242" s="11" t="str">
        <f ca="1">Start.listina!$AL250</f>
        <v/>
      </c>
      <c r="D242" s="2" t="str">
        <f ca="1">IF(A242&gt;Start.listina!$K$7,"",INT((A242-1)/$M$2)+1)</f>
        <v/>
      </c>
      <c r="E242" s="301" t="str">
        <f ca="1">IF(A242&gt;Start.listina!$K$7,"",MIN(F242:L242))</f>
        <v/>
      </c>
    </row>
    <row r="243" spans="1:5">
      <c r="A243" t="str">
        <f ca="1">IF(OR(Start.listina!H251&gt;Start.listina!$K$7,Start.listina!G251=TRUE),"",Start.listina!H251)</f>
        <v/>
      </c>
      <c r="B243" s="2" t="str">
        <f ca="1">IF(A243&gt;Start.listina!$K$7,"",ADDRESS(INT((A243-1)/$M$2)+1,IF(MOD(A243,$M$2)=0,IF(MOD(INT((A243-1)/$M$2)+1,2)=1,$M$2,1),IF(MOD(INT((A243-1)/$M$2)+1,2)=1,MOD(A243,$M$2),$M$2-MOD(A243,$M$2)+1)),4,1))</f>
        <v/>
      </c>
      <c r="C243" s="11" t="str">
        <f ca="1">Start.listina!$AL251</f>
        <v/>
      </c>
      <c r="D243" s="2" t="str">
        <f ca="1">IF(A243&gt;Start.listina!$K$7,"",INT((A243-1)/$M$2)+1)</f>
        <v/>
      </c>
      <c r="E243" s="301" t="str">
        <f ca="1">IF(A243&gt;Start.listina!$K$7,"",MIN(F243:L243))</f>
        <v/>
      </c>
    </row>
    <row r="244" spans="1:5">
      <c r="A244" t="str">
        <f ca="1">IF(OR(Start.listina!H252&gt;Start.listina!$K$7,Start.listina!G252=TRUE),"",Start.listina!H252)</f>
        <v/>
      </c>
      <c r="B244" s="2" t="str">
        <f ca="1">IF(A244&gt;Start.listina!$K$7,"",ADDRESS(INT((A244-1)/$M$2)+1,IF(MOD(A244,$M$2)=0,IF(MOD(INT((A244-1)/$M$2)+1,2)=1,$M$2,1),IF(MOD(INT((A244-1)/$M$2)+1,2)=1,MOD(A244,$M$2),$M$2-MOD(A244,$M$2)+1)),4,1))</f>
        <v/>
      </c>
      <c r="C244" s="11" t="str">
        <f ca="1">Start.listina!$AL252</f>
        <v/>
      </c>
      <c r="D244" s="2" t="str">
        <f ca="1">IF(A244&gt;Start.listina!$K$7,"",INT((A244-1)/$M$2)+1)</f>
        <v/>
      </c>
      <c r="E244" s="301" t="str">
        <f ca="1">IF(A244&gt;Start.listina!$K$7,"",MIN(F244:L244))</f>
        <v/>
      </c>
    </row>
    <row r="245" spans="1:5">
      <c r="A245" t="str">
        <f ca="1">IF(OR(Start.listina!H253&gt;Start.listina!$K$7,Start.listina!G253=TRUE),"",Start.listina!H253)</f>
        <v/>
      </c>
      <c r="B245" s="2" t="str">
        <f ca="1">IF(A245&gt;Start.listina!$K$7,"",ADDRESS(INT((A245-1)/$M$2)+1,IF(MOD(A245,$M$2)=0,IF(MOD(INT((A245-1)/$M$2)+1,2)=1,$M$2,1),IF(MOD(INT((A245-1)/$M$2)+1,2)=1,MOD(A245,$M$2),$M$2-MOD(A245,$M$2)+1)),4,1))</f>
        <v/>
      </c>
      <c r="C245" s="11" t="str">
        <f ca="1">Start.listina!$AL253</f>
        <v/>
      </c>
      <c r="D245" s="2" t="str">
        <f ca="1">IF(A245&gt;Start.listina!$K$7,"",INT((A245-1)/$M$2)+1)</f>
        <v/>
      </c>
      <c r="E245" s="301" t="str">
        <f ca="1">IF(A245&gt;Start.listina!$K$7,"",MIN(F245:L245))</f>
        <v/>
      </c>
    </row>
    <row r="246" spans="1:5">
      <c r="A246" t="str">
        <f ca="1">IF(OR(Start.listina!H254&gt;Start.listina!$K$7,Start.listina!G254=TRUE),"",Start.listina!H254)</f>
        <v/>
      </c>
      <c r="B246" s="2" t="str">
        <f ca="1">IF(A246&gt;Start.listina!$K$7,"",ADDRESS(INT((A246-1)/$M$2)+1,IF(MOD(A246,$M$2)=0,IF(MOD(INT((A246-1)/$M$2)+1,2)=1,$M$2,1),IF(MOD(INT((A246-1)/$M$2)+1,2)=1,MOD(A246,$M$2),$M$2-MOD(A246,$M$2)+1)),4,1))</f>
        <v/>
      </c>
      <c r="C246" s="11" t="str">
        <f ca="1">Start.listina!$AL254</f>
        <v/>
      </c>
      <c r="D246" s="2" t="str">
        <f ca="1">IF(A246&gt;Start.listina!$K$7,"",INT((A246-1)/$M$2)+1)</f>
        <v/>
      </c>
      <c r="E246" s="301" t="str">
        <f ca="1">IF(A246&gt;Start.listina!$K$7,"",MIN(F246:L246))</f>
        <v/>
      </c>
    </row>
    <row r="247" spans="1:5">
      <c r="A247" t="str">
        <f ca="1">IF(OR(Start.listina!H255&gt;Start.listina!$K$7,Start.listina!G255=TRUE),"",Start.listina!H255)</f>
        <v/>
      </c>
      <c r="B247" s="2" t="str">
        <f ca="1">IF(A247&gt;Start.listina!$K$7,"",ADDRESS(INT((A247-1)/$M$2)+1,IF(MOD(A247,$M$2)=0,IF(MOD(INT((A247-1)/$M$2)+1,2)=1,$M$2,1),IF(MOD(INT((A247-1)/$M$2)+1,2)=1,MOD(A247,$M$2),$M$2-MOD(A247,$M$2)+1)),4,1))</f>
        <v/>
      </c>
      <c r="C247" s="11" t="str">
        <f ca="1">Start.listina!$AL255</f>
        <v/>
      </c>
      <c r="D247" s="2" t="str">
        <f ca="1">IF(A247&gt;Start.listina!$K$7,"",INT((A247-1)/$M$2)+1)</f>
        <v/>
      </c>
      <c r="E247" s="301" t="str">
        <f ca="1">IF(A247&gt;Start.listina!$K$7,"",MIN(F247:L247))</f>
        <v/>
      </c>
    </row>
    <row r="248" spans="1:5">
      <c r="A248" t="str">
        <f ca="1">IF(OR(Start.listina!H256&gt;Start.listina!$K$7,Start.listina!G256=TRUE),"",Start.listina!H256)</f>
        <v/>
      </c>
      <c r="B248" s="2" t="str">
        <f ca="1">IF(A248&gt;Start.listina!$K$7,"",ADDRESS(INT((A248-1)/$M$2)+1,IF(MOD(A248,$M$2)=0,IF(MOD(INT((A248-1)/$M$2)+1,2)=1,$M$2,1),IF(MOD(INT((A248-1)/$M$2)+1,2)=1,MOD(A248,$M$2),$M$2-MOD(A248,$M$2)+1)),4,1))</f>
        <v/>
      </c>
      <c r="C248" s="11" t="str">
        <f ca="1">Start.listina!$AL256</f>
        <v/>
      </c>
      <c r="D248" s="2" t="str">
        <f ca="1">IF(A248&gt;Start.listina!$K$7,"",INT((A248-1)/$M$2)+1)</f>
        <v/>
      </c>
      <c r="E248" s="301" t="str">
        <f ca="1">IF(A248&gt;Start.listina!$K$7,"",MIN(F248:L248))</f>
        <v/>
      </c>
    </row>
    <row r="249" spans="1:5">
      <c r="A249" t="str">
        <f ca="1">IF(OR(Start.listina!H257&gt;Start.listina!$K$7,Start.listina!G257=TRUE),"",Start.listina!H257)</f>
        <v/>
      </c>
      <c r="B249" s="2" t="str">
        <f ca="1">IF(A249&gt;Start.listina!$K$7,"",ADDRESS(INT((A249-1)/$M$2)+1,IF(MOD(A249,$M$2)=0,IF(MOD(INT((A249-1)/$M$2)+1,2)=1,$M$2,1),IF(MOD(INT((A249-1)/$M$2)+1,2)=1,MOD(A249,$M$2),$M$2-MOD(A249,$M$2)+1)),4,1))</f>
        <v/>
      </c>
      <c r="C249" s="11" t="str">
        <f ca="1">Start.listina!$AL257</f>
        <v/>
      </c>
      <c r="D249" s="2" t="str">
        <f ca="1">IF(A249&gt;Start.listina!$K$7,"",INT((A249-1)/$M$2)+1)</f>
        <v/>
      </c>
      <c r="E249" s="301" t="str">
        <f ca="1">IF(A249&gt;Start.listina!$K$7,"",MIN(F249:L249))</f>
        <v/>
      </c>
    </row>
    <row r="250" spans="1:5">
      <c r="A250" t="str">
        <f ca="1">IF(OR(Start.listina!H258&gt;Start.listina!$K$7,Start.listina!G258=TRUE),"",Start.listina!H258)</f>
        <v/>
      </c>
      <c r="B250" s="2" t="str">
        <f ca="1">IF(A250&gt;Start.listina!$K$7,"",ADDRESS(INT((A250-1)/$M$2)+1,IF(MOD(A250,$M$2)=0,IF(MOD(INT((A250-1)/$M$2)+1,2)=1,$M$2,1),IF(MOD(INT((A250-1)/$M$2)+1,2)=1,MOD(A250,$M$2),$M$2-MOD(A250,$M$2)+1)),4,1))</f>
        <v/>
      </c>
      <c r="C250" s="11" t="str">
        <f ca="1">Start.listina!$AL258</f>
        <v/>
      </c>
      <c r="D250" s="2" t="str">
        <f ca="1">IF(A250&gt;Start.listina!$K$7,"",INT((A250-1)/$M$2)+1)</f>
        <v/>
      </c>
      <c r="E250" s="301" t="str">
        <f ca="1">IF(A250&gt;Start.listina!$K$7,"",MIN(F250:L250))</f>
        <v/>
      </c>
    </row>
    <row r="251" spans="1:5">
      <c r="A251" t="str">
        <f ca="1">IF(OR(Start.listina!H259&gt;Start.listina!$K$7,Start.listina!G259=TRUE),"",Start.listina!H259)</f>
        <v/>
      </c>
      <c r="B251" s="2" t="str">
        <f ca="1">IF(A251&gt;Start.listina!$K$7,"",ADDRESS(INT((A251-1)/$M$2)+1,IF(MOD(A251,$M$2)=0,IF(MOD(INT((A251-1)/$M$2)+1,2)=1,$M$2,1),IF(MOD(INT((A251-1)/$M$2)+1,2)=1,MOD(A251,$M$2),$M$2-MOD(A251,$M$2)+1)),4,1))</f>
        <v/>
      </c>
      <c r="C251" s="11" t="str">
        <f ca="1">Start.listina!$AL259</f>
        <v/>
      </c>
      <c r="D251" s="2" t="str">
        <f ca="1">IF(A251&gt;Start.listina!$K$7,"",INT((A251-1)/$M$2)+1)</f>
        <v/>
      </c>
      <c r="E251" s="301" t="str">
        <f ca="1">IF(A251&gt;Start.listina!$K$7,"",MIN(F251:L251))</f>
        <v/>
      </c>
    </row>
    <row r="252" spans="1:5">
      <c r="A252" t="str">
        <f ca="1">IF(OR(Start.listina!H260&gt;Start.listina!$K$7,Start.listina!G260=TRUE),"",Start.listina!H260)</f>
        <v/>
      </c>
      <c r="B252" s="2" t="str">
        <f ca="1">IF(A252&gt;Start.listina!$K$7,"",ADDRESS(INT((A252-1)/$M$2)+1,IF(MOD(A252,$M$2)=0,IF(MOD(INT((A252-1)/$M$2)+1,2)=1,$M$2,1),IF(MOD(INT((A252-1)/$M$2)+1,2)=1,MOD(A252,$M$2),$M$2-MOD(A252,$M$2)+1)),4,1))</f>
        <v/>
      </c>
      <c r="C252" s="11" t="str">
        <f ca="1">Start.listina!$AL260</f>
        <v/>
      </c>
      <c r="D252" s="2" t="str">
        <f ca="1">IF(A252&gt;Start.listina!$K$7,"",INT((A252-1)/$M$2)+1)</f>
        <v/>
      </c>
      <c r="E252" s="301" t="str">
        <f ca="1">IF(A252&gt;Start.listina!$K$7,"",MIN(F252:L252))</f>
        <v/>
      </c>
    </row>
    <row r="253" spans="1:5">
      <c r="A253" t="str">
        <f ca="1">IF(OR(Start.listina!H261&gt;Start.listina!$K$7,Start.listina!G261=TRUE),"",Start.listina!H261)</f>
        <v/>
      </c>
      <c r="B253" s="2" t="str">
        <f ca="1">IF(A253&gt;Start.listina!$K$7,"",ADDRESS(INT((A253-1)/$M$2)+1,IF(MOD(A253,$M$2)=0,IF(MOD(INT((A253-1)/$M$2)+1,2)=1,$M$2,1),IF(MOD(INT((A253-1)/$M$2)+1,2)=1,MOD(A253,$M$2),$M$2-MOD(A253,$M$2)+1)),4,1))</f>
        <v/>
      </c>
      <c r="C253" s="11" t="str">
        <f ca="1">Start.listina!$AL261</f>
        <v/>
      </c>
      <c r="D253" s="2" t="str">
        <f ca="1">IF(A253&gt;Start.listina!$K$7,"",INT((A253-1)/$M$2)+1)</f>
        <v/>
      </c>
      <c r="E253" s="301" t="str">
        <f ca="1">IF(A253&gt;Start.listina!$K$7,"",MIN(F253:L253))</f>
        <v/>
      </c>
    </row>
    <row r="254" spans="1:5">
      <c r="A254" t="str">
        <f ca="1">IF(OR(Start.listina!H262&gt;Start.listina!$K$7,Start.listina!G262=TRUE),"",Start.listina!H262)</f>
        <v/>
      </c>
      <c r="B254" s="2" t="str">
        <f ca="1">IF(A254&gt;Start.listina!$K$7,"",ADDRESS(INT((A254-1)/$M$2)+1,IF(MOD(A254,$M$2)=0,IF(MOD(INT((A254-1)/$M$2)+1,2)=1,$M$2,1),IF(MOD(INT((A254-1)/$M$2)+1,2)=1,MOD(A254,$M$2),$M$2-MOD(A254,$M$2)+1)),4,1))</f>
        <v/>
      </c>
      <c r="C254" s="11" t="str">
        <f ca="1">Start.listina!$AL262</f>
        <v/>
      </c>
      <c r="D254" s="2" t="str">
        <f ca="1">IF(A254&gt;Start.listina!$K$7,"",INT((A254-1)/$M$2)+1)</f>
        <v/>
      </c>
      <c r="E254" s="301" t="str">
        <f ca="1">IF(A254&gt;Start.listina!$K$7,"",MIN(F254:L254))</f>
        <v/>
      </c>
    </row>
    <row r="255" spans="1:5">
      <c r="A255" t="str">
        <f ca="1">IF(OR(Start.listina!H263&gt;Start.listina!$K$7,Start.listina!G263=TRUE),"",Start.listina!H263)</f>
        <v/>
      </c>
      <c r="B255" s="2" t="str">
        <f ca="1">IF(A255&gt;Start.listina!$K$7,"",ADDRESS(INT((A255-1)/$M$2)+1,IF(MOD(A255,$M$2)=0,IF(MOD(INT((A255-1)/$M$2)+1,2)=1,$M$2,1),IF(MOD(INT((A255-1)/$M$2)+1,2)=1,MOD(A255,$M$2),$M$2-MOD(A255,$M$2)+1)),4,1))</f>
        <v/>
      </c>
      <c r="C255" s="11" t="str">
        <f ca="1">Start.listina!$AL263</f>
        <v/>
      </c>
      <c r="D255" s="2" t="str">
        <f ca="1">IF(A255&gt;Start.listina!$K$7,"",INT((A255-1)/$M$2)+1)</f>
        <v/>
      </c>
      <c r="E255" s="301" t="str">
        <f ca="1">IF(A255&gt;Start.listina!$K$7,"",MIN(F255:L255))</f>
        <v/>
      </c>
    </row>
    <row r="256" spans="1:5">
      <c r="A256" t="str">
        <f ca="1">IF(OR(Start.listina!H264&gt;Start.listina!$K$7,Start.listina!G264=TRUE),"",Start.listina!H264)</f>
        <v/>
      </c>
      <c r="B256" s="2" t="str">
        <f ca="1">IF(A256&gt;Start.listina!$K$7,"",ADDRESS(INT((A256-1)/$M$2)+1,IF(MOD(A256,$M$2)=0,IF(MOD(INT((A256-1)/$M$2)+1,2)=1,$M$2,1),IF(MOD(INT((A256-1)/$M$2)+1,2)=1,MOD(A256,$M$2),$M$2-MOD(A256,$M$2)+1)),4,1))</f>
        <v/>
      </c>
      <c r="C256" s="11" t="str">
        <f ca="1">Start.listina!$AL264</f>
        <v/>
      </c>
      <c r="D256" s="2" t="str">
        <f ca="1">IF(A256&gt;Start.listina!$K$7,"",INT((A256-1)/$M$2)+1)</f>
        <v/>
      </c>
      <c r="E256" s="301" t="str">
        <f ca="1">IF(A256&gt;Start.listina!$K$7,"",MIN(F256:L256))</f>
        <v/>
      </c>
    </row>
    <row r="257" spans="1:5">
      <c r="A257" t="str">
        <f ca="1">IF(OR(Start.listina!H265&gt;Start.listina!$K$7,Start.listina!G265=TRUE),"",Start.listina!H265)</f>
        <v/>
      </c>
      <c r="B257" s="2" t="str">
        <f ca="1">IF(A257&gt;Start.listina!$K$7,"",ADDRESS(INT((A257-1)/$M$2)+1,IF(MOD(A257,$M$2)=0,IF(MOD(INT((A257-1)/$M$2)+1,2)=1,$M$2,1),IF(MOD(INT((A257-1)/$M$2)+1,2)=1,MOD(A257,$M$2),$M$2-MOD(A257,$M$2)+1)),4,1))</f>
        <v/>
      </c>
      <c r="C257" s="11" t="str">
        <f ca="1">Start.listina!$AL265</f>
        <v/>
      </c>
      <c r="D257" s="2" t="str">
        <f ca="1">IF(A257&gt;Start.listina!$K$7,"",INT((A257-1)/$M$2)+1)</f>
        <v/>
      </c>
      <c r="E257" s="301" t="str">
        <f ca="1">IF(A257&gt;Start.listina!$K$7,"",MIN(F257:L257))</f>
        <v/>
      </c>
    </row>
    <row r="258" spans="1:5">
      <c r="A258" t="str">
        <f ca="1">IF(OR(Start.listina!H266&gt;Start.listina!$K$7,Start.listina!G266=TRUE),"",Start.listina!H266)</f>
        <v/>
      </c>
      <c r="B258" s="2" t="str">
        <f ca="1">IF(A258&gt;Start.listina!$K$7,"",ADDRESS(INT((A258-1)/$M$2)+1,IF(MOD(A258,$M$2)=0,IF(MOD(INT((A258-1)/$M$2)+1,2)=1,$M$2,1),IF(MOD(INT((A258-1)/$M$2)+1,2)=1,MOD(A258,$M$2),$M$2-MOD(A258,$M$2)+1)),4,1))</f>
        <v/>
      </c>
      <c r="C258" s="11" t="str">
        <f ca="1">Start.listina!$AL266</f>
        <v/>
      </c>
      <c r="D258" s="2" t="str">
        <f ca="1">IF(A258&gt;Start.listina!$K$7,"",INT((A258-1)/$M$2)+1)</f>
        <v/>
      </c>
      <c r="E258" s="301" t="str">
        <f ca="1">IF(A258&gt;Start.listina!$K$7,"",MIN(F258:L258))</f>
        <v/>
      </c>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sheetPr codeName="List3"/>
  <dimension ref="A1:AQ258"/>
  <sheetViews>
    <sheetView workbookViewId="0">
      <pane xSplit="1" ySplit="2" topLeftCell="B90" activePane="bottomRight" state="frozen"/>
      <selection pane="topRight"/>
      <selection pane="bottomLeft"/>
      <selection pane="bottomRight" activeCell="A258" sqref="A258"/>
    </sheetView>
  </sheetViews>
  <sheetFormatPr defaultRowHeight="12.75"/>
  <cols>
    <col min="2" max="2" width="47.7109375" customWidth="1"/>
    <col min="3" max="3" width="2" customWidth="1"/>
  </cols>
  <sheetData>
    <row r="1" spans="1:43" ht="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ca="1">IF(T(A3)="","X"," ")</f>
        <v xml:space="preserve"> </v>
      </c>
    </row>
    <row r="4" spans="1:43">
      <c r="A4" s="2" t="str">
        <f ca="1">Nasazení!B4</f>
        <v>B1</v>
      </c>
      <c r="B4" s="11" t="str">
        <f ca="1">Nasazení!C4</f>
        <v>2 PC Sokol Lipník - Vavrovič Petr ml.</v>
      </c>
      <c r="C4" t="str">
        <f t="shared" ref="C4:C67" ca="1" si="0">IF(T(A4)="","X"," ")</f>
        <v xml:space="preserve"> </v>
      </c>
    </row>
    <row r="5" spans="1:43">
      <c r="A5" s="2" t="str">
        <f ca="1">Nasazení!B5</f>
        <v>C1</v>
      </c>
      <c r="B5" s="11" t="str">
        <f ca="1">Nasazení!C5</f>
        <v>3 Carreau Brno - Michálek Tomáš</v>
      </c>
      <c r="C5" t="str">
        <f t="shared" ca="1" si="0"/>
        <v xml:space="preserve"> </v>
      </c>
    </row>
    <row r="6" spans="1:43">
      <c r="A6" s="2" t="str">
        <f ca="1">Nasazení!B6</f>
        <v>D1</v>
      </c>
      <c r="B6" s="11" t="str">
        <f ca="1">Nasazení!C6</f>
        <v>4 PC Kolová - Kauca Jindřich</v>
      </c>
      <c r="C6" t="str">
        <f t="shared" ca="1" si="0"/>
        <v xml:space="preserve"> </v>
      </c>
    </row>
    <row r="7" spans="1:43">
      <c r="A7" s="2" t="str">
        <f ca="1">Nasazení!B7</f>
        <v>E1</v>
      </c>
      <c r="B7" s="11" t="str">
        <f ca="1">Nasazení!C7</f>
        <v>5 Carreau Brno - Slobodová Veronika</v>
      </c>
      <c r="C7" t="str">
        <f t="shared" ca="1" si="0"/>
        <v xml:space="preserve"> </v>
      </c>
    </row>
    <row r="8" spans="1:43">
      <c r="A8" s="2" t="str">
        <f ca="1">Nasazení!B8</f>
        <v>F1</v>
      </c>
      <c r="B8" s="11" t="str">
        <f ca="1">Nasazení!C8</f>
        <v>6 PC Sokol Lipník - Froňková Kateřina</v>
      </c>
      <c r="C8" t="str">
        <f t="shared" ca="1" si="0"/>
        <v xml:space="preserve"> </v>
      </c>
    </row>
    <row r="9" spans="1:43">
      <c r="A9" s="2" t="str">
        <f ca="1">Nasazení!B9</f>
        <v>G1</v>
      </c>
      <c r="B9" s="11" t="str">
        <f ca="1">Nasazení!C9</f>
        <v>7 PLUK Jablonec - Lukáš Vojtěch</v>
      </c>
      <c r="C9" t="str">
        <f t="shared" ca="1" si="0"/>
        <v xml:space="preserve"> </v>
      </c>
    </row>
    <row r="10" spans="1:43">
      <c r="A10" s="2" t="str">
        <f ca="1">Nasazení!B10</f>
        <v>H1</v>
      </c>
      <c r="B10" s="11" t="str">
        <f ca="1">Nasazení!C10</f>
        <v>8 1. KPK Vrchlabí - Bílek Vojtěch</v>
      </c>
      <c r="C10" t="str">
        <f t="shared" ca="1" si="0"/>
        <v xml:space="preserve"> </v>
      </c>
    </row>
    <row r="11" spans="1:43">
      <c r="A11" s="2" t="str">
        <f ca="1">Nasazení!B11</f>
        <v>I1</v>
      </c>
      <c r="B11" s="11" t="str">
        <f ca="1">Nasazení!C11</f>
        <v>9 VARAN - Valenz Lukáš</v>
      </c>
      <c r="C11" t="str">
        <f t="shared" ca="1" si="0"/>
        <v xml:space="preserve"> </v>
      </c>
    </row>
    <row r="12" spans="1:43">
      <c r="A12" s="2" t="str">
        <f ca="1">Nasazení!B12</f>
        <v>J1</v>
      </c>
      <c r="B12" s="11" t="str">
        <f ca="1">Nasazení!C12</f>
        <v>10 TOP - ORLOVÁ - Bačo David</v>
      </c>
      <c r="C12" t="str">
        <f t="shared" ca="1" si="0"/>
        <v xml:space="preserve"> </v>
      </c>
    </row>
    <row r="13" spans="1:43">
      <c r="A13" s="2" t="str">
        <f ca="1">Nasazení!B13</f>
        <v>K1</v>
      </c>
      <c r="B13" s="11" t="str">
        <f ca="1">Nasazení!C13</f>
        <v>11 PC Sokol Lipník - Morávek Petr</v>
      </c>
      <c r="C13" t="str">
        <f t="shared" ca="1" si="0"/>
        <v xml:space="preserve"> </v>
      </c>
    </row>
    <row r="14" spans="1:43">
      <c r="A14" s="2" t="str">
        <f ca="1">Nasazení!B14</f>
        <v>L1</v>
      </c>
      <c r="B14" s="11" t="str">
        <f ca="1">Nasazení!C14</f>
        <v>12 FRAPECO - Řehoř Miroslav</v>
      </c>
      <c r="C14" t="str">
        <f t="shared" ca="1" si="0"/>
        <v xml:space="preserve"> </v>
      </c>
    </row>
    <row r="15" spans="1:43">
      <c r="A15" s="2" t="str">
        <f ca="1">Nasazení!B15</f>
        <v>M1</v>
      </c>
      <c r="B15" s="11" t="str">
        <f ca="1">Nasazení!C15</f>
        <v>13 PC Sokol Lipník - Zdobinský Michal ml.</v>
      </c>
      <c r="C15" t="str">
        <f t="shared" ca="1" si="0"/>
        <v xml:space="preserve"> </v>
      </c>
    </row>
    <row r="16" spans="1:43">
      <c r="A16" s="2" t="str">
        <f ca="1">Nasazení!B16</f>
        <v>N1</v>
      </c>
      <c r="B16" s="11" t="str">
        <f ca="1">Nasazení!C16</f>
        <v>14 FRAPECO - Ondryáš Jiří</v>
      </c>
      <c r="C16" t="str">
        <f t="shared" ca="1" si="0"/>
        <v xml:space="preserve"> </v>
      </c>
    </row>
    <row r="17" spans="1:3">
      <c r="A17" s="2" t="str">
        <f ca="1">Nasazení!B17</f>
        <v>O1</v>
      </c>
      <c r="B17" s="11" t="str">
        <f ca="1">Nasazení!C17</f>
        <v>15 PLUK Jablonec - Palicová Markéta</v>
      </c>
      <c r="C17" t="str">
        <f t="shared" ca="1" si="0"/>
        <v xml:space="preserve"> </v>
      </c>
    </row>
    <row r="18" spans="1:3">
      <c r="A18" s="2" t="str">
        <f ca="1">Nasazení!B18</f>
        <v>P1</v>
      </c>
      <c r="B18" s="11" t="str">
        <f ca="1">Nasazení!C18</f>
        <v>16 POP Praha - Konšel Jakub</v>
      </c>
      <c r="C18" t="str">
        <f t="shared" ca="1" si="0"/>
        <v xml:space="preserve"> </v>
      </c>
    </row>
    <row r="19" spans="1:3">
      <c r="A19" s="2" t="str">
        <f ca="1">Nasazení!B19</f>
        <v>Q1</v>
      </c>
      <c r="B19" s="11" t="str">
        <f ca="1">Nasazení!C19</f>
        <v>17 SK Sahara Vědomice - Demčíková Jiřina</v>
      </c>
      <c r="C19" t="str">
        <f t="shared" ca="1" si="0"/>
        <v xml:space="preserve"> </v>
      </c>
    </row>
    <row r="20" spans="1:3">
      <c r="A20" s="2" t="str">
        <f ca="1">Nasazení!B20</f>
        <v>R1</v>
      </c>
      <c r="B20" s="11" t="str">
        <f ca="1">Nasazení!C20</f>
        <v>18 1. KPK Vrchlabí - Michalička Lukáš</v>
      </c>
      <c r="C20" t="str">
        <f t="shared" ca="1" si="0"/>
        <v xml:space="preserve"> </v>
      </c>
    </row>
    <row r="21" spans="1:3">
      <c r="A21" s="2" t="str">
        <f ca="1">Nasazení!B21</f>
        <v>S1</v>
      </c>
      <c r="B21" s="11" t="str">
        <f ca="1">Nasazení!C21</f>
        <v>19 1. KPK Vrchlabí - Srnský Lubomír</v>
      </c>
      <c r="C21" t="str">
        <f t="shared" ca="1" si="0"/>
        <v xml:space="preserve"> </v>
      </c>
    </row>
    <row r="22" spans="1:3">
      <c r="A22" s="2" t="str">
        <f ca="1">Nasazení!B22</f>
        <v>T1</v>
      </c>
      <c r="B22" s="11" t="str">
        <f ca="1">Nasazení!C22</f>
        <v>20 SKP Hranice VI-Valšovice - Jakeš Zbyněk</v>
      </c>
      <c r="C22" t="str">
        <f t="shared" ca="1" si="0"/>
        <v xml:space="preserve"> </v>
      </c>
    </row>
    <row r="23" spans="1:3">
      <c r="A23" s="2" t="str">
        <f ca="1">Nasazení!B23</f>
        <v>U1</v>
      </c>
      <c r="B23" s="11" t="str">
        <f ca="1">Nasazení!C23</f>
        <v>21 PLUK Jablonec - Lukášová Jana</v>
      </c>
      <c r="C23" t="str">
        <f t="shared" ca="1" si="0"/>
        <v xml:space="preserve"> </v>
      </c>
    </row>
    <row r="24" spans="1:3">
      <c r="A24" s="2" t="str">
        <f ca="1">Nasazení!B24</f>
        <v>V1</v>
      </c>
      <c r="B24" s="11" t="str">
        <f ca="1">Nasazení!C24</f>
        <v>22 UBU Únětice - Fuksa Petr</v>
      </c>
      <c r="C24" t="str">
        <f t="shared" ca="1" si="0"/>
        <v xml:space="preserve"> </v>
      </c>
    </row>
    <row r="25" spans="1:3">
      <c r="A25" s="2" t="str">
        <f ca="1">Nasazení!B25</f>
        <v>W1</v>
      </c>
      <c r="B25" s="11" t="str">
        <f ca="1">Nasazení!C25</f>
        <v>23 Kulový blesk Olomouc - Konečná Jana</v>
      </c>
      <c r="C25" t="str">
        <f t="shared" ca="1" si="0"/>
        <v xml:space="preserve"> </v>
      </c>
    </row>
    <row r="26" spans="1:3">
      <c r="A26" s="2" t="str">
        <f ca="1">Nasazení!B26</f>
        <v>X1</v>
      </c>
      <c r="B26" s="11" t="str">
        <f ca="1">Nasazení!C26</f>
        <v>24 TOP - ORLOVÁ - Ulmann Jiří</v>
      </c>
      <c r="C26" t="str">
        <f t="shared" ca="1" si="0"/>
        <v xml:space="preserve"> </v>
      </c>
    </row>
    <row r="27" spans="1:3">
      <c r="A27" s="2" t="str">
        <f ca="1">Nasazení!B27</f>
        <v>Y1</v>
      </c>
      <c r="B27" s="11" t="str">
        <f ca="1">Nasazení!C27</f>
        <v>25 Club Rodamiento - Dlouhá Ivana</v>
      </c>
      <c r="C27" t="str">
        <f t="shared" ca="1" si="0"/>
        <v xml:space="preserve"> </v>
      </c>
    </row>
    <row r="28" spans="1:3">
      <c r="A28" s="2" t="str">
        <f ca="1">Nasazení!B28</f>
        <v>Z1</v>
      </c>
      <c r="B28" s="11" t="str">
        <f ca="1">Nasazení!C28</f>
        <v>26 SK Pétanque Řepy - Holoubek Pavel</v>
      </c>
      <c r="C28" t="str">
        <f t="shared" ca="1" si="0"/>
        <v xml:space="preserve"> </v>
      </c>
    </row>
    <row r="29" spans="1:3">
      <c r="A29" s="2" t="str">
        <f ca="1">Nasazení!B29</f>
        <v>AA1</v>
      </c>
      <c r="B29" s="11" t="str">
        <f ca="1">Nasazení!C29</f>
        <v>27 Sokol Kostomlaty - Vlach Jaromír</v>
      </c>
      <c r="C29" t="str">
        <f t="shared" ca="1" si="0"/>
        <v xml:space="preserve"> </v>
      </c>
    </row>
    <row r="30" spans="1:3">
      <c r="A30" s="2" t="str">
        <f ca="1">Nasazení!B30</f>
        <v>AB1</v>
      </c>
      <c r="B30" s="11" t="str">
        <f ca="1">Nasazení!C30</f>
        <v>28 SK Pétanque Řepy - Pastorek Jaroslav</v>
      </c>
      <c r="C30" t="str">
        <f t="shared" ca="1" si="0"/>
        <v xml:space="preserve"> </v>
      </c>
    </row>
    <row r="31" spans="1:3">
      <c r="A31" s="2" t="str">
        <f ca="1">Nasazení!B31</f>
        <v>AC1</v>
      </c>
      <c r="B31" s="11" t="str">
        <f ca="1">Nasazení!C31</f>
        <v>29 PC Sokol Lipník - Froňková Blanka</v>
      </c>
      <c r="C31" t="str">
        <f t="shared" ca="1" si="0"/>
        <v xml:space="preserve"> </v>
      </c>
    </row>
    <row r="32" spans="1:3">
      <c r="A32" s="2" t="str">
        <f ca="1">Nasazení!B32</f>
        <v>AD1</v>
      </c>
      <c r="B32" s="11" t="str">
        <f ca="1">Nasazení!C32</f>
        <v>30 POP Praha - Resl Jan</v>
      </c>
      <c r="C32" t="str">
        <f t="shared" ca="1" si="0"/>
        <v xml:space="preserve"> </v>
      </c>
    </row>
    <row r="33" spans="1:3">
      <c r="A33" s="2" t="str">
        <f ca="1">Nasazení!B33</f>
        <v>AE1</v>
      </c>
      <c r="B33" s="11" t="str">
        <f ca="1">Nasazení!C33</f>
        <v>31 PLUK Jablonec - Lukáš Petr</v>
      </c>
      <c r="C33" t="str">
        <f t="shared" ca="1" si="0"/>
        <v xml:space="preserve"> </v>
      </c>
    </row>
    <row r="34" spans="1:3">
      <c r="A34" s="2" t="str">
        <f ca="1">Nasazení!B34</f>
        <v>AF1</v>
      </c>
      <c r="B34" s="11" t="str">
        <f ca="1">Nasazení!C34</f>
        <v>32 Club Rodamiento - Kamaryt Josef</v>
      </c>
      <c r="C34" t="str">
        <f t="shared" ca="1" si="0"/>
        <v xml:space="preserve"> </v>
      </c>
    </row>
    <row r="35" spans="1:3">
      <c r="A35" s="2" t="str">
        <f ca="1">Nasazení!B35</f>
        <v>AG1</v>
      </c>
      <c r="B35" s="11" t="str">
        <f ca="1">Nasazení!C35</f>
        <v>33 1. KPK Vrchlabí - Brázda Vladimír</v>
      </c>
      <c r="C35" t="str">
        <f t="shared" ca="1" si="0"/>
        <v xml:space="preserve"> </v>
      </c>
    </row>
    <row r="36" spans="1:3">
      <c r="A36" s="2" t="str">
        <f ca="1">Nasazení!B36</f>
        <v>AH1</v>
      </c>
      <c r="B36" s="11" t="str">
        <f ca="1">Nasazení!C36</f>
        <v>34 UBU Únětice - Tomášková Dana</v>
      </c>
      <c r="C36" t="str">
        <f t="shared" ca="1" si="0"/>
        <v xml:space="preserve"> </v>
      </c>
    </row>
    <row r="37" spans="1:3">
      <c r="A37" s="2" t="str">
        <f ca="1">Nasazení!B37</f>
        <v>AI1</v>
      </c>
      <c r="B37" s="11" t="str">
        <f ca="1">Nasazení!C37</f>
        <v>35 SK Sahara Vědomice - Demčík Milan St.</v>
      </c>
      <c r="C37" t="str">
        <f t="shared" ca="1" si="0"/>
        <v xml:space="preserve"> </v>
      </c>
    </row>
    <row r="38" spans="1:3">
      <c r="A38" s="2" t="str">
        <f ca="1">Nasazení!B38</f>
        <v>AJ1</v>
      </c>
      <c r="B38" s="11" t="str">
        <f ca="1">Nasazení!C38</f>
        <v>36 HRODE KRUMSÍN - Pírek Martin</v>
      </c>
      <c r="C38" t="str">
        <f t="shared" ca="1" si="0"/>
        <v xml:space="preserve"> </v>
      </c>
    </row>
    <row r="39" spans="1:3">
      <c r="A39" s="2" t="str">
        <f ca="1">Nasazení!B39</f>
        <v>AK1</v>
      </c>
      <c r="B39" s="11" t="str">
        <f ca="1">Nasazení!C39</f>
        <v>37 1. KPK Vrchlabí - Řezníček Jiří</v>
      </c>
      <c r="C39" t="str">
        <f t="shared" ca="1" si="0"/>
        <v xml:space="preserve"> </v>
      </c>
    </row>
    <row r="40" spans="1:3">
      <c r="A40" s="2" t="str">
        <f ca="1">Nasazení!B40</f>
        <v>AL1</v>
      </c>
      <c r="B40" s="11" t="str">
        <f ca="1">Nasazení!C40</f>
        <v>38 FENYX Adamov - Král Pavel</v>
      </c>
      <c r="C40" t="str">
        <f t="shared" ca="1" si="0"/>
        <v xml:space="preserve"> </v>
      </c>
    </row>
    <row r="41" spans="1:3">
      <c r="A41" s="2" t="str">
        <f ca="1">Nasazení!B41</f>
        <v>AM1</v>
      </c>
      <c r="B41" s="11" t="str">
        <f ca="1">Nasazení!C41</f>
        <v>39 FRAPECO - Felčárek Jaroslav</v>
      </c>
      <c r="C41" t="str">
        <f t="shared" ca="1" si="0"/>
        <v xml:space="preserve"> </v>
      </c>
    </row>
    <row r="42" spans="1:3">
      <c r="A42" s="2" t="str">
        <f ca="1">Nasazení!B42</f>
        <v>AN1</v>
      </c>
      <c r="B42" s="11" t="str">
        <f ca="1">Nasazení!C42</f>
        <v>40 HAPEK - Bureš Pavel st.</v>
      </c>
      <c r="C42" t="str">
        <f t="shared" ca="1" si="0"/>
        <v xml:space="preserve"> </v>
      </c>
    </row>
    <row r="43" spans="1:3">
      <c r="A43" s="2" t="str">
        <f ca="1">Nasazení!B43</f>
        <v>AO1</v>
      </c>
      <c r="B43" s="11" t="str">
        <f ca="1">Nasazení!C43</f>
        <v>41 SKP Kulová osma - Pilát Petr</v>
      </c>
      <c r="C43" t="str">
        <f t="shared" ca="1" si="0"/>
        <v xml:space="preserve"> </v>
      </c>
    </row>
    <row r="44" spans="1:3">
      <c r="A44" s="2" t="str">
        <f ca="1">Nasazení!B44</f>
        <v>AP1</v>
      </c>
      <c r="B44" s="11" t="str">
        <f ca="1">Nasazení!C44</f>
        <v>42 FRAPECO - Šedivý Zdeněk</v>
      </c>
      <c r="C44" t="str">
        <f t="shared" ca="1" si="0"/>
        <v xml:space="preserve"> </v>
      </c>
    </row>
    <row r="45" spans="1:3">
      <c r="A45" s="2" t="str">
        <f ca="1">Nasazení!B45</f>
        <v>AQ1</v>
      </c>
      <c r="B45" s="11" t="str">
        <f ca="1">Nasazení!C45</f>
        <v>43 SK Sahara Vědomice - Přibyl Miloš</v>
      </c>
      <c r="C45" t="str">
        <f t="shared" ca="1" si="0"/>
        <v xml:space="preserve"> </v>
      </c>
    </row>
    <row r="46" spans="1:3">
      <c r="A46" s="2" t="str">
        <f ca="1">Nasazení!B46</f>
        <v>AQ2</v>
      </c>
      <c r="B46" s="11" t="str">
        <f ca="1">Nasazení!C46</f>
        <v>44 Petank Club Praha - Vorel Jan</v>
      </c>
      <c r="C46" t="str">
        <f t="shared" ca="1" si="0"/>
        <v xml:space="preserve"> </v>
      </c>
    </row>
    <row r="47" spans="1:3">
      <c r="A47" s="2" t="str">
        <f ca="1">Nasazení!B47</f>
        <v>AP2</v>
      </c>
      <c r="B47" s="11" t="str">
        <f ca="1">Nasazení!C47</f>
        <v>45 SKP Hranice VI-Valšovice - Tománek Petr</v>
      </c>
      <c r="C47" t="str">
        <f t="shared" ca="1" si="0"/>
        <v xml:space="preserve"> </v>
      </c>
    </row>
    <row r="48" spans="1:3">
      <c r="A48" s="2" t="str">
        <f ca="1">Nasazení!B48</f>
        <v>AO2</v>
      </c>
      <c r="B48" s="11" t="str">
        <f ca="1">Nasazení!C48</f>
        <v>46 PK Osika Plzeň - Radoušová Jana</v>
      </c>
      <c r="C48" t="str">
        <f t="shared" ca="1" si="0"/>
        <v xml:space="preserve"> </v>
      </c>
    </row>
    <row r="49" spans="1:3">
      <c r="A49" s="2" t="str">
        <f ca="1">Nasazení!B49</f>
        <v>AN2</v>
      </c>
      <c r="B49" s="11" t="str">
        <f ca="1">Nasazení!C49</f>
        <v>47 SK Sahara Vědomice - Kulhánek Milan</v>
      </c>
      <c r="C49" t="str">
        <f t="shared" ca="1" si="0"/>
        <v xml:space="preserve"> </v>
      </c>
    </row>
    <row r="50" spans="1:3">
      <c r="A50" s="2" t="str">
        <f ca="1">Nasazení!B50</f>
        <v>AM2</v>
      </c>
      <c r="B50" s="11" t="str">
        <f ca="1">Nasazení!C50</f>
        <v>48 UBU Únětice - Palas Pavel</v>
      </c>
      <c r="C50" t="str">
        <f t="shared" ca="1" si="0"/>
        <v xml:space="preserve"> </v>
      </c>
    </row>
    <row r="51" spans="1:3">
      <c r="A51" s="2" t="str">
        <f ca="1">Nasazení!B51</f>
        <v>AL2</v>
      </c>
      <c r="B51" s="11" t="str">
        <f ca="1">Nasazení!C51</f>
        <v>49 1. KPK Vrchlabí - Hančová Alice</v>
      </c>
      <c r="C51" t="str">
        <f t="shared" ca="1" si="0"/>
        <v xml:space="preserve"> </v>
      </c>
    </row>
    <row r="52" spans="1:3">
      <c r="A52" s="2" t="str">
        <f ca="1">Nasazení!B52</f>
        <v>AK2</v>
      </c>
      <c r="B52" s="11" t="str">
        <f ca="1">Nasazení!C52</f>
        <v>50 SKP Kulová osma - Krejčín Leoš</v>
      </c>
      <c r="C52" t="str">
        <f t="shared" ca="1" si="0"/>
        <v xml:space="preserve"> </v>
      </c>
    </row>
    <row r="53" spans="1:3">
      <c r="A53" s="2" t="str">
        <f ca="1">Nasazení!B53</f>
        <v>AJ2</v>
      </c>
      <c r="B53" s="11" t="str">
        <f ca="1">Nasazení!C53</f>
        <v>51 Orel Řečkovice - Hanák David</v>
      </c>
      <c r="C53" t="str">
        <f t="shared" ca="1" si="0"/>
        <v xml:space="preserve"> </v>
      </c>
    </row>
    <row r="54" spans="1:3">
      <c r="A54" s="2" t="str">
        <f ca="1">Nasazení!B54</f>
        <v>AI2</v>
      </c>
      <c r="B54" s="11" t="str">
        <f ca="1">Nasazení!C54</f>
        <v>52 SKP Kulová osma - Chmelařová Yvetta</v>
      </c>
      <c r="C54" t="str">
        <f t="shared" ca="1" si="0"/>
        <v xml:space="preserve"> </v>
      </c>
    </row>
    <row r="55" spans="1:3">
      <c r="A55" s="2" t="str">
        <f ca="1">Nasazení!B55</f>
        <v>AH2</v>
      </c>
      <c r="B55" s="11" t="str">
        <f ca="1">Nasazení!C55</f>
        <v>53 SKP Kulová osma - Krejčínová Lenka</v>
      </c>
      <c r="C55" t="str">
        <f t="shared" ca="1" si="0"/>
        <v xml:space="preserve"> </v>
      </c>
    </row>
    <row r="56" spans="1:3">
      <c r="A56" s="2" t="str">
        <f ca="1">Nasazení!B56</f>
        <v>AG2</v>
      </c>
      <c r="B56" s="11" t="str">
        <f ca="1">Nasazení!C56</f>
        <v>54 SK Sahara Vědomice - Horáčková Simona</v>
      </c>
      <c r="C56" t="str">
        <f t="shared" ca="1" si="0"/>
        <v xml:space="preserve"> </v>
      </c>
    </row>
    <row r="57" spans="1:3">
      <c r="A57" s="2" t="str">
        <f ca="1">Nasazení!B57</f>
        <v>AF2</v>
      </c>
      <c r="B57" s="11" t="str">
        <f ca="1">Nasazení!C57</f>
        <v>55 1. KPK Vrchlabí - Sládková Hana</v>
      </c>
      <c r="C57" t="str">
        <f t="shared" ca="1" si="0"/>
        <v xml:space="preserve"> </v>
      </c>
    </row>
    <row r="58" spans="1:3">
      <c r="A58" s="2" t="str">
        <f ca="1">Nasazení!B58</f>
        <v>AE2</v>
      </c>
      <c r="B58" s="11" t="str">
        <f ca="1">Nasazení!C58</f>
        <v>56 SK Pétanque Řepy - Hladík Jaroslav</v>
      </c>
      <c r="C58" t="str">
        <f t="shared" ca="1" si="0"/>
        <v xml:space="preserve"> </v>
      </c>
    </row>
    <row r="59" spans="1:3">
      <c r="A59" s="2" t="str">
        <f ca="1">Nasazení!B59</f>
        <v>AD2</v>
      </c>
      <c r="B59" s="11" t="str">
        <f ca="1">Nasazení!C59</f>
        <v>57 SKP Hranice VI-Valšovice - Kutá Miloslava</v>
      </c>
      <c r="C59" t="str">
        <f t="shared" ca="1" si="0"/>
        <v xml:space="preserve"> </v>
      </c>
    </row>
    <row r="60" spans="1:3">
      <c r="A60" s="2" t="str">
        <f ca="1">Nasazení!B60</f>
        <v>AC2</v>
      </c>
      <c r="B60" s="11" t="str">
        <f ca="1">Nasazení!C60</f>
        <v>58 PC Sokol Lipník - Fafek Petr</v>
      </c>
      <c r="C60" t="str">
        <f t="shared" ca="1" si="0"/>
        <v xml:space="preserve"> </v>
      </c>
    </row>
    <row r="61" spans="1:3">
      <c r="A61" s="2" t="str">
        <f ca="1">Nasazení!B61</f>
        <v>AB2</v>
      </c>
      <c r="B61" s="11" t="str">
        <f ca="1">Nasazení!C61</f>
        <v>59 SKP Kulová osma - Chmelař Ivo</v>
      </c>
      <c r="C61" t="str">
        <f t="shared" ca="1" si="0"/>
        <v xml:space="preserve"> </v>
      </c>
    </row>
    <row r="62" spans="1:3">
      <c r="A62" s="2" t="str">
        <f ca="1">Nasazení!B62</f>
        <v>AA2</v>
      </c>
      <c r="B62" s="11" t="str">
        <f ca="1">Nasazení!C62</f>
        <v>60 SKP Hranice VI-Valšovice - Svobodová Lenka</v>
      </c>
      <c r="C62" t="str">
        <f t="shared" ca="1" si="0"/>
        <v xml:space="preserve"> </v>
      </c>
    </row>
    <row r="63" spans="1:3">
      <c r="A63" s="2" t="str">
        <f ca="1">Nasazení!B63</f>
        <v>Z2</v>
      </c>
      <c r="B63" s="11" t="str">
        <f ca="1">Nasazení!C63</f>
        <v>61 PC Mimo Done - Kára Jan</v>
      </c>
      <c r="C63" t="str">
        <f t="shared" ca="1" si="0"/>
        <v xml:space="preserve"> </v>
      </c>
    </row>
    <row r="64" spans="1:3">
      <c r="A64" s="2" t="str">
        <f ca="1">Nasazení!B64</f>
        <v>Y2</v>
      </c>
      <c r="B64" s="11" t="str">
        <f ca="1">Nasazení!C64</f>
        <v>62 Carreau Brno - Grepl Jiří</v>
      </c>
      <c r="C64" t="str">
        <f t="shared" ca="1" si="0"/>
        <v xml:space="preserve"> </v>
      </c>
    </row>
    <row r="65" spans="1:3">
      <c r="A65" s="2" t="str">
        <f ca="1">Nasazení!B65</f>
        <v>X2</v>
      </c>
      <c r="B65" s="11" t="str">
        <f ca="1">Nasazení!C65</f>
        <v>63 HRODE KRUMSÍN - Karásek Jiří</v>
      </c>
      <c r="C65" t="str">
        <f t="shared" ca="1" si="0"/>
        <v xml:space="preserve"> </v>
      </c>
    </row>
    <row r="66" spans="1:3">
      <c r="A66" s="2" t="str">
        <f ca="1">Nasazení!B66</f>
        <v>W2</v>
      </c>
      <c r="B66" s="11" t="str">
        <f ca="1">Nasazení!C66</f>
        <v>64 SK Pétanque Řepy - Ptáček Miroslav</v>
      </c>
      <c r="C66" t="str">
        <f t="shared" ca="1" si="0"/>
        <v xml:space="preserve"> </v>
      </c>
    </row>
    <row r="67" spans="1:3">
      <c r="A67" s="2" t="str">
        <f ca="1">Nasazení!B67</f>
        <v>V2</v>
      </c>
      <c r="B67" s="11" t="str">
        <f ca="1">Nasazení!C67</f>
        <v>65 Sokol Kostomlaty - Vaníčková Alena</v>
      </c>
      <c r="C67" t="str">
        <f t="shared" ca="1" si="0"/>
        <v xml:space="preserve"> </v>
      </c>
    </row>
    <row r="68" spans="1:3">
      <c r="A68" s="2" t="str">
        <f ca="1">Nasazení!B68</f>
        <v>U2</v>
      </c>
      <c r="B68" s="11" t="str">
        <f ca="1">Nasazení!C68</f>
        <v>66 PK 1293 Vojnův Městec - Fereš Pavel</v>
      </c>
      <c r="C68" t="str">
        <f t="shared" ref="C68:C130" ca="1" si="1">IF(T(A68)="","X"," ")</f>
        <v xml:space="preserve"> </v>
      </c>
    </row>
    <row r="69" spans="1:3">
      <c r="A69" s="2" t="str">
        <f ca="1">Nasazení!B69</f>
        <v>T2</v>
      </c>
      <c r="B69" s="11" t="str">
        <f ca="1">Nasazení!C69</f>
        <v>67 POP Praha - Žárský Kamil</v>
      </c>
      <c r="C69" t="str">
        <f t="shared" ca="1" si="1"/>
        <v xml:space="preserve"> </v>
      </c>
    </row>
    <row r="70" spans="1:3">
      <c r="A70" s="2" t="str">
        <f ca="1">Nasazení!B70</f>
        <v>S2</v>
      </c>
      <c r="B70" s="11" t="str">
        <f ca="1">Nasazení!C70</f>
        <v>68 HAPEK - Burešová Jana</v>
      </c>
      <c r="C70" t="str">
        <f t="shared" ca="1" si="1"/>
        <v xml:space="preserve"> </v>
      </c>
    </row>
    <row r="71" spans="1:3">
      <c r="A71" s="2" t="str">
        <f ca="1">Nasazení!B71</f>
        <v>R2</v>
      </c>
      <c r="B71" s="11" t="str">
        <f ca="1">Nasazení!C71</f>
        <v>69 PC Mimo Done - Radechovský Milan</v>
      </c>
      <c r="C71" t="str">
        <f t="shared" ca="1" si="1"/>
        <v xml:space="preserve"> </v>
      </c>
    </row>
    <row r="72" spans="1:3">
      <c r="A72" s="2" t="str">
        <f ca="1">Nasazení!B72</f>
        <v>Q2</v>
      </c>
      <c r="B72" s="11" t="str">
        <f ca="1">Nasazení!C72</f>
        <v>70 Orel Řečkovice - Hanák Pavel</v>
      </c>
      <c r="C72" t="str">
        <f t="shared" ca="1" si="1"/>
        <v xml:space="preserve"> </v>
      </c>
    </row>
    <row r="73" spans="1:3">
      <c r="A73" s="2" t="str">
        <f ca="1">Nasazení!B73</f>
        <v>P2</v>
      </c>
      <c r="B73" s="11" t="str">
        <f ca="1">Nasazení!C73</f>
        <v>71 Bowle 09 Klatovy - Hulec Zdeněk</v>
      </c>
      <c r="C73" t="str">
        <f t="shared" ca="1" si="1"/>
        <v xml:space="preserve"> </v>
      </c>
    </row>
    <row r="74" spans="1:3">
      <c r="A74" s="2" t="str">
        <f ca="1">Nasazení!B74</f>
        <v>O2</v>
      </c>
      <c r="B74" s="11" t="str">
        <f ca="1">Nasazení!C74</f>
        <v>72 PAK Albrechtice - Valík Václav</v>
      </c>
      <c r="C74" t="str">
        <f t="shared" ca="1" si="1"/>
        <v xml:space="preserve"> </v>
      </c>
    </row>
    <row r="75" spans="1:3">
      <c r="A75" s="2" t="str">
        <f ca="1">Nasazení!B75</f>
        <v>N2</v>
      </c>
      <c r="B75" s="11" t="str">
        <f ca="1">Nasazení!C75</f>
        <v>73 SKP Kulová osma - Sjögren Magda</v>
      </c>
      <c r="C75" t="str">
        <f t="shared" ca="1" si="1"/>
        <v xml:space="preserve"> </v>
      </c>
    </row>
    <row r="76" spans="1:3">
      <c r="A76" s="2" t="str">
        <f ca="1">Nasazení!B76</f>
        <v>M2</v>
      </c>
      <c r="B76" s="11" t="str">
        <f ca="1">Nasazení!C76</f>
        <v>74 PK Osika Plzeň - Jirkovský Tomáš</v>
      </c>
      <c r="C76" t="str">
        <f t="shared" ca="1" si="1"/>
        <v xml:space="preserve"> </v>
      </c>
    </row>
    <row r="77" spans="1:3">
      <c r="A77" s="2" t="str">
        <f ca="1">Nasazení!B77</f>
        <v>L2</v>
      </c>
      <c r="B77" s="11" t="str">
        <f ca="1">Nasazení!C77</f>
        <v>75 Petank Club Praha - Maňák Jan</v>
      </c>
      <c r="C77" t="str">
        <f t="shared" ca="1" si="1"/>
        <v xml:space="preserve"> </v>
      </c>
    </row>
    <row r="78" spans="1:3">
      <c r="A78" s="2" t="str">
        <f ca="1">Nasazení!B78</f>
        <v>K2</v>
      </c>
      <c r="B78" s="11" t="str">
        <f ca="1">Nasazení!C78</f>
        <v>76 PC Kolová - Horáček Jindřich</v>
      </c>
      <c r="C78" t="str">
        <f t="shared" ca="1" si="1"/>
        <v xml:space="preserve"> </v>
      </c>
    </row>
    <row r="79" spans="1:3">
      <c r="A79" s="2" t="str">
        <f ca="1">Nasazení!B79</f>
        <v>J2</v>
      </c>
      <c r="B79" s="11" t="str">
        <f ca="1">Nasazení!C79</f>
        <v>77 CdP Loděnice - Gorroňo López Rubi</v>
      </c>
      <c r="C79" t="str">
        <f t="shared" ca="1" si="1"/>
        <v xml:space="preserve"> </v>
      </c>
    </row>
    <row r="80" spans="1:3">
      <c r="A80" s="2" t="str">
        <f ca="1">Nasazení!B80</f>
        <v>I2</v>
      </c>
      <c r="B80" s="11" t="str">
        <f ca="1">Nasazení!C80</f>
        <v>78 HRODE KRUMSÍN - Karásková Františka</v>
      </c>
      <c r="C80" t="str">
        <f t="shared" ca="1" si="1"/>
        <v xml:space="preserve"> </v>
      </c>
    </row>
    <row r="81" spans="1:3">
      <c r="A81" s="2" t="str">
        <f ca="1">Nasazení!B81</f>
        <v>H2</v>
      </c>
      <c r="B81" s="11" t="str">
        <f ca="1">Nasazení!C81</f>
        <v>79 PO Chotěboř - Pachla Pavel</v>
      </c>
      <c r="C81" t="str">
        <f t="shared" ca="1" si="1"/>
        <v xml:space="preserve"> </v>
      </c>
    </row>
    <row r="82" spans="1:3">
      <c r="A82" s="2" t="str">
        <f ca="1">Nasazení!B82</f>
        <v>G2</v>
      </c>
      <c r="B82" s="11" t="str">
        <f ca="1">Nasazení!C82</f>
        <v>80 PKT Velký Šanc - Sedláčková Marie</v>
      </c>
      <c r="C82" t="str">
        <f t="shared" ca="1" si="1"/>
        <v xml:space="preserve"> </v>
      </c>
    </row>
    <row r="83" spans="1:3">
      <c r="A83" s="2" t="str">
        <f ca="1">Nasazení!B83</f>
        <v>F2</v>
      </c>
      <c r="B83" s="11" t="str">
        <f ca="1">Nasazení!C83</f>
        <v>81 PKT Velký Šanc - Semrád Oldřich</v>
      </c>
      <c r="C83" t="str">
        <f t="shared" ca="1" si="1"/>
        <v xml:space="preserve"> </v>
      </c>
    </row>
    <row r="84" spans="1:3">
      <c r="A84" s="2" t="str">
        <f ca="1">Nasazení!B84</f>
        <v>E2</v>
      </c>
      <c r="B84" s="11" t="str">
        <f ca="1">Nasazení!C84</f>
        <v>82 Petank Club Praha - Kašparová Barbora</v>
      </c>
      <c r="C84" t="str">
        <f t="shared" ca="1" si="1"/>
        <v xml:space="preserve"> </v>
      </c>
    </row>
    <row r="85" spans="1:3">
      <c r="A85" s="2" t="str">
        <f ca="1">Nasazení!B85</f>
        <v>D2</v>
      </c>
      <c r="B85" s="11" t="str">
        <f ca="1">Nasazení!C85</f>
        <v>83 PKT Velký Šanc - Horálek Jiří</v>
      </c>
      <c r="C85" t="str">
        <f t="shared" ca="1" si="1"/>
        <v xml:space="preserve"> </v>
      </c>
    </row>
    <row r="86" spans="1:3">
      <c r="A86" s="2" t="str">
        <f ca="1">Nasazení!B86</f>
        <v>C2</v>
      </c>
      <c r="B86" s="11" t="str">
        <f ca="1">Nasazení!C86</f>
        <v>84 PC Sokol PP Hr. Králové - Melgr Pavel</v>
      </c>
      <c r="C86" t="str">
        <f t="shared" ca="1" si="1"/>
        <v xml:space="preserve"> </v>
      </c>
    </row>
    <row r="87" spans="1:3">
      <c r="A87" s="2" t="str">
        <f ca="1">Nasazení!B87</f>
        <v>B2</v>
      </c>
      <c r="B87" s="11" t="str">
        <f ca="1">Nasazení!C87</f>
        <v>85 Petank Club Praha - Froněk Jiří ml.</v>
      </c>
      <c r="C87" t="str">
        <f t="shared" ca="1" si="1"/>
        <v xml:space="preserve"> </v>
      </c>
    </row>
    <row r="88" spans="1:3">
      <c r="A88" s="2" t="str">
        <f ca="1">Nasazení!B88</f>
        <v>A2</v>
      </c>
      <c r="B88" s="11" t="str">
        <f ca="1">Nasazení!C88</f>
        <v>86 PC Sokol PP Hr. Králové - Melgr Jan</v>
      </c>
      <c r="C88" t="str">
        <f t="shared" ca="1" si="1"/>
        <v xml:space="preserve"> </v>
      </c>
    </row>
    <row r="89" spans="1:3">
      <c r="A89" s="2" t="str">
        <f ca="1">Nasazení!B89</f>
        <v>A3</v>
      </c>
      <c r="B89" s="11" t="str">
        <f ca="1">Nasazení!C89</f>
        <v>87 JAPKO - Stejskal Václav</v>
      </c>
      <c r="C89" t="str">
        <f t="shared" ca="1" si="1"/>
        <v xml:space="preserve"> </v>
      </c>
    </row>
    <row r="90" spans="1:3">
      <c r="A90" s="2" t="str">
        <f ca="1">Nasazení!B90</f>
        <v>B3</v>
      </c>
      <c r="B90" s="11" t="str">
        <f ca="1">Nasazení!C90</f>
        <v>88 C.T.P. Club Ořech - Glaser Vladimír</v>
      </c>
      <c r="C90" t="str">
        <f t="shared" ca="1" si="1"/>
        <v xml:space="preserve"> </v>
      </c>
    </row>
    <row r="91" spans="1:3">
      <c r="A91" s="2" t="str">
        <f ca="1">Nasazení!B91</f>
        <v>C3</v>
      </c>
      <c r="B91" s="11" t="str">
        <f ca="1">Nasazení!C91</f>
        <v>89 SK Sahara Vědomice - Piller Tomáš</v>
      </c>
      <c r="C91" t="str">
        <f t="shared" ca="1" si="1"/>
        <v xml:space="preserve"> </v>
      </c>
    </row>
    <row r="92" spans="1:3">
      <c r="A92" s="2" t="str">
        <f ca="1">Nasazení!B92</f>
        <v>D3</v>
      </c>
      <c r="B92" s="11" t="str">
        <f ca="1">Nasazení!C92</f>
        <v>90 PK Osika Plzeň - Mráz Václav</v>
      </c>
      <c r="C92" t="str">
        <f t="shared" ca="1" si="1"/>
        <v xml:space="preserve"> </v>
      </c>
    </row>
    <row r="93" spans="1:3">
      <c r="A93" s="2" t="str">
        <f ca="1">Nasazení!B93</f>
        <v>E3</v>
      </c>
      <c r="B93" s="11" t="str">
        <f ca="1">Nasazení!C93</f>
        <v>91 Carreau Brno - Bytešník Roman</v>
      </c>
      <c r="C93" t="str">
        <f t="shared" ca="1" si="1"/>
        <v xml:space="preserve"> </v>
      </c>
    </row>
    <row r="94" spans="1:3">
      <c r="A94" s="2" t="str">
        <f ca="1">Nasazení!B94</f>
        <v>F3</v>
      </c>
      <c r="B94" s="11" t="str">
        <f ca="1">Nasazení!C94</f>
        <v>92 PAK Albrechtice - Žiak Radomír</v>
      </c>
      <c r="C94" t="str">
        <f t="shared" ca="1" si="1"/>
        <v xml:space="preserve"> </v>
      </c>
    </row>
    <row r="95" spans="1:3">
      <c r="A95" s="2" t="str">
        <f ca="1">Nasazení!B95</f>
        <v>G3</v>
      </c>
      <c r="B95" s="11" t="str">
        <f ca="1">Nasazení!C95</f>
        <v>93 1. KPK Vrchlabí - Bucek Zdeněk</v>
      </c>
      <c r="C95" t="str">
        <f t="shared" ca="1" si="1"/>
        <v xml:space="preserve"> </v>
      </c>
    </row>
    <row r="96" spans="1:3">
      <c r="A96" s="2" t="str">
        <f ca="1">Nasazení!B96</f>
        <v>H3</v>
      </c>
      <c r="B96" s="11" t="str">
        <f ca="1">Nasazení!C96</f>
        <v>94 HRODE KRUMSÍN - Drmola Michal</v>
      </c>
      <c r="C96" t="str">
        <f t="shared" ca="1" si="1"/>
        <v xml:space="preserve"> </v>
      </c>
    </row>
    <row r="97" spans="1:3">
      <c r="A97" s="2" t="str">
        <f ca="1">Nasazení!B97</f>
        <v>I3</v>
      </c>
      <c r="B97" s="11" t="str">
        <f ca="1">Nasazení!C97</f>
        <v>95 PPA POZORKA - Michovský Jiří</v>
      </c>
      <c r="C97" t="str">
        <f t="shared" ca="1" si="1"/>
        <v xml:space="preserve"> </v>
      </c>
    </row>
    <row r="98" spans="1:3">
      <c r="A98" s="2" t="str">
        <f ca="1">Nasazení!B98</f>
        <v>J3</v>
      </c>
      <c r="B98" s="11" t="str">
        <f ca="1">Nasazení!C98</f>
        <v>96 1. KPK Vrchlabí - Kadavá Petra</v>
      </c>
      <c r="C98" t="str">
        <f t="shared" ca="1" si="1"/>
        <v xml:space="preserve"> </v>
      </c>
    </row>
    <row r="99" spans="1:3">
      <c r="A99" s="2" t="str">
        <f ca="1">Nasazení!B99</f>
        <v>K3</v>
      </c>
      <c r="B99" s="11" t="str">
        <f ca="1">Nasazení!C99</f>
        <v>97 PK Osika Plzeň - Špitálský Milan</v>
      </c>
      <c r="C99" t="str">
        <f t="shared" ca="1" si="1"/>
        <v xml:space="preserve"> </v>
      </c>
    </row>
    <row r="100" spans="1:3">
      <c r="A100" s="2" t="str">
        <f ca="1">Nasazení!B100</f>
        <v>L3</v>
      </c>
      <c r="B100" s="11" t="str">
        <f ca="1">Nasazení!C100</f>
        <v>98 C.T.P. Club Ořech - Glaserová Dana</v>
      </c>
      <c r="C100" t="str">
        <f t="shared" ca="1" si="1"/>
        <v xml:space="preserve"> </v>
      </c>
    </row>
    <row r="101" spans="1:3">
      <c r="A101" s="2" t="str">
        <f ca="1">Nasazení!B101</f>
        <v>M3</v>
      </c>
      <c r="B101" s="11" t="str">
        <f ca="1">Nasazení!C101</f>
        <v>99 SK Sahara Vědomice - Kocourek Pavel</v>
      </c>
      <c r="C101" t="str">
        <f t="shared" ca="1" si="1"/>
        <v xml:space="preserve"> </v>
      </c>
    </row>
    <row r="102" spans="1:3">
      <c r="A102" s="2" t="str">
        <f ca="1">Nasazení!B102</f>
        <v>N3</v>
      </c>
      <c r="B102" s="11" t="str">
        <f ca="1">Nasazení!C102</f>
        <v>100 1. Starobrněnský PK - Blažejová Eva</v>
      </c>
      <c r="C102" t="str">
        <f t="shared" ca="1" si="1"/>
        <v xml:space="preserve"> </v>
      </c>
    </row>
    <row r="103" spans="1:3">
      <c r="A103" s="2" t="str">
        <f ca="1">Nasazení!B103</f>
        <v>O3</v>
      </c>
      <c r="B103" s="11" t="str">
        <f ca="1">Nasazení!C103</f>
        <v>101 PK Polouvsí - Valošek Radim</v>
      </c>
      <c r="C103" t="str">
        <f t="shared" ca="1" si="1"/>
        <v xml:space="preserve"> </v>
      </c>
    </row>
    <row r="104" spans="1:3">
      <c r="A104" s="2" t="str">
        <f ca="1">Nasazení!B104</f>
        <v>P3</v>
      </c>
      <c r="B104" s="11" t="str">
        <f ca="1">Nasazení!C104</f>
        <v>102 Sokol Kostomlaty - Vaníček Rudolf</v>
      </c>
      <c r="C104" t="str">
        <f t="shared" ca="1" si="1"/>
        <v xml:space="preserve"> </v>
      </c>
    </row>
    <row r="105" spans="1:3">
      <c r="A105" s="2" t="str">
        <f ca="1">Nasazení!B105</f>
        <v>Q3</v>
      </c>
      <c r="B105" s="11" t="str">
        <f ca="1">Nasazení!C105</f>
        <v>103 PK Polouvsí - Rusek Luboš</v>
      </c>
      <c r="C105" t="str">
        <f t="shared" ca="1" si="1"/>
        <v xml:space="preserve"> </v>
      </c>
    </row>
    <row r="106" spans="1:3">
      <c r="A106" s="2" t="str">
        <f ca="1">Nasazení!B106</f>
        <v>R3</v>
      </c>
      <c r="B106" s="11" t="str">
        <f ca="1">Nasazení!C106</f>
        <v>104 PK Polouvsí - Ondryhal Josef</v>
      </c>
      <c r="C106" t="str">
        <f t="shared" ca="1" si="1"/>
        <v xml:space="preserve"> </v>
      </c>
    </row>
    <row r="107" spans="1:3">
      <c r="A107" s="2" t="str">
        <f ca="1">Nasazení!B107</f>
        <v>S3</v>
      </c>
      <c r="B107" s="11" t="str">
        <f ca="1">Nasazení!C107</f>
        <v>105 PC Mimo Done - Zikmunda Matěj</v>
      </c>
      <c r="C107" t="str">
        <f t="shared" ca="1" si="1"/>
        <v xml:space="preserve"> </v>
      </c>
    </row>
    <row r="108" spans="1:3">
      <c r="A108" s="2" t="str">
        <f ca="1">Nasazení!B108</f>
        <v>T3</v>
      </c>
      <c r="B108" s="11" t="str">
        <f ca="1">Nasazení!C108</f>
        <v>106 SENIOR TÝM Praha 1 - Blieková Alena</v>
      </c>
      <c r="C108" t="str">
        <f t="shared" ca="1" si="1"/>
        <v xml:space="preserve"> </v>
      </c>
    </row>
    <row r="109" spans="1:3">
      <c r="A109" s="2" t="str">
        <f ca="1">Nasazení!B109</f>
        <v>U3</v>
      </c>
      <c r="B109" s="11" t="str">
        <f ca="1">Nasazení!C109</f>
        <v>107 1. KPK Vrchlabí - Srnský Jakub</v>
      </c>
      <c r="C109" t="str">
        <f t="shared" ca="1" si="1"/>
        <v xml:space="preserve"> </v>
      </c>
    </row>
    <row r="110" spans="1:3">
      <c r="A110" s="2" t="str">
        <f ca="1">Nasazení!B110</f>
        <v>V3</v>
      </c>
      <c r="B110" s="11" t="str">
        <f ca="1">Nasazení!C110</f>
        <v>108 Bowle 09 Klatovy - Hůrka Jindřich</v>
      </c>
      <c r="C110" t="str">
        <f t="shared" ca="1" si="1"/>
        <v xml:space="preserve"> </v>
      </c>
    </row>
    <row r="111" spans="1:3">
      <c r="A111" s="2" t="str">
        <f ca="1">Nasazení!B111</f>
        <v>W3</v>
      </c>
      <c r="B111" s="11" t="str">
        <f ca="1">Nasazení!C111</f>
        <v>109 JAPKO - Stejskal Petr</v>
      </c>
      <c r="C111" t="str">
        <f t="shared" ca="1" si="1"/>
        <v xml:space="preserve"> </v>
      </c>
    </row>
    <row r="112" spans="1:3">
      <c r="A112" s="2" t="str">
        <f ca="1">Nasazení!B112</f>
        <v>X3</v>
      </c>
      <c r="B112" s="11" t="str">
        <f ca="1">Nasazení!C112</f>
        <v>110 PK Polouvsí - Valošková Sára</v>
      </c>
      <c r="C112" t="str">
        <f t="shared" ca="1" si="1"/>
        <v xml:space="preserve"> </v>
      </c>
    </row>
    <row r="113" spans="1:3">
      <c r="A113" s="2" t="str">
        <f ca="1">Nasazení!B113</f>
        <v>Y3</v>
      </c>
      <c r="B113" s="11" t="str">
        <f ca="1">Nasazení!C113</f>
        <v>111 Bowle 09 Klatovy - Hůrková Lucie</v>
      </c>
      <c r="C113" t="str">
        <f t="shared" ca="1" si="1"/>
        <v xml:space="preserve"> </v>
      </c>
    </row>
    <row r="114" spans="1:3">
      <c r="A114" s="2" t="str">
        <f ca="1">Nasazení!B114</f>
        <v>Z3</v>
      </c>
      <c r="B114" s="11" t="str">
        <f ca="1">Nasazení!C114</f>
        <v>112 SK Sahara Vědomice - Gröschl Zdeněk</v>
      </c>
      <c r="C114" t="str">
        <f t="shared" ca="1" si="1"/>
        <v xml:space="preserve"> </v>
      </c>
    </row>
    <row r="115" spans="1:3">
      <c r="A115" s="2" t="str">
        <f ca="1">Nasazení!B115</f>
        <v>AA3</v>
      </c>
      <c r="B115" s="11" t="str">
        <f ca="1">Nasazení!C115</f>
        <v>113 PK Polouvsí - Ondryhal Lukáš</v>
      </c>
      <c r="C115" t="str">
        <f t="shared" ca="1" si="1"/>
        <v xml:space="preserve"> </v>
      </c>
    </row>
    <row r="116" spans="1:3">
      <c r="A116" s="2" t="str">
        <f ca="1">Nasazení!B116</f>
        <v>AB3</v>
      </c>
      <c r="B116" s="11" t="str">
        <f ca="1">Nasazení!C116</f>
        <v>114 PCP Lipník - Reinbergrová Václava</v>
      </c>
      <c r="C116" t="str">
        <f t="shared" ca="1" si="1"/>
        <v xml:space="preserve"> </v>
      </c>
    </row>
    <row r="117" spans="1:3">
      <c r="A117" s="2" t="str">
        <f ca="1">Nasazení!B117</f>
        <v>AC3</v>
      </c>
      <c r="B117" s="11" t="str">
        <f ca="1">Nasazení!C117</f>
        <v>115 SK Pétanque Řepy - Křížek Evžen</v>
      </c>
      <c r="C117" t="str">
        <f t="shared" ca="1" si="1"/>
        <v xml:space="preserve"> </v>
      </c>
    </row>
    <row r="118" spans="1:3">
      <c r="A118" s="2" t="str">
        <f ca="1">Nasazení!B118</f>
        <v>AD3</v>
      </c>
      <c r="B118" s="11" t="str">
        <f ca="1">Nasazení!C118</f>
        <v>116 SK Pétanque Řepy - Procházka Josef</v>
      </c>
      <c r="C118" t="str">
        <f t="shared" ca="1" si="1"/>
        <v xml:space="preserve"> </v>
      </c>
    </row>
    <row r="119" spans="1:3">
      <c r="A119" s="2" t="str">
        <f ca="1">Nasazení!B119</f>
        <v>AE3</v>
      </c>
      <c r="B119" s="11" t="str">
        <f ca="1">Nasazení!C119</f>
        <v>117 PEK Stolín - Jablonský Lukáš</v>
      </c>
      <c r="C119" t="str">
        <f t="shared" ca="1" si="1"/>
        <v xml:space="preserve"> </v>
      </c>
    </row>
    <row r="120" spans="1:3">
      <c r="A120" s="2" t="str">
        <f ca="1">Nasazení!B120</f>
        <v>AF3</v>
      </c>
      <c r="B120" s="11" t="str">
        <f ca="1">Nasazení!C120</f>
        <v>118 PEK Stolín - Hájková Iveta</v>
      </c>
      <c r="C120" t="str">
        <f t="shared" ca="1" si="1"/>
        <v xml:space="preserve"> </v>
      </c>
    </row>
    <row r="121" spans="1:3">
      <c r="A121" s="2" t="str">
        <f ca="1">Nasazení!B121</f>
        <v>AG3</v>
      </c>
      <c r="B121" s="11" t="str">
        <f ca="1">Nasazení!C121</f>
        <v>119 Petank Club Praha - Rendjambe Amos</v>
      </c>
      <c r="C121" t="str">
        <f t="shared" ca="1" si="1"/>
        <v xml:space="preserve"> </v>
      </c>
    </row>
    <row r="122" spans="1:3">
      <c r="A122" s="2" t="str">
        <f ca="1">Nasazení!B122</f>
        <v>AH3</v>
      </c>
      <c r="B122" s="11" t="str">
        <f ca="1">Nasazení!C122</f>
        <v>120 Petank Club Praha - Křešťáková Jana</v>
      </c>
      <c r="C122" t="str">
        <f t="shared" ca="1" si="1"/>
        <v xml:space="preserve"> </v>
      </c>
    </row>
    <row r="123" spans="1:3">
      <c r="A123" s="2" t="str">
        <f ca="1">Nasazení!B123</f>
        <v>AI3</v>
      </c>
      <c r="B123" s="11" t="str">
        <f ca="1">Nasazení!C123</f>
        <v>121 PCP Lipník - Kmoch Miroslav</v>
      </c>
      <c r="C123" t="str">
        <f t="shared" ca="1" si="1"/>
        <v xml:space="preserve"> </v>
      </c>
    </row>
    <row r="124" spans="1:3">
      <c r="A124" s="2" t="str">
        <f ca="1">Nasazení!B124</f>
        <v>AJ3</v>
      </c>
      <c r="B124" s="11" t="str">
        <f ca="1">Nasazení!C124</f>
        <v>122 SK Pétanque Řepy - Koňasová Hana</v>
      </c>
      <c r="C124" t="str">
        <f t="shared" ca="1" si="1"/>
        <v xml:space="preserve"> </v>
      </c>
    </row>
    <row r="125" spans="1:3">
      <c r="A125" s="2" t="str">
        <f ca="1">Nasazení!B125</f>
        <v>AK3</v>
      </c>
      <c r="B125" s="11" t="str">
        <f ca="1">Nasazení!C125</f>
        <v>123 SK Pétanque Řepy - Josífková Eva</v>
      </c>
      <c r="C125" t="str">
        <f t="shared" ca="1" si="1"/>
        <v xml:space="preserve"> </v>
      </c>
    </row>
    <row r="126" spans="1:3">
      <c r="A126" s="2" t="str">
        <f ca="1">Nasazení!B126</f>
        <v>AL3</v>
      </c>
      <c r="B126" s="11" t="str">
        <f ca="1">Nasazení!C126</f>
        <v>124 SK Sahara Vědomice - Suchomel Luděk</v>
      </c>
      <c r="C126" t="str">
        <f t="shared" ca="1" si="1"/>
        <v xml:space="preserve"> </v>
      </c>
    </row>
    <row r="127" spans="1:3">
      <c r="A127" s="2" t="str">
        <f ca="1">Nasazení!B127</f>
        <v>AM3</v>
      </c>
      <c r="B127" s="11" t="str">
        <f ca="1">Nasazení!C127</f>
        <v>125 SK Pétanque Řepy - Váňová Věra</v>
      </c>
      <c r="C127" t="str">
        <f t="shared" ca="1" si="1"/>
        <v xml:space="preserve"> </v>
      </c>
    </row>
    <row r="128" spans="1:3">
      <c r="A128" s="2" t="str">
        <f ca="1">Nasazení!B128</f>
        <v>AN3</v>
      </c>
      <c r="B128" s="11" t="str">
        <f ca="1">Nasazení!C128</f>
        <v>126 1. KPK Vrchlabí - Lukeš Jakub</v>
      </c>
      <c r="C128" t="str">
        <f t="shared" ca="1" si="1"/>
        <v xml:space="preserve"> </v>
      </c>
    </row>
    <row r="129" spans="1:3">
      <c r="A129" s="2" t="str">
        <f ca="1">Nasazení!B129</f>
        <v>AO3</v>
      </c>
      <c r="B129" s="11" t="str">
        <f ca="1">Nasazení!C129</f>
        <v>127 JAPKO - Fukal Milan</v>
      </c>
      <c r="C129" t="str">
        <f t="shared" ca="1" si="1"/>
        <v xml:space="preserve"> </v>
      </c>
    </row>
    <row r="130" spans="1:3">
      <c r="A130" s="2" t="str">
        <f ca="1">Nasazení!B130</f>
        <v>AP3</v>
      </c>
      <c r="B130" s="11" t="str">
        <f ca="1">Nasazení!C130</f>
        <v>128 PC Mimo Done - Duška Miloš</v>
      </c>
      <c r="C130" t="str">
        <f t="shared" ca="1" si="1"/>
        <v xml:space="preserve"> </v>
      </c>
    </row>
    <row r="131" spans="1:3">
      <c r="A131" s="2" t="str">
        <f ca="1">Nasazení!B131</f>
        <v>AQ3</v>
      </c>
      <c r="B131" s="11" t="str">
        <f ca="1">Nasazení!C131</f>
        <v>129 SK Pétanque Řepy - Gazdíková Jiřina</v>
      </c>
      <c r="C131" t="str">
        <f t="shared" ref="C131:C194" ca="1" si="2">IF(T(A131)="","X"," ")</f>
        <v xml:space="preserve"> </v>
      </c>
    </row>
    <row r="132" spans="1:3">
      <c r="A132" s="2" t="str">
        <f ca="1">Nasazení!B132</f>
        <v>AQ4</v>
      </c>
      <c r="B132" s="11" t="str">
        <f ca="1">Nasazení!C132</f>
        <v>130 PEK Stolín - Rousková Nina</v>
      </c>
      <c r="C132" t="str">
        <f t="shared" ca="1" si="2"/>
        <v xml:space="preserve"> </v>
      </c>
    </row>
    <row r="133" spans="1:3">
      <c r="A133" s="2" t="str">
        <f ca="1">Nasazení!B133</f>
        <v>AP4</v>
      </c>
      <c r="B133" s="11" t="str">
        <f ca="1">Nasazení!C133</f>
        <v>131 PKT Velký Šanc - Sedláčková Hedvika</v>
      </c>
      <c r="C133" t="str">
        <f t="shared" ca="1" si="2"/>
        <v xml:space="preserve"> </v>
      </c>
    </row>
    <row r="134" spans="1:3">
      <c r="A134" s="2" t="str">
        <f ca="1">Nasazení!B134</f>
        <v>AO4</v>
      </c>
      <c r="B134" s="11" t="str">
        <f ca="1">Nasazení!C134</f>
        <v>132 SK Pétanque Řepy - Čapková Věra</v>
      </c>
      <c r="C134" t="str">
        <f t="shared" ca="1" si="2"/>
        <v xml:space="preserve"> </v>
      </c>
    </row>
    <row r="135" spans="1:3">
      <c r="A135" s="2" t="str">
        <f ca="1">Nasazení!B135</f>
        <v>AN4</v>
      </c>
      <c r="B135" s="11" t="str">
        <f ca="1">Nasazení!C135</f>
        <v>133 FRAPECO - Husáková Petra</v>
      </c>
      <c r="C135" t="str">
        <f t="shared" ca="1" si="2"/>
        <v xml:space="preserve"> </v>
      </c>
    </row>
    <row r="136" spans="1:3">
      <c r="A136" s="2" t="str">
        <f ca="1">Nasazení!B136</f>
        <v>AM4</v>
      </c>
      <c r="B136" s="11" t="str">
        <f ca="1">Nasazení!C136</f>
        <v>134 UBU Únětice - Kolaříková Josefína</v>
      </c>
      <c r="C136" t="str">
        <f t="shared" ca="1" si="2"/>
        <v xml:space="preserve"> </v>
      </c>
    </row>
    <row r="137" spans="1:3">
      <c r="A137" s="2" t="str">
        <f ca="1">Nasazení!B137</f>
        <v>AL4</v>
      </c>
      <c r="B137" s="11" t="str">
        <f ca="1">Nasazení!C137</f>
        <v>135 VARAN - Tintěrová Kateřina</v>
      </c>
      <c r="C137" t="str">
        <f t="shared" ca="1" si="2"/>
        <v xml:space="preserve"> </v>
      </c>
    </row>
    <row r="138" spans="1:3">
      <c r="A138" s="2" t="str">
        <f ca="1">Nasazení!B138</f>
        <v>AK4</v>
      </c>
      <c r="B138" s="11" t="str">
        <f ca="1">Nasazení!C138</f>
        <v>136 PC Sokol PP Hr. Králové - Vávrová Ivana</v>
      </c>
      <c r="C138" t="str">
        <f t="shared" ca="1" si="2"/>
        <v xml:space="preserve"> </v>
      </c>
    </row>
    <row r="139" spans="1:3">
      <c r="A139" s="2" t="str">
        <f ca="1">Nasazení!B139</f>
        <v>AJ4</v>
      </c>
      <c r="B139" s="11" t="str">
        <f ca="1">Nasazení!C139</f>
        <v>137 SK Pétanque Řepy - Klazarová Vlasta</v>
      </c>
      <c r="C139" t="str">
        <f t="shared" ca="1" si="2"/>
        <v xml:space="preserve"> </v>
      </c>
    </row>
    <row r="140" spans="1:3">
      <c r="A140" s="2" t="str">
        <f ca="1">Nasazení!B140</f>
        <v>AI4</v>
      </c>
      <c r="B140" s="11" t="str">
        <f ca="1">Nasazení!C140</f>
        <v>138 SK Pétanque Řepy - Mullerová Jiřina</v>
      </c>
      <c r="C140" t="str">
        <f t="shared" ca="1" si="2"/>
        <v xml:space="preserve"> </v>
      </c>
    </row>
    <row r="141" spans="1:3">
      <c r="A141" s="2" t="str">
        <f ca="1">Nasazení!B141</f>
        <v>AH4</v>
      </c>
      <c r="B141" s="11" t="str">
        <f ca="1">Nasazení!C141</f>
        <v>139 ČPK Poděbrady - Karbulka Jan</v>
      </c>
      <c r="C141" t="str">
        <f t="shared" ca="1" si="2"/>
        <v xml:space="preserve"> </v>
      </c>
    </row>
    <row r="142" spans="1:3">
      <c r="A142" s="2" t="str">
        <f ca="1">Nasazení!B142</f>
        <v>AG4</v>
      </c>
      <c r="B142" s="11" t="str">
        <f ca="1">Nasazení!C142</f>
        <v>140 PKT Velký Šanc - Loprais Zdeněk</v>
      </c>
      <c r="C142" t="str">
        <f t="shared" ca="1" si="2"/>
        <v xml:space="preserve"> </v>
      </c>
    </row>
    <row r="143" spans="1:3">
      <c r="A143" s="2" t="str">
        <f ca="1">Nasazení!B143</f>
        <v>AF4</v>
      </c>
      <c r="B143" s="11" t="str">
        <f ca="1">Nasazení!C143</f>
        <v>141 PC Sokol PP Hr. Králové - Jarouš Vítek</v>
      </c>
      <c r="C143" t="str">
        <f t="shared" ca="1" si="2"/>
        <v xml:space="preserve"> </v>
      </c>
    </row>
    <row r="144" spans="1:3">
      <c r="A144" s="2" t="str">
        <f ca="1">Nasazení!B144</f>
        <v>AE4</v>
      </c>
      <c r="B144" s="11" t="str">
        <f ca="1">Nasazení!C144</f>
        <v>142 PEK Stolín - Rousek Simon</v>
      </c>
      <c r="C144" t="str">
        <f t="shared" ca="1" si="2"/>
        <v xml:space="preserve"> </v>
      </c>
    </row>
    <row r="145" spans="1:3">
      <c r="A145" s="2" t="str">
        <f ca="1">Nasazení!B145</f>
        <v>AD4</v>
      </c>
      <c r="B145" s="11" t="str">
        <f ca="1">Nasazení!C145</f>
        <v>143 PEK Stolín - Geisler Dan</v>
      </c>
      <c r="C145" t="str">
        <f t="shared" ca="1" si="2"/>
        <v xml:space="preserve"> </v>
      </c>
    </row>
    <row r="146" spans="1:3">
      <c r="A146" s="2" t="str">
        <f ca="1">Nasazení!B146</f>
        <v/>
      </c>
      <c r="B146" s="11" t="str">
        <f ca="1">Nasazení!C146</f>
        <v/>
      </c>
      <c r="C146" t="str">
        <f t="shared" ca="1" si="2"/>
        <v>X</v>
      </c>
    </row>
    <row r="147" spans="1:3">
      <c r="A147" s="2" t="str">
        <f ca="1">Nasazení!B147</f>
        <v/>
      </c>
      <c r="B147" s="11" t="str">
        <f ca="1">Nasazení!C147</f>
        <v/>
      </c>
      <c r="C147" t="str">
        <f t="shared" ca="1" si="2"/>
        <v>X</v>
      </c>
    </row>
    <row r="148" spans="1:3">
      <c r="A148" s="2" t="str">
        <f ca="1">Nasazení!B148</f>
        <v/>
      </c>
      <c r="B148" s="11" t="str">
        <f ca="1">Nasazení!C148</f>
        <v/>
      </c>
      <c r="C148" t="str">
        <f t="shared" ca="1" si="2"/>
        <v>X</v>
      </c>
    </row>
    <row r="149" spans="1:3">
      <c r="A149" s="2" t="str">
        <f ca="1">Nasazení!B149</f>
        <v/>
      </c>
      <c r="B149" s="11" t="str">
        <f ca="1">Nasazení!C149</f>
        <v/>
      </c>
      <c r="C149" t="str">
        <f t="shared" ca="1" si="2"/>
        <v>X</v>
      </c>
    </row>
    <row r="150" spans="1:3">
      <c r="A150" s="2" t="str">
        <f ca="1">Nasazení!B150</f>
        <v/>
      </c>
      <c r="B150" s="11" t="str">
        <f ca="1">Nasazení!C150</f>
        <v/>
      </c>
      <c r="C150" t="str">
        <f t="shared" ca="1" si="2"/>
        <v>X</v>
      </c>
    </row>
    <row r="151" spans="1:3">
      <c r="A151" s="2" t="str">
        <f ca="1">Nasazení!B151</f>
        <v/>
      </c>
      <c r="B151" s="11" t="str">
        <f ca="1">Nasazení!C151</f>
        <v/>
      </c>
      <c r="C151" t="str">
        <f t="shared" ca="1" si="2"/>
        <v>X</v>
      </c>
    </row>
    <row r="152" spans="1:3">
      <c r="A152" s="2" t="str">
        <f ca="1">Nasazení!B152</f>
        <v/>
      </c>
      <c r="B152" s="11" t="str">
        <f ca="1">Nasazení!C152</f>
        <v/>
      </c>
      <c r="C152" t="str">
        <f t="shared" ca="1" si="2"/>
        <v>X</v>
      </c>
    </row>
    <row r="153" spans="1:3">
      <c r="A153" s="2" t="str">
        <f ca="1">Nasazení!B153</f>
        <v/>
      </c>
      <c r="B153" s="11" t="str">
        <f ca="1">Nasazení!C153</f>
        <v/>
      </c>
      <c r="C153" t="str">
        <f t="shared" ca="1" si="2"/>
        <v>X</v>
      </c>
    </row>
    <row r="154" spans="1:3">
      <c r="A154" s="2" t="str">
        <f ca="1">Nasazení!B154</f>
        <v/>
      </c>
      <c r="B154" s="11" t="str">
        <f ca="1">Nasazení!C154</f>
        <v/>
      </c>
      <c r="C154" t="str">
        <f t="shared" ca="1" si="2"/>
        <v>X</v>
      </c>
    </row>
    <row r="155" spans="1:3">
      <c r="A155" s="2" t="str">
        <f ca="1">Nasazení!B155</f>
        <v/>
      </c>
      <c r="B155" s="11" t="str">
        <f ca="1">Nasazení!C155</f>
        <v/>
      </c>
      <c r="C155" t="str">
        <f t="shared" ca="1" si="2"/>
        <v>X</v>
      </c>
    </row>
    <row r="156" spans="1:3">
      <c r="A156" s="2" t="str">
        <f ca="1">Nasazení!B156</f>
        <v/>
      </c>
      <c r="B156" s="11" t="str">
        <f ca="1">Nasazení!C156</f>
        <v/>
      </c>
      <c r="C156" t="str">
        <f t="shared" ca="1" si="2"/>
        <v>X</v>
      </c>
    </row>
    <row r="157" spans="1:3">
      <c r="A157" s="2" t="str">
        <f ca="1">Nasazení!B157</f>
        <v/>
      </c>
      <c r="B157" s="11" t="str">
        <f ca="1">Nasazení!C157</f>
        <v/>
      </c>
      <c r="C157" t="str">
        <f t="shared" ca="1" si="2"/>
        <v>X</v>
      </c>
    </row>
    <row r="158" spans="1:3">
      <c r="A158" s="2" t="str">
        <f ca="1">Nasazení!B158</f>
        <v/>
      </c>
      <c r="B158" s="11" t="str">
        <f ca="1">Nasazení!C158</f>
        <v/>
      </c>
      <c r="C158" t="str">
        <f t="shared" ca="1" si="2"/>
        <v>X</v>
      </c>
    </row>
    <row r="159" spans="1:3">
      <c r="A159" s="2" t="str">
        <f ca="1">Nasazení!B159</f>
        <v/>
      </c>
      <c r="B159" s="11" t="str">
        <f ca="1">Nasazení!C159</f>
        <v/>
      </c>
      <c r="C159" t="str">
        <f t="shared" ca="1" si="2"/>
        <v>X</v>
      </c>
    </row>
    <row r="160" spans="1:3">
      <c r="A160" s="2" t="str">
        <f ca="1">Nasazení!B160</f>
        <v/>
      </c>
      <c r="B160" s="11" t="str">
        <f ca="1">Nasazení!C160</f>
        <v/>
      </c>
      <c r="C160" t="str">
        <f t="shared" ca="1" si="2"/>
        <v>X</v>
      </c>
    </row>
    <row r="161" spans="1:3">
      <c r="A161" s="2" t="str">
        <f ca="1">Nasazení!B161</f>
        <v/>
      </c>
      <c r="B161" s="11" t="str">
        <f ca="1">Nasazení!C161</f>
        <v/>
      </c>
      <c r="C161" t="str">
        <f t="shared" ca="1" si="2"/>
        <v>X</v>
      </c>
    </row>
    <row r="162" spans="1:3">
      <c r="A162" s="2" t="str">
        <f ca="1">Nasazení!B162</f>
        <v/>
      </c>
      <c r="B162" s="11" t="str">
        <f ca="1">Nasazení!C162</f>
        <v/>
      </c>
      <c r="C162" t="str">
        <f t="shared" ca="1" si="2"/>
        <v>X</v>
      </c>
    </row>
    <row r="163" spans="1:3">
      <c r="A163" s="2" t="str">
        <f ca="1">Nasazení!B163</f>
        <v/>
      </c>
      <c r="B163" s="11" t="str">
        <f ca="1">Nasazení!C163</f>
        <v/>
      </c>
      <c r="C163" t="str">
        <f t="shared" ca="1" si="2"/>
        <v>X</v>
      </c>
    </row>
    <row r="164" spans="1:3">
      <c r="A164" s="2" t="str">
        <f ca="1">Nasazení!B164</f>
        <v/>
      </c>
      <c r="B164" s="11" t="str">
        <f ca="1">Nasazení!C164</f>
        <v/>
      </c>
      <c r="C164" t="str">
        <f t="shared" ca="1" si="2"/>
        <v>X</v>
      </c>
    </row>
    <row r="165" spans="1:3">
      <c r="A165" s="2" t="str">
        <f ca="1">Nasazení!B165</f>
        <v/>
      </c>
      <c r="B165" s="11" t="str">
        <f ca="1">Nasazení!C165</f>
        <v/>
      </c>
      <c r="C165" t="str">
        <f t="shared" ca="1" si="2"/>
        <v>X</v>
      </c>
    </row>
    <row r="166" spans="1:3">
      <c r="A166" s="2" t="str">
        <f ca="1">Nasazení!B166</f>
        <v/>
      </c>
      <c r="B166" s="11" t="str">
        <f ca="1">Nasazení!C166</f>
        <v/>
      </c>
      <c r="C166" t="str">
        <f t="shared" ca="1" si="2"/>
        <v>X</v>
      </c>
    </row>
    <row r="167" spans="1:3">
      <c r="A167" s="2" t="str">
        <f ca="1">Nasazení!B167</f>
        <v/>
      </c>
      <c r="B167" s="11" t="str">
        <f ca="1">Nasazení!C167</f>
        <v/>
      </c>
      <c r="C167" t="str">
        <f t="shared" ca="1" si="2"/>
        <v>X</v>
      </c>
    </row>
    <row r="168" spans="1:3">
      <c r="A168" s="2" t="str">
        <f ca="1">Nasazení!B168</f>
        <v/>
      </c>
      <c r="B168" s="11" t="str">
        <f ca="1">Nasazení!C168</f>
        <v/>
      </c>
      <c r="C168" t="str">
        <f t="shared" ca="1" si="2"/>
        <v>X</v>
      </c>
    </row>
    <row r="169" spans="1:3">
      <c r="A169" s="2" t="str">
        <f ca="1">Nasazení!B169</f>
        <v/>
      </c>
      <c r="B169" s="11" t="str">
        <f ca="1">Nasazení!C169</f>
        <v/>
      </c>
      <c r="C169" t="str">
        <f t="shared" ca="1" si="2"/>
        <v>X</v>
      </c>
    </row>
    <row r="170" spans="1:3">
      <c r="A170" s="2" t="str">
        <f ca="1">Nasazení!B170</f>
        <v/>
      </c>
      <c r="B170" s="11" t="str">
        <f ca="1">Nasazení!C170</f>
        <v/>
      </c>
      <c r="C170" t="str">
        <f t="shared" ca="1" si="2"/>
        <v>X</v>
      </c>
    </row>
    <row r="171" spans="1:3">
      <c r="A171" s="2" t="str">
        <f ca="1">Nasazení!B171</f>
        <v/>
      </c>
      <c r="B171" s="11" t="str">
        <f ca="1">Nasazení!C171</f>
        <v/>
      </c>
      <c r="C171" t="str">
        <f t="shared" ca="1" si="2"/>
        <v>X</v>
      </c>
    </row>
    <row r="172" spans="1:3">
      <c r="A172" s="2" t="str">
        <f ca="1">Nasazení!B172</f>
        <v/>
      </c>
      <c r="B172" s="11" t="str">
        <f ca="1">Nasazení!C172</f>
        <v/>
      </c>
      <c r="C172" t="str">
        <f t="shared" ca="1" si="2"/>
        <v>X</v>
      </c>
    </row>
    <row r="173" spans="1:3">
      <c r="A173" s="2" t="str">
        <f ca="1">Nasazení!B173</f>
        <v/>
      </c>
      <c r="B173" s="11" t="str">
        <f ca="1">Nasazení!C173</f>
        <v/>
      </c>
      <c r="C173" t="str">
        <f t="shared" ca="1" si="2"/>
        <v>X</v>
      </c>
    </row>
    <row r="174" spans="1:3">
      <c r="A174" s="2" t="str">
        <f ca="1">Nasazení!B174</f>
        <v/>
      </c>
      <c r="B174" s="11" t="str">
        <f ca="1">Nasazení!C174</f>
        <v/>
      </c>
      <c r="C174" t="str">
        <f t="shared" ca="1" si="2"/>
        <v>X</v>
      </c>
    </row>
    <row r="175" spans="1:3">
      <c r="A175" s="2" t="str">
        <f ca="1">Nasazení!B175</f>
        <v/>
      </c>
      <c r="B175" s="11" t="str">
        <f ca="1">Nasazení!C175</f>
        <v/>
      </c>
      <c r="C175" t="str">
        <f t="shared" ca="1" si="2"/>
        <v>X</v>
      </c>
    </row>
    <row r="176" spans="1:3">
      <c r="A176" s="2" t="str">
        <f ca="1">Nasazení!B176</f>
        <v/>
      </c>
      <c r="B176" s="11" t="str">
        <f ca="1">Nasazení!C176</f>
        <v/>
      </c>
      <c r="C176" t="str">
        <f t="shared" ca="1" si="2"/>
        <v>X</v>
      </c>
    </row>
    <row r="177" spans="1:3">
      <c r="A177" s="2" t="str">
        <f ca="1">Nasazení!B177</f>
        <v/>
      </c>
      <c r="B177" s="11" t="str">
        <f ca="1">Nasazení!C177</f>
        <v/>
      </c>
      <c r="C177" t="str">
        <f t="shared" ca="1" si="2"/>
        <v>X</v>
      </c>
    </row>
    <row r="178" spans="1:3">
      <c r="A178" s="2" t="str">
        <f ca="1">Nasazení!B178</f>
        <v/>
      </c>
      <c r="B178" s="11" t="str">
        <f ca="1">Nasazení!C178</f>
        <v/>
      </c>
      <c r="C178" t="str">
        <f t="shared" ca="1" si="2"/>
        <v>X</v>
      </c>
    </row>
    <row r="179" spans="1:3">
      <c r="A179" s="2" t="str">
        <f ca="1">Nasazení!B179</f>
        <v/>
      </c>
      <c r="B179" s="11" t="str">
        <f ca="1">Nasazení!C179</f>
        <v/>
      </c>
      <c r="C179" t="str">
        <f t="shared" ca="1" si="2"/>
        <v>X</v>
      </c>
    </row>
    <row r="180" spans="1:3">
      <c r="A180" s="2" t="str">
        <f ca="1">Nasazení!B180</f>
        <v/>
      </c>
      <c r="B180" s="11" t="str">
        <f ca="1">Nasazení!C180</f>
        <v/>
      </c>
      <c r="C180" t="str">
        <f t="shared" ca="1" si="2"/>
        <v>X</v>
      </c>
    </row>
    <row r="181" spans="1:3">
      <c r="A181" s="2" t="str">
        <f ca="1">Nasazení!B181</f>
        <v/>
      </c>
      <c r="B181" s="11" t="str">
        <f ca="1">Nasazení!C181</f>
        <v/>
      </c>
      <c r="C181" t="str">
        <f t="shared" ca="1" si="2"/>
        <v>X</v>
      </c>
    </row>
    <row r="182" spans="1:3">
      <c r="A182" s="2" t="str">
        <f ca="1">Nasazení!B182</f>
        <v/>
      </c>
      <c r="B182" s="11" t="str">
        <f ca="1">Nasazení!C182</f>
        <v/>
      </c>
      <c r="C182" t="str">
        <f t="shared" ca="1" si="2"/>
        <v>X</v>
      </c>
    </row>
    <row r="183" spans="1:3">
      <c r="A183" s="2" t="str">
        <f ca="1">Nasazení!B183</f>
        <v/>
      </c>
      <c r="B183" s="11" t="str">
        <f ca="1">Nasazení!C183</f>
        <v/>
      </c>
      <c r="C183" t="str">
        <f t="shared" ca="1" si="2"/>
        <v>X</v>
      </c>
    </row>
    <row r="184" spans="1:3">
      <c r="A184" s="2" t="str">
        <f ca="1">Nasazení!B184</f>
        <v/>
      </c>
      <c r="B184" s="11" t="str">
        <f ca="1">Nasazení!C184</f>
        <v/>
      </c>
      <c r="C184" t="str">
        <f t="shared" ca="1" si="2"/>
        <v>X</v>
      </c>
    </row>
    <row r="185" spans="1:3">
      <c r="A185" s="2" t="str">
        <f ca="1">Nasazení!B185</f>
        <v/>
      </c>
      <c r="B185" s="11" t="str">
        <f ca="1">Nasazení!C185</f>
        <v/>
      </c>
      <c r="C185" t="str">
        <f t="shared" ca="1" si="2"/>
        <v>X</v>
      </c>
    </row>
    <row r="186" spans="1:3">
      <c r="A186" s="2" t="str">
        <f ca="1">Nasazení!B186</f>
        <v/>
      </c>
      <c r="B186" s="11" t="str">
        <f ca="1">Nasazení!C186</f>
        <v/>
      </c>
      <c r="C186" t="str">
        <f t="shared" ca="1" si="2"/>
        <v>X</v>
      </c>
    </row>
    <row r="187" spans="1:3">
      <c r="A187" s="2" t="str">
        <f ca="1">Nasazení!B187</f>
        <v/>
      </c>
      <c r="B187" s="11" t="str">
        <f ca="1">Nasazení!C187</f>
        <v/>
      </c>
      <c r="C187" t="str">
        <f t="shared" ca="1" si="2"/>
        <v>X</v>
      </c>
    </row>
    <row r="188" spans="1:3">
      <c r="A188" s="2" t="str">
        <f ca="1">Nasazení!B188</f>
        <v/>
      </c>
      <c r="B188" s="11" t="str">
        <f ca="1">Nasazení!C188</f>
        <v/>
      </c>
      <c r="C188" t="str">
        <f t="shared" ca="1" si="2"/>
        <v>X</v>
      </c>
    </row>
    <row r="189" spans="1:3">
      <c r="A189" s="2" t="str">
        <f ca="1">Nasazení!B189</f>
        <v/>
      </c>
      <c r="B189" s="11" t="str">
        <f ca="1">Nasazení!C189</f>
        <v/>
      </c>
      <c r="C189" t="str">
        <f t="shared" ca="1" si="2"/>
        <v>X</v>
      </c>
    </row>
    <row r="190" spans="1:3">
      <c r="A190" s="2" t="str">
        <f ca="1">Nasazení!B190</f>
        <v/>
      </c>
      <c r="B190" s="11" t="str">
        <f ca="1">Nasazení!C190</f>
        <v/>
      </c>
      <c r="C190" t="str">
        <f t="shared" ca="1" si="2"/>
        <v>X</v>
      </c>
    </row>
    <row r="191" spans="1:3">
      <c r="A191" s="2" t="str">
        <f ca="1">Nasazení!B191</f>
        <v/>
      </c>
      <c r="B191" s="11" t="str">
        <f ca="1">Nasazení!C191</f>
        <v/>
      </c>
      <c r="C191" t="str">
        <f t="shared" ca="1" si="2"/>
        <v>X</v>
      </c>
    </row>
    <row r="192" spans="1:3">
      <c r="A192" s="2" t="str">
        <f ca="1">Nasazení!B192</f>
        <v/>
      </c>
      <c r="B192" s="11" t="str">
        <f ca="1">Nasazení!C192</f>
        <v/>
      </c>
      <c r="C192" t="str">
        <f t="shared" ca="1" si="2"/>
        <v>X</v>
      </c>
    </row>
    <row r="193" spans="1:3">
      <c r="A193" s="2" t="str">
        <f ca="1">Nasazení!B193</f>
        <v/>
      </c>
      <c r="B193" s="11" t="str">
        <f ca="1">Nasazení!C193</f>
        <v/>
      </c>
      <c r="C193" t="str">
        <f t="shared" ca="1" si="2"/>
        <v>X</v>
      </c>
    </row>
    <row r="194" spans="1:3">
      <c r="A194" s="2" t="str">
        <f ca="1">Nasazení!B194</f>
        <v/>
      </c>
      <c r="B194" s="11" t="str">
        <f ca="1">Nasazení!C194</f>
        <v/>
      </c>
      <c r="C194" t="str">
        <f t="shared" ca="1" si="2"/>
        <v>X</v>
      </c>
    </row>
    <row r="195" spans="1:3">
      <c r="A195" s="2" t="str">
        <f ca="1">Nasazení!B195</f>
        <v/>
      </c>
      <c r="B195" s="11" t="str">
        <f ca="1">Nasazení!C195</f>
        <v/>
      </c>
      <c r="C195" t="str">
        <f t="shared" ref="C195:C258" ca="1" si="3">IF(T(A195)="","X"," ")</f>
        <v>X</v>
      </c>
    </row>
    <row r="196" spans="1:3">
      <c r="A196" s="2" t="str">
        <f ca="1">Nasazení!B196</f>
        <v/>
      </c>
      <c r="B196" s="11" t="str">
        <f ca="1">Nasazení!C196</f>
        <v/>
      </c>
      <c r="C196" t="str">
        <f t="shared" ca="1" si="3"/>
        <v>X</v>
      </c>
    </row>
    <row r="197" spans="1:3">
      <c r="A197" s="2" t="str">
        <f ca="1">Nasazení!B197</f>
        <v/>
      </c>
      <c r="B197" s="11" t="str">
        <f ca="1">Nasazení!C197</f>
        <v/>
      </c>
      <c r="C197" t="str">
        <f t="shared" ca="1" si="3"/>
        <v>X</v>
      </c>
    </row>
    <row r="198" spans="1:3">
      <c r="A198" s="2" t="str">
        <f ca="1">Nasazení!B198</f>
        <v/>
      </c>
      <c r="B198" s="11" t="str">
        <f ca="1">Nasazení!C198</f>
        <v/>
      </c>
      <c r="C198" t="str">
        <f t="shared" ca="1" si="3"/>
        <v>X</v>
      </c>
    </row>
    <row r="199" spans="1:3">
      <c r="A199" s="2" t="str">
        <f ca="1">Nasazení!B199</f>
        <v/>
      </c>
      <c r="B199" s="11" t="str">
        <f ca="1">Nasazení!C199</f>
        <v/>
      </c>
      <c r="C199" t="str">
        <f t="shared" ca="1" si="3"/>
        <v>X</v>
      </c>
    </row>
    <row r="200" spans="1:3">
      <c r="A200" s="2" t="str">
        <f ca="1">Nasazení!B200</f>
        <v/>
      </c>
      <c r="B200" s="11" t="str">
        <f ca="1">Nasazení!C200</f>
        <v/>
      </c>
      <c r="C200" t="str">
        <f t="shared" ca="1" si="3"/>
        <v>X</v>
      </c>
    </row>
    <row r="201" spans="1:3">
      <c r="A201" s="2" t="str">
        <f ca="1">Nasazení!B201</f>
        <v/>
      </c>
      <c r="B201" s="11" t="str">
        <f ca="1">Nasazení!C201</f>
        <v/>
      </c>
      <c r="C201" t="str">
        <f t="shared" ca="1" si="3"/>
        <v>X</v>
      </c>
    </row>
    <row r="202" spans="1:3">
      <c r="A202" s="2" t="str">
        <f ca="1">Nasazení!B202</f>
        <v/>
      </c>
      <c r="B202" s="11" t="str">
        <f ca="1">Nasazení!C202</f>
        <v/>
      </c>
      <c r="C202" t="str">
        <f t="shared" ca="1" si="3"/>
        <v>X</v>
      </c>
    </row>
    <row r="203" spans="1:3">
      <c r="A203" s="2" t="str">
        <f ca="1">Nasazení!B203</f>
        <v/>
      </c>
      <c r="B203" s="11" t="str">
        <f ca="1">Nasazení!C203</f>
        <v/>
      </c>
      <c r="C203" t="str">
        <f t="shared" ca="1" si="3"/>
        <v>X</v>
      </c>
    </row>
    <row r="204" spans="1:3">
      <c r="A204" s="2" t="str">
        <f ca="1">Nasazení!B204</f>
        <v/>
      </c>
      <c r="B204" s="11" t="str">
        <f ca="1">Nasazení!C204</f>
        <v/>
      </c>
      <c r="C204" t="str">
        <f t="shared" ca="1" si="3"/>
        <v>X</v>
      </c>
    </row>
    <row r="205" spans="1:3">
      <c r="A205" s="2" t="str">
        <f ca="1">Nasazení!B205</f>
        <v/>
      </c>
      <c r="B205" s="11" t="str">
        <f ca="1">Nasazení!C205</f>
        <v/>
      </c>
      <c r="C205" t="str">
        <f t="shared" ca="1" si="3"/>
        <v>X</v>
      </c>
    </row>
    <row r="206" spans="1:3">
      <c r="A206" s="2" t="str">
        <f ca="1">Nasazení!B206</f>
        <v/>
      </c>
      <c r="B206" s="11" t="str">
        <f ca="1">Nasazení!C206</f>
        <v/>
      </c>
      <c r="C206" t="str">
        <f t="shared" ca="1" si="3"/>
        <v>X</v>
      </c>
    </row>
    <row r="207" spans="1:3">
      <c r="A207" s="2" t="str">
        <f ca="1">Nasazení!B207</f>
        <v/>
      </c>
      <c r="B207" s="11" t="str">
        <f ca="1">Nasazení!C207</f>
        <v/>
      </c>
      <c r="C207" t="str">
        <f t="shared" ca="1" si="3"/>
        <v>X</v>
      </c>
    </row>
    <row r="208" spans="1:3">
      <c r="A208" s="2" t="str">
        <f ca="1">Nasazení!B208</f>
        <v/>
      </c>
      <c r="B208" s="11" t="str">
        <f ca="1">Nasazení!C208</f>
        <v/>
      </c>
      <c r="C208" t="str">
        <f t="shared" ca="1" si="3"/>
        <v>X</v>
      </c>
    </row>
    <row r="209" spans="1:3">
      <c r="A209" s="2" t="str">
        <f ca="1">Nasazení!B209</f>
        <v/>
      </c>
      <c r="B209" s="11" t="str">
        <f ca="1">Nasazení!C209</f>
        <v/>
      </c>
      <c r="C209" t="str">
        <f t="shared" ca="1" si="3"/>
        <v>X</v>
      </c>
    </row>
    <row r="210" spans="1:3">
      <c r="A210" s="2" t="str">
        <f ca="1">Nasazení!B210</f>
        <v/>
      </c>
      <c r="B210" s="11" t="str">
        <f ca="1">Nasazení!C210</f>
        <v/>
      </c>
      <c r="C210" t="str">
        <f t="shared" ca="1" si="3"/>
        <v>X</v>
      </c>
    </row>
    <row r="211" spans="1:3">
      <c r="A211" s="2" t="str">
        <f ca="1">Nasazení!B211</f>
        <v/>
      </c>
      <c r="B211" s="11" t="str">
        <f ca="1">Nasazení!C211</f>
        <v/>
      </c>
      <c r="C211" t="str">
        <f t="shared" ca="1" si="3"/>
        <v>X</v>
      </c>
    </row>
    <row r="212" spans="1:3">
      <c r="A212" s="2" t="str">
        <f ca="1">Nasazení!B212</f>
        <v/>
      </c>
      <c r="B212" s="11" t="str">
        <f ca="1">Nasazení!C212</f>
        <v/>
      </c>
      <c r="C212" t="str">
        <f t="shared" ca="1" si="3"/>
        <v>X</v>
      </c>
    </row>
    <row r="213" spans="1:3">
      <c r="A213" s="2" t="str">
        <f ca="1">Nasazení!B213</f>
        <v/>
      </c>
      <c r="B213" s="11" t="str">
        <f ca="1">Nasazení!C213</f>
        <v/>
      </c>
      <c r="C213" t="str">
        <f t="shared" ca="1" si="3"/>
        <v>X</v>
      </c>
    </row>
    <row r="214" spans="1:3">
      <c r="A214" s="2" t="str">
        <f ca="1">Nasazení!B214</f>
        <v/>
      </c>
      <c r="B214" s="11" t="str">
        <f ca="1">Nasazení!C214</f>
        <v/>
      </c>
      <c r="C214" t="str">
        <f t="shared" ca="1" si="3"/>
        <v>X</v>
      </c>
    </row>
    <row r="215" spans="1:3">
      <c r="A215" s="2" t="str">
        <f ca="1">Nasazení!B215</f>
        <v/>
      </c>
      <c r="B215" s="11" t="str">
        <f ca="1">Nasazení!C215</f>
        <v/>
      </c>
      <c r="C215" t="str">
        <f t="shared" ca="1" si="3"/>
        <v>X</v>
      </c>
    </row>
    <row r="216" spans="1:3">
      <c r="A216" s="2" t="str">
        <f ca="1">Nasazení!B216</f>
        <v/>
      </c>
      <c r="B216" s="11" t="str">
        <f ca="1">Nasazení!C216</f>
        <v/>
      </c>
      <c r="C216" t="str">
        <f t="shared" ca="1" si="3"/>
        <v>X</v>
      </c>
    </row>
    <row r="217" spans="1:3">
      <c r="A217" s="2" t="str">
        <f ca="1">Nasazení!B217</f>
        <v/>
      </c>
      <c r="B217" s="11" t="str">
        <f ca="1">Nasazení!C217</f>
        <v/>
      </c>
      <c r="C217" t="str">
        <f t="shared" ca="1" si="3"/>
        <v>X</v>
      </c>
    </row>
    <row r="218" spans="1:3">
      <c r="A218" s="2" t="str">
        <f ca="1">Nasazení!B218</f>
        <v/>
      </c>
      <c r="B218" s="11" t="str">
        <f ca="1">Nasazení!C218</f>
        <v/>
      </c>
      <c r="C218" t="str">
        <f t="shared" ca="1" si="3"/>
        <v>X</v>
      </c>
    </row>
    <row r="219" spans="1:3">
      <c r="A219" s="2" t="str">
        <f ca="1">Nasazení!B219</f>
        <v/>
      </c>
      <c r="B219" s="11" t="str">
        <f ca="1">Nasazení!C219</f>
        <v/>
      </c>
      <c r="C219" t="str">
        <f t="shared" ca="1" si="3"/>
        <v>X</v>
      </c>
    </row>
    <row r="220" spans="1:3">
      <c r="A220" s="2" t="str">
        <f ca="1">Nasazení!B220</f>
        <v/>
      </c>
      <c r="B220" s="11" t="str">
        <f ca="1">Nasazení!C220</f>
        <v/>
      </c>
      <c r="C220" t="str">
        <f t="shared" ca="1" si="3"/>
        <v>X</v>
      </c>
    </row>
    <row r="221" spans="1:3">
      <c r="A221" s="2" t="str">
        <f ca="1">Nasazení!B221</f>
        <v/>
      </c>
      <c r="B221" s="11" t="str">
        <f ca="1">Nasazení!C221</f>
        <v/>
      </c>
      <c r="C221" t="str">
        <f t="shared" ca="1" si="3"/>
        <v>X</v>
      </c>
    </row>
    <row r="222" spans="1:3">
      <c r="A222" s="2" t="str">
        <f ca="1">Nasazení!B222</f>
        <v/>
      </c>
      <c r="B222" s="11" t="str">
        <f ca="1">Nasazení!C222</f>
        <v/>
      </c>
      <c r="C222" t="str">
        <f t="shared" ca="1" si="3"/>
        <v>X</v>
      </c>
    </row>
    <row r="223" spans="1:3">
      <c r="A223" s="2" t="str">
        <f ca="1">Nasazení!B223</f>
        <v/>
      </c>
      <c r="B223" s="11" t="str">
        <f ca="1">Nasazení!C223</f>
        <v/>
      </c>
      <c r="C223" t="str">
        <f t="shared" ca="1" si="3"/>
        <v>X</v>
      </c>
    </row>
    <row r="224" spans="1:3">
      <c r="A224" s="2" t="str">
        <f ca="1">Nasazení!B224</f>
        <v/>
      </c>
      <c r="B224" s="11" t="str">
        <f ca="1">Nasazení!C224</f>
        <v/>
      </c>
      <c r="C224" t="str">
        <f t="shared" ca="1" si="3"/>
        <v>X</v>
      </c>
    </row>
    <row r="225" spans="1:3">
      <c r="A225" s="2" t="str">
        <f ca="1">Nasazení!B225</f>
        <v/>
      </c>
      <c r="B225" s="11" t="str">
        <f ca="1">Nasazení!C225</f>
        <v/>
      </c>
      <c r="C225" t="str">
        <f t="shared" ca="1" si="3"/>
        <v>X</v>
      </c>
    </row>
    <row r="226" spans="1:3">
      <c r="A226" s="2" t="str">
        <f ca="1">Nasazení!B226</f>
        <v/>
      </c>
      <c r="B226" s="11" t="str">
        <f ca="1">Nasazení!C226</f>
        <v/>
      </c>
      <c r="C226" t="str">
        <f t="shared" ca="1" si="3"/>
        <v>X</v>
      </c>
    </row>
    <row r="227" spans="1:3">
      <c r="A227" s="2" t="str">
        <f ca="1">Nasazení!B227</f>
        <v/>
      </c>
      <c r="B227" s="11" t="str">
        <f ca="1">Nasazení!C227</f>
        <v/>
      </c>
      <c r="C227" t="str">
        <f t="shared" ca="1" si="3"/>
        <v>X</v>
      </c>
    </row>
    <row r="228" spans="1:3">
      <c r="A228" s="2" t="str">
        <f ca="1">Nasazení!B228</f>
        <v/>
      </c>
      <c r="B228" s="11" t="str">
        <f ca="1">Nasazení!C228</f>
        <v/>
      </c>
      <c r="C228" t="str">
        <f t="shared" ca="1" si="3"/>
        <v>X</v>
      </c>
    </row>
    <row r="229" spans="1:3">
      <c r="A229" s="2" t="str">
        <f ca="1">Nasazení!B229</f>
        <v/>
      </c>
      <c r="B229" s="11" t="str">
        <f ca="1">Nasazení!C229</f>
        <v/>
      </c>
      <c r="C229" t="str">
        <f t="shared" ca="1" si="3"/>
        <v>X</v>
      </c>
    </row>
    <row r="230" spans="1:3">
      <c r="A230" s="2" t="str">
        <f ca="1">Nasazení!B230</f>
        <v/>
      </c>
      <c r="B230" s="11" t="str">
        <f ca="1">Nasazení!C230</f>
        <v/>
      </c>
      <c r="C230" t="str">
        <f t="shared" ca="1" si="3"/>
        <v>X</v>
      </c>
    </row>
    <row r="231" spans="1:3">
      <c r="A231" s="2" t="str">
        <f ca="1">Nasazení!B231</f>
        <v/>
      </c>
      <c r="B231" s="11" t="str">
        <f ca="1">Nasazení!C231</f>
        <v/>
      </c>
      <c r="C231" t="str">
        <f t="shared" ca="1" si="3"/>
        <v>X</v>
      </c>
    </row>
    <row r="232" spans="1:3">
      <c r="A232" s="2" t="str">
        <f ca="1">Nasazení!B232</f>
        <v/>
      </c>
      <c r="B232" s="11" t="str">
        <f ca="1">Nasazení!C232</f>
        <v/>
      </c>
      <c r="C232" t="str">
        <f t="shared" ca="1" si="3"/>
        <v>X</v>
      </c>
    </row>
    <row r="233" spans="1:3">
      <c r="A233" s="2" t="str">
        <f ca="1">Nasazení!B233</f>
        <v/>
      </c>
      <c r="B233" s="11" t="str">
        <f ca="1">Nasazení!C233</f>
        <v/>
      </c>
      <c r="C233" t="str">
        <f t="shared" ca="1" si="3"/>
        <v>X</v>
      </c>
    </row>
    <row r="234" spans="1:3">
      <c r="A234" s="2" t="str">
        <f ca="1">Nasazení!B234</f>
        <v/>
      </c>
      <c r="B234" s="11" t="str">
        <f ca="1">Nasazení!C234</f>
        <v/>
      </c>
      <c r="C234" t="str">
        <f t="shared" ca="1" si="3"/>
        <v>X</v>
      </c>
    </row>
    <row r="235" spans="1:3">
      <c r="A235" s="2" t="str">
        <f ca="1">Nasazení!B235</f>
        <v/>
      </c>
      <c r="B235" s="11" t="str">
        <f ca="1">Nasazení!C235</f>
        <v/>
      </c>
      <c r="C235" t="str">
        <f t="shared" ca="1" si="3"/>
        <v>X</v>
      </c>
    </row>
    <row r="236" spans="1:3">
      <c r="A236" s="2" t="str">
        <f ca="1">Nasazení!B236</f>
        <v/>
      </c>
      <c r="B236" s="11" t="str">
        <f ca="1">Nasazení!C236</f>
        <v/>
      </c>
      <c r="C236" t="str">
        <f t="shared" ca="1" si="3"/>
        <v>X</v>
      </c>
    </row>
    <row r="237" spans="1:3">
      <c r="A237" s="2" t="str">
        <f ca="1">Nasazení!B237</f>
        <v/>
      </c>
      <c r="B237" s="11" t="str">
        <f ca="1">Nasazení!C237</f>
        <v/>
      </c>
      <c r="C237" t="str">
        <f t="shared" ca="1" si="3"/>
        <v>X</v>
      </c>
    </row>
    <row r="238" spans="1:3">
      <c r="A238" s="2" t="str">
        <f ca="1">Nasazení!B238</f>
        <v/>
      </c>
      <c r="B238" s="11" t="str">
        <f ca="1">Nasazení!C238</f>
        <v/>
      </c>
      <c r="C238" t="str">
        <f t="shared" ca="1" si="3"/>
        <v>X</v>
      </c>
    </row>
    <row r="239" spans="1:3">
      <c r="A239" s="2" t="str">
        <f ca="1">Nasazení!B239</f>
        <v/>
      </c>
      <c r="B239" s="11" t="str">
        <f ca="1">Nasazení!C239</f>
        <v/>
      </c>
      <c r="C239" t="str">
        <f t="shared" ca="1" si="3"/>
        <v>X</v>
      </c>
    </row>
    <row r="240" spans="1:3">
      <c r="A240" s="2" t="str">
        <f ca="1">Nasazení!B240</f>
        <v/>
      </c>
      <c r="B240" s="11" t="str">
        <f ca="1">Nasazení!C240</f>
        <v/>
      </c>
      <c r="C240" t="str">
        <f t="shared" ca="1" si="3"/>
        <v>X</v>
      </c>
    </row>
    <row r="241" spans="1:3">
      <c r="A241" s="2" t="str">
        <f ca="1">Nasazení!B241</f>
        <v/>
      </c>
      <c r="B241" s="11" t="str">
        <f ca="1">Nasazení!C241</f>
        <v/>
      </c>
      <c r="C241" t="str">
        <f t="shared" ca="1" si="3"/>
        <v>X</v>
      </c>
    </row>
    <row r="242" spans="1:3">
      <c r="A242" s="2" t="str">
        <f ca="1">Nasazení!B242</f>
        <v/>
      </c>
      <c r="B242" s="11" t="str">
        <f ca="1">Nasazení!C242</f>
        <v/>
      </c>
      <c r="C242" t="str">
        <f t="shared" ca="1" si="3"/>
        <v>X</v>
      </c>
    </row>
    <row r="243" spans="1:3">
      <c r="A243" s="2" t="str">
        <f ca="1">Nasazení!B243</f>
        <v/>
      </c>
      <c r="B243" s="11" t="str">
        <f ca="1">Nasazení!C243</f>
        <v/>
      </c>
      <c r="C243" t="str">
        <f t="shared" ca="1" si="3"/>
        <v>X</v>
      </c>
    </row>
    <row r="244" spans="1:3">
      <c r="A244" s="2" t="str">
        <f ca="1">Nasazení!B244</f>
        <v/>
      </c>
      <c r="B244" s="11" t="str">
        <f ca="1">Nasazení!C244</f>
        <v/>
      </c>
      <c r="C244" t="str">
        <f t="shared" ca="1" si="3"/>
        <v>X</v>
      </c>
    </row>
    <row r="245" spans="1:3">
      <c r="A245" s="2" t="str">
        <f ca="1">Nasazení!B245</f>
        <v/>
      </c>
      <c r="B245" s="11" t="str">
        <f ca="1">Nasazení!C245</f>
        <v/>
      </c>
      <c r="C245" t="str">
        <f t="shared" ca="1" si="3"/>
        <v>X</v>
      </c>
    </row>
    <row r="246" spans="1:3">
      <c r="A246" s="2" t="str">
        <f ca="1">Nasazení!B246</f>
        <v/>
      </c>
      <c r="B246" s="11" t="str">
        <f ca="1">Nasazení!C246</f>
        <v/>
      </c>
      <c r="C246" t="str">
        <f t="shared" ca="1" si="3"/>
        <v>X</v>
      </c>
    </row>
    <row r="247" spans="1:3">
      <c r="A247" s="2" t="str">
        <f ca="1">Nasazení!B247</f>
        <v/>
      </c>
      <c r="B247" s="11" t="str">
        <f ca="1">Nasazení!C247</f>
        <v/>
      </c>
      <c r="C247" t="str">
        <f t="shared" ca="1" si="3"/>
        <v>X</v>
      </c>
    </row>
    <row r="248" spans="1:3">
      <c r="A248" s="2" t="str">
        <f ca="1">Nasazení!B248</f>
        <v/>
      </c>
      <c r="B248" s="11" t="str">
        <f ca="1">Nasazení!C248</f>
        <v/>
      </c>
      <c r="C248" t="str">
        <f t="shared" ca="1" si="3"/>
        <v>X</v>
      </c>
    </row>
    <row r="249" spans="1:3">
      <c r="A249" s="2" t="str">
        <f ca="1">Nasazení!B249</f>
        <v/>
      </c>
      <c r="B249" s="11" t="str">
        <f ca="1">Nasazení!C249</f>
        <v/>
      </c>
      <c r="C249" t="str">
        <f t="shared" ca="1" si="3"/>
        <v>X</v>
      </c>
    </row>
    <row r="250" spans="1:3">
      <c r="A250" s="2" t="str">
        <f ca="1">Nasazení!B250</f>
        <v/>
      </c>
      <c r="B250" s="11" t="str">
        <f ca="1">Nasazení!C250</f>
        <v/>
      </c>
      <c r="C250" t="str">
        <f t="shared" ca="1" si="3"/>
        <v>X</v>
      </c>
    </row>
    <row r="251" spans="1:3">
      <c r="A251" s="2" t="str">
        <f ca="1">Nasazení!B251</f>
        <v/>
      </c>
      <c r="B251" s="11" t="str">
        <f ca="1">Nasazení!C251</f>
        <v/>
      </c>
      <c r="C251" t="str">
        <f t="shared" ca="1" si="3"/>
        <v>X</v>
      </c>
    </row>
    <row r="252" spans="1:3">
      <c r="A252" s="2" t="str">
        <f ca="1">Nasazení!B252</f>
        <v/>
      </c>
      <c r="B252" s="11" t="str">
        <f ca="1">Nasazení!C252</f>
        <v/>
      </c>
      <c r="C252" t="str">
        <f t="shared" ca="1" si="3"/>
        <v>X</v>
      </c>
    </row>
    <row r="253" spans="1:3">
      <c r="A253" s="2" t="str">
        <f ca="1">Nasazení!B253</f>
        <v/>
      </c>
      <c r="B253" s="11" t="str">
        <f ca="1">Nasazení!C253</f>
        <v/>
      </c>
      <c r="C253" t="str">
        <f t="shared" ca="1" si="3"/>
        <v>X</v>
      </c>
    </row>
    <row r="254" spans="1:3">
      <c r="A254" s="2" t="str">
        <f ca="1">Nasazení!B254</f>
        <v/>
      </c>
      <c r="B254" s="11" t="str">
        <f ca="1">Nasazení!C254</f>
        <v/>
      </c>
      <c r="C254" t="str">
        <f t="shared" ca="1" si="3"/>
        <v>X</v>
      </c>
    </row>
    <row r="255" spans="1:3">
      <c r="A255" s="2" t="str">
        <f ca="1">Nasazení!B255</f>
        <v/>
      </c>
      <c r="B255" s="11" t="str">
        <f ca="1">Nasazení!C255</f>
        <v/>
      </c>
      <c r="C255" t="str">
        <f t="shared" ca="1" si="3"/>
        <v>X</v>
      </c>
    </row>
    <row r="256" spans="1:3">
      <c r="A256" s="2" t="str">
        <f ca="1">Nasazení!B256</f>
        <v/>
      </c>
      <c r="B256" s="11" t="str">
        <f ca="1">Nasazení!C256</f>
        <v/>
      </c>
      <c r="C256" t="str">
        <f t="shared" ca="1" si="3"/>
        <v>X</v>
      </c>
    </row>
    <row r="257" spans="1:3">
      <c r="A257" s="2" t="str">
        <f ca="1">Nasazení!B257</f>
        <v/>
      </c>
      <c r="B257" s="11" t="str">
        <f ca="1">Nasazení!C257</f>
        <v/>
      </c>
      <c r="C257" t="str">
        <f t="shared" ca="1" si="3"/>
        <v>X</v>
      </c>
    </row>
    <row r="258" spans="1:3">
      <c r="A258" s="2" t="str">
        <f ca="1">Nasazení!B258</f>
        <v/>
      </c>
      <c r="B258" s="11" t="str">
        <f ca="1">Nasazení!C258</f>
        <v/>
      </c>
      <c r="C258" t="str">
        <f t="shared" ca="1" si="3"/>
        <v>X</v>
      </c>
    </row>
  </sheetData>
  <phoneticPr fontId="0" type="noConversion"/>
  <pageMargins left="0.78740157499999996" right="0.78740157499999996" top="0.38" bottom="0.63" header="0.39" footer="0.4921259845"/>
  <pageSetup paperSize="9" orientation="portrait" horizontalDpi="300" verticalDpi="300" r:id="rId1"/>
  <headerFooter alignWithMargins="0"/>
  <legacyDrawing r:id="rId2"/>
</worksheet>
</file>

<file path=xl/worksheets/sheet90.xml><?xml version="1.0" encoding="utf-8"?>
<worksheet xmlns="http://schemas.openxmlformats.org/spreadsheetml/2006/main" xmlns:r="http://schemas.openxmlformats.org/officeDocument/2006/relationships">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0" t="s">
        <v>325</v>
      </c>
      <c r="B1" s="121"/>
      <c r="C1" s="121"/>
      <c r="E1" s="121"/>
      <c r="K1" s="124" t="s">
        <v>324</v>
      </c>
      <c r="L1" s="312">
        <f ca="1">'Kvalita turnaje'!$F$1</f>
        <v>44.175812499999999</v>
      </c>
    </row>
    <row r="2" spans="1:12" ht="13.5" thickBot="1">
      <c r="A2" s="318">
        <v>1</v>
      </c>
      <c r="B2" s="318">
        <v>2</v>
      </c>
      <c r="C2" s="318">
        <v>3</v>
      </c>
      <c r="D2" s="318">
        <v>4</v>
      </c>
      <c r="E2" s="318">
        <v>5</v>
      </c>
      <c r="F2" s="318">
        <v>6</v>
      </c>
      <c r="G2" s="164" t="s">
        <v>327</v>
      </c>
      <c r="I2" s="125" t="s">
        <v>306</v>
      </c>
      <c r="K2" s="124" t="s">
        <v>322</v>
      </c>
      <c r="L2" s="125">
        <f>IF(TYPE(VLOOKUP(Start.listina!N2,Bonusy!A4:B8,2,0))&gt;3,0,VLOOKUP(Start.listina!N2,Bonusy!A4:B8,2,0))</f>
        <v>200</v>
      </c>
    </row>
    <row r="3" spans="1:12" ht="35.450000000000003" customHeight="1" thickBot="1">
      <c r="A3" s="314" t="s">
        <v>250</v>
      </c>
      <c r="B3" s="303" t="s">
        <v>312</v>
      </c>
      <c r="C3" s="310" t="s">
        <v>315</v>
      </c>
      <c r="D3" s="310" t="s">
        <v>316</v>
      </c>
      <c r="E3" s="310" t="s">
        <v>326</v>
      </c>
      <c r="F3" s="313" t="s">
        <v>304</v>
      </c>
      <c r="G3" s="308" t="s">
        <v>313</v>
      </c>
      <c r="H3" s="309">
        <f ca="1">'Počet kol'!$D$3</f>
        <v>8</v>
      </c>
      <c r="I3" s="316">
        <f ca="1">Start.listina!$K$7</f>
        <v>143</v>
      </c>
      <c r="K3" s="124" t="s">
        <v>323</v>
      </c>
      <c r="L3" s="125">
        <f>IF(TYPE(VLOOKUP(Start.listina!N2,Paušál!A4:B7,2,0))&gt;3,0,VLOOKUP(Start.listina!N2,Paušál!A4:B7,2,0))</f>
        <v>20</v>
      </c>
    </row>
    <row r="4" spans="1:12">
      <c r="A4" s="315">
        <v>1</v>
      </c>
      <c r="B4" s="311">
        <f ca="1">J4*($H$3-C4+D4)</f>
        <v>8</v>
      </c>
      <c r="C4" s="2">
        <v>0</v>
      </c>
      <c r="D4" s="164">
        <v>0</v>
      </c>
      <c r="E4" s="164">
        <f t="shared" ref="E4:E24" ca="1" si="0">J4*(B4*$L$1+F4)-(J4-1)*$L$3</f>
        <v>553.40650000000005</v>
      </c>
      <c r="F4" s="164">
        <f ca="1">IF(A4&lt;$I$3,$L$2,0)</f>
        <v>200</v>
      </c>
      <c r="J4">
        <f t="shared" ref="J4:J25" ca="1" si="1">IF($I$3&lt;=A4,0,1)</f>
        <v>1</v>
      </c>
    </row>
    <row r="5" spans="1:12">
      <c r="A5" s="315">
        <v>2</v>
      </c>
      <c r="B5" s="311">
        <f ca="1">J5*($H$3-C5+D5)</f>
        <v>7</v>
      </c>
      <c r="C5" s="2">
        <v>1</v>
      </c>
      <c r="D5" s="164">
        <v>0</v>
      </c>
      <c r="E5" s="164">
        <f t="shared" ca="1" si="0"/>
        <v>509.23068749999999</v>
      </c>
      <c r="F5" s="164">
        <f t="shared" ref="F5:F68" ca="1" si="2">IF(A5&lt;$I$3,$L$2,0)</f>
        <v>200</v>
      </c>
      <c r="J5">
        <f t="shared" ca="1" si="1"/>
        <v>1</v>
      </c>
    </row>
    <row r="6" spans="1:12">
      <c r="A6" s="315">
        <v>3</v>
      </c>
      <c r="B6" s="311">
        <f t="shared" ref="B6:B69" ca="1" si="3">J6*($H$3-C6+D6)</f>
        <v>6.5</v>
      </c>
      <c r="C6" s="2">
        <v>2</v>
      </c>
      <c r="D6" s="311">
        <f>1/2</f>
        <v>0.5</v>
      </c>
      <c r="E6" s="164">
        <f t="shared" ca="1" si="0"/>
        <v>487.14278124999998</v>
      </c>
      <c r="F6" s="164">
        <f t="shared" ca="1" si="2"/>
        <v>200</v>
      </c>
      <c r="J6">
        <f t="shared" ca="1" si="1"/>
        <v>1</v>
      </c>
    </row>
    <row r="7" spans="1:12">
      <c r="A7" s="315">
        <v>4</v>
      </c>
      <c r="B7" s="311">
        <f t="shared" ca="1" si="3"/>
        <v>6</v>
      </c>
      <c r="C7" s="2">
        <v>2</v>
      </c>
      <c r="D7" s="164">
        <v>0</v>
      </c>
      <c r="E7" s="164">
        <f t="shared" ca="1" si="0"/>
        <v>465.05487499999998</v>
      </c>
      <c r="F7" s="164">
        <f t="shared" ca="1" si="2"/>
        <v>200</v>
      </c>
      <c r="J7">
        <f t="shared" ca="1" si="1"/>
        <v>1</v>
      </c>
    </row>
    <row r="8" spans="1:12">
      <c r="A8" s="315">
        <v>5</v>
      </c>
      <c r="B8" s="311">
        <f t="shared" ca="1" si="3"/>
        <v>5.75</v>
      </c>
      <c r="C8" s="2">
        <v>3</v>
      </c>
      <c r="D8" s="164">
        <f>3/4</f>
        <v>0.75</v>
      </c>
      <c r="E8" s="164">
        <f t="shared" ca="1" si="0"/>
        <v>454.01092187500001</v>
      </c>
      <c r="F8" s="164">
        <f t="shared" ca="1" si="2"/>
        <v>200</v>
      </c>
      <c r="J8">
        <f t="shared" ca="1" si="1"/>
        <v>1</v>
      </c>
    </row>
    <row r="9" spans="1:12">
      <c r="A9" s="315">
        <v>6</v>
      </c>
      <c r="B9" s="311">
        <f t="shared" ca="1" si="3"/>
        <v>5.5</v>
      </c>
      <c r="C9" s="2">
        <v>3</v>
      </c>
      <c r="D9" s="164">
        <f>2/4</f>
        <v>0.5</v>
      </c>
      <c r="E9" s="164">
        <f t="shared" ca="1" si="0"/>
        <v>442.96696874999998</v>
      </c>
      <c r="F9" s="164">
        <f t="shared" ca="1" si="2"/>
        <v>200</v>
      </c>
      <c r="J9">
        <f t="shared" ca="1" si="1"/>
        <v>1</v>
      </c>
    </row>
    <row r="10" spans="1:12">
      <c r="A10" s="315">
        <v>7</v>
      </c>
      <c r="B10" s="311">
        <f t="shared" ca="1" si="3"/>
        <v>5.25</v>
      </c>
      <c r="C10" s="2">
        <v>3</v>
      </c>
      <c r="D10" s="164">
        <f>1/4</f>
        <v>0.25</v>
      </c>
      <c r="E10" s="164">
        <f t="shared" ca="1" si="0"/>
        <v>431.92301562500001</v>
      </c>
      <c r="F10" s="164">
        <f t="shared" ca="1" si="2"/>
        <v>200</v>
      </c>
      <c r="J10">
        <f t="shared" ca="1" si="1"/>
        <v>1</v>
      </c>
    </row>
    <row r="11" spans="1:12">
      <c r="A11" s="315">
        <v>8</v>
      </c>
      <c r="B11" s="311">
        <f t="shared" ca="1" si="3"/>
        <v>5</v>
      </c>
      <c r="C11" s="2">
        <v>3</v>
      </c>
      <c r="D11" s="164">
        <v>0</v>
      </c>
      <c r="E11" s="164">
        <f t="shared" ca="1" si="0"/>
        <v>420.87906250000003</v>
      </c>
      <c r="F11" s="164">
        <f t="shared" ca="1" si="2"/>
        <v>200</v>
      </c>
      <c r="J11">
        <f t="shared" ca="1" si="1"/>
        <v>1</v>
      </c>
    </row>
    <row r="12" spans="1:12">
      <c r="A12" s="315">
        <v>9</v>
      </c>
      <c r="B12" s="311">
        <f t="shared" ca="1" si="3"/>
        <v>4.875</v>
      </c>
      <c r="C12" s="2">
        <v>4</v>
      </c>
      <c r="D12" s="164">
        <f>7/8</f>
        <v>0.875</v>
      </c>
      <c r="E12" s="164">
        <f t="shared" ca="1" si="0"/>
        <v>415.35708593749996</v>
      </c>
      <c r="F12" s="164">
        <f t="shared" ca="1" si="2"/>
        <v>200</v>
      </c>
      <c r="J12">
        <f t="shared" ca="1" si="1"/>
        <v>1</v>
      </c>
    </row>
    <row r="13" spans="1:12">
      <c r="A13" s="315">
        <v>10</v>
      </c>
      <c r="B13" s="311">
        <f t="shared" ca="1" si="3"/>
        <v>4.75</v>
      </c>
      <c r="C13" s="2">
        <v>4</v>
      </c>
      <c r="D13" s="164">
        <f>6/8</f>
        <v>0.75</v>
      </c>
      <c r="E13" s="164">
        <f t="shared" ca="1" si="0"/>
        <v>409.835109375</v>
      </c>
      <c r="F13" s="164">
        <f t="shared" ca="1" si="2"/>
        <v>200</v>
      </c>
      <c r="J13">
        <f t="shared" ca="1" si="1"/>
        <v>1</v>
      </c>
    </row>
    <row r="14" spans="1:12">
      <c r="A14" s="315">
        <v>11</v>
      </c>
      <c r="B14" s="311">
        <f t="shared" ca="1" si="3"/>
        <v>4.625</v>
      </c>
      <c r="C14" s="2">
        <v>4</v>
      </c>
      <c r="D14" s="164">
        <f>5/8</f>
        <v>0.625</v>
      </c>
      <c r="E14" s="164">
        <f t="shared" ca="1" si="0"/>
        <v>404.31313281249999</v>
      </c>
      <c r="F14" s="164">
        <f t="shared" ca="1" si="2"/>
        <v>200</v>
      </c>
      <c r="J14">
        <f t="shared" ca="1" si="1"/>
        <v>1</v>
      </c>
    </row>
    <row r="15" spans="1:12">
      <c r="A15" s="315">
        <v>12</v>
      </c>
      <c r="B15" s="311">
        <f t="shared" ca="1" si="3"/>
        <v>4.5</v>
      </c>
      <c r="C15" s="2">
        <v>4</v>
      </c>
      <c r="D15" s="164">
        <f>4/8</f>
        <v>0.5</v>
      </c>
      <c r="E15" s="164">
        <f t="shared" ca="1" si="0"/>
        <v>398.79115624999997</v>
      </c>
      <c r="F15" s="164">
        <f t="shared" ca="1" si="2"/>
        <v>200</v>
      </c>
      <c r="J15">
        <f t="shared" ca="1" si="1"/>
        <v>1</v>
      </c>
    </row>
    <row r="16" spans="1:12">
      <c r="A16" s="315">
        <v>13</v>
      </c>
      <c r="B16" s="311">
        <f t="shared" ca="1" si="3"/>
        <v>4.375</v>
      </c>
      <c r="C16" s="2">
        <v>4</v>
      </c>
      <c r="D16" s="164">
        <f>3/8</f>
        <v>0.375</v>
      </c>
      <c r="E16" s="164">
        <f t="shared" ca="1" si="0"/>
        <v>393.26917968750001</v>
      </c>
      <c r="F16" s="164">
        <f t="shared" ca="1" si="2"/>
        <v>200</v>
      </c>
      <c r="J16">
        <f t="shared" ca="1" si="1"/>
        <v>1</v>
      </c>
    </row>
    <row r="17" spans="1:10">
      <c r="A17" s="315">
        <v>14</v>
      </c>
      <c r="B17" s="311">
        <f t="shared" ca="1" si="3"/>
        <v>4.25</v>
      </c>
      <c r="C17" s="2">
        <v>4</v>
      </c>
      <c r="D17" s="164">
        <f>2/8</f>
        <v>0.25</v>
      </c>
      <c r="E17" s="164">
        <f t="shared" ca="1" si="0"/>
        <v>387.747203125</v>
      </c>
      <c r="F17" s="164">
        <f t="shared" ca="1" si="2"/>
        <v>200</v>
      </c>
      <c r="J17">
        <f t="shared" ca="1" si="1"/>
        <v>1</v>
      </c>
    </row>
    <row r="18" spans="1:10">
      <c r="A18" s="315">
        <v>15</v>
      </c>
      <c r="B18" s="311">
        <f t="shared" ca="1" si="3"/>
        <v>4.125</v>
      </c>
      <c r="C18" s="2">
        <v>4</v>
      </c>
      <c r="D18" s="164">
        <f>1/8</f>
        <v>0.125</v>
      </c>
      <c r="E18" s="164">
        <f t="shared" ca="1" si="0"/>
        <v>382.22522656249998</v>
      </c>
      <c r="F18" s="164">
        <f t="shared" ca="1" si="2"/>
        <v>200</v>
      </c>
      <c r="J18">
        <f t="shared" ca="1" si="1"/>
        <v>1</v>
      </c>
    </row>
    <row r="19" spans="1:10">
      <c r="A19" s="315">
        <v>16</v>
      </c>
      <c r="B19" s="311">
        <f t="shared" ca="1" si="3"/>
        <v>4</v>
      </c>
      <c r="C19" s="2">
        <v>4</v>
      </c>
      <c r="D19" s="164">
        <v>0</v>
      </c>
      <c r="E19" s="164">
        <f t="shared" ca="1" si="0"/>
        <v>376.70325000000003</v>
      </c>
      <c r="F19" s="164">
        <f t="shared" ca="1" si="2"/>
        <v>200</v>
      </c>
      <c r="J19">
        <f t="shared" ca="1" si="1"/>
        <v>1</v>
      </c>
    </row>
    <row r="20" spans="1:10">
      <c r="A20" s="315">
        <v>17</v>
      </c>
      <c r="B20" s="311">
        <f t="shared" ca="1" si="3"/>
        <v>3.9375</v>
      </c>
      <c r="C20" s="2">
        <v>5</v>
      </c>
      <c r="D20" s="164">
        <f>15/16</f>
        <v>0.9375</v>
      </c>
      <c r="E20" s="164">
        <f t="shared" ca="1" si="0"/>
        <v>373.94226171874999</v>
      </c>
      <c r="F20" s="164">
        <f t="shared" ca="1" si="2"/>
        <v>200</v>
      </c>
      <c r="J20">
        <f t="shared" ca="1" si="1"/>
        <v>1</v>
      </c>
    </row>
    <row r="21" spans="1:10">
      <c r="A21" s="315">
        <v>18</v>
      </c>
      <c r="B21" s="311">
        <f t="shared" ca="1" si="3"/>
        <v>3.875</v>
      </c>
      <c r="C21" s="2">
        <v>5</v>
      </c>
      <c r="D21" s="164">
        <f>14/16</f>
        <v>0.875</v>
      </c>
      <c r="E21" s="164">
        <f t="shared" ca="1" si="0"/>
        <v>371.18127343750001</v>
      </c>
      <c r="F21" s="164">
        <f t="shared" ca="1" si="2"/>
        <v>200</v>
      </c>
      <c r="J21">
        <f t="shared" ca="1" si="1"/>
        <v>1</v>
      </c>
    </row>
    <row r="22" spans="1:10">
      <c r="A22" s="315">
        <v>19</v>
      </c>
      <c r="B22" s="311">
        <f t="shared" ca="1" si="3"/>
        <v>3.8125</v>
      </c>
      <c r="C22" s="2">
        <v>5</v>
      </c>
      <c r="D22" s="164">
        <f>13/16</f>
        <v>0.8125</v>
      </c>
      <c r="E22" s="164">
        <f t="shared" ca="1" si="0"/>
        <v>368.42028515624997</v>
      </c>
      <c r="F22" s="164">
        <f t="shared" ca="1" si="2"/>
        <v>200</v>
      </c>
      <c r="J22">
        <f t="shared" ca="1" si="1"/>
        <v>1</v>
      </c>
    </row>
    <row r="23" spans="1:10">
      <c r="A23" s="315">
        <v>20</v>
      </c>
      <c r="B23" s="311">
        <f t="shared" ca="1" si="3"/>
        <v>3.75</v>
      </c>
      <c r="C23" s="2">
        <v>5</v>
      </c>
      <c r="D23" s="164">
        <f>12/16</f>
        <v>0.75</v>
      </c>
      <c r="E23" s="164">
        <f t="shared" ca="1" si="0"/>
        <v>365.659296875</v>
      </c>
      <c r="F23" s="164">
        <f t="shared" ca="1" si="2"/>
        <v>200</v>
      </c>
      <c r="J23">
        <f t="shared" ca="1" si="1"/>
        <v>1</v>
      </c>
    </row>
    <row r="24" spans="1:10">
      <c r="A24" s="315">
        <v>21</v>
      </c>
      <c r="B24" s="311">
        <f t="shared" ca="1" si="3"/>
        <v>3.6875</v>
      </c>
      <c r="C24" s="2">
        <v>5</v>
      </c>
      <c r="D24" s="164">
        <f>11/16</f>
        <v>0.6875</v>
      </c>
      <c r="E24" s="164">
        <f t="shared" ca="1" si="0"/>
        <v>362.89830859375002</v>
      </c>
      <c r="F24" s="164">
        <f t="shared" ca="1" si="2"/>
        <v>200</v>
      </c>
      <c r="J24">
        <f t="shared" ca="1" si="1"/>
        <v>1</v>
      </c>
    </row>
    <row r="25" spans="1:10">
      <c r="A25" s="315">
        <v>22</v>
      </c>
      <c r="B25" s="311">
        <f t="shared" ca="1" si="3"/>
        <v>3.625</v>
      </c>
      <c r="C25" s="2">
        <v>5</v>
      </c>
      <c r="D25" s="164">
        <f>10/16</f>
        <v>0.625</v>
      </c>
      <c r="E25" s="164">
        <f ca="1">J25*(B25*$L$1+F25)-(J25-1)*$L$3</f>
        <v>360.13732031250004</v>
      </c>
      <c r="F25" s="164">
        <f t="shared" ca="1" si="2"/>
        <v>200</v>
      </c>
      <c r="J25">
        <f t="shared" ca="1" si="1"/>
        <v>1</v>
      </c>
    </row>
    <row r="26" spans="1:10">
      <c r="A26" s="315">
        <v>23</v>
      </c>
      <c r="B26" s="311">
        <f t="shared" ca="1" si="3"/>
        <v>3.5625</v>
      </c>
      <c r="C26" s="2">
        <v>5</v>
      </c>
      <c r="D26" s="164">
        <f>9/16</f>
        <v>0.5625</v>
      </c>
      <c r="E26" s="164">
        <f t="shared" ref="E26:E89" ca="1" si="4">J26*(B26*$L$1+F26)-(J26-1)*$L$3</f>
        <v>357.37633203125</v>
      </c>
      <c r="F26" s="164">
        <f t="shared" ca="1" si="2"/>
        <v>200</v>
      </c>
      <c r="J26">
        <f ca="1">IF($I$3&lt;=A26,0,1)</f>
        <v>1</v>
      </c>
    </row>
    <row r="27" spans="1:10">
      <c r="A27" s="315">
        <v>24</v>
      </c>
      <c r="B27" s="311">
        <f t="shared" ca="1" si="3"/>
        <v>3.5</v>
      </c>
      <c r="C27" s="2">
        <v>5</v>
      </c>
      <c r="D27" s="164">
        <f>8/16</f>
        <v>0.5</v>
      </c>
      <c r="E27" s="164">
        <f t="shared" ca="1" si="4"/>
        <v>354.61534374999997</v>
      </c>
      <c r="F27" s="164">
        <f t="shared" ca="1" si="2"/>
        <v>200</v>
      </c>
      <c r="J27">
        <f t="shared" ref="J27:J90" ca="1" si="5">IF($I$3&lt;=A27,0,1)</f>
        <v>1</v>
      </c>
    </row>
    <row r="28" spans="1:10">
      <c r="A28" s="315">
        <v>25</v>
      </c>
      <c r="B28" s="311">
        <f t="shared" ca="1" si="3"/>
        <v>3.4375</v>
      </c>
      <c r="C28" s="2">
        <v>5</v>
      </c>
      <c r="D28" s="164">
        <f>7/16</f>
        <v>0.4375</v>
      </c>
      <c r="E28" s="164">
        <f t="shared" ca="1" si="4"/>
        <v>351.85435546874999</v>
      </c>
      <c r="F28" s="164">
        <f t="shared" ca="1" si="2"/>
        <v>200</v>
      </c>
      <c r="J28">
        <f t="shared" ca="1" si="5"/>
        <v>1</v>
      </c>
    </row>
    <row r="29" spans="1:10">
      <c r="A29" s="315">
        <v>26</v>
      </c>
      <c r="B29" s="311">
        <f t="shared" ca="1" si="3"/>
        <v>3.375</v>
      </c>
      <c r="C29" s="2">
        <v>5</v>
      </c>
      <c r="D29" s="164">
        <f>6/16</f>
        <v>0.375</v>
      </c>
      <c r="E29" s="164">
        <f t="shared" ca="1" si="4"/>
        <v>349.09336718750001</v>
      </c>
      <c r="F29" s="164">
        <f t="shared" ca="1" si="2"/>
        <v>200</v>
      </c>
      <c r="J29">
        <f t="shared" ca="1" si="5"/>
        <v>1</v>
      </c>
    </row>
    <row r="30" spans="1:10">
      <c r="A30" s="315">
        <v>27</v>
      </c>
      <c r="B30" s="311">
        <f t="shared" ca="1" si="3"/>
        <v>3.3125</v>
      </c>
      <c r="C30" s="2">
        <v>5</v>
      </c>
      <c r="D30" s="164">
        <f>5/16</f>
        <v>0.3125</v>
      </c>
      <c r="E30" s="164">
        <f t="shared" ca="1" si="4"/>
        <v>346.33237890625003</v>
      </c>
      <c r="F30" s="164">
        <f t="shared" ca="1" si="2"/>
        <v>200</v>
      </c>
      <c r="J30">
        <f t="shared" ca="1" si="5"/>
        <v>1</v>
      </c>
    </row>
    <row r="31" spans="1:10">
      <c r="A31" s="315">
        <v>28</v>
      </c>
      <c r="B31" s="311">
        <f t="shared" ca="1" si="3"/>
        <v>3.25</v>
      </c>
      <c r="C31" s="2">
        <v>5</v>
      </c>
      <c r="D31" s="164">
        <f>4/16</f>
        <v>0.25</v>
      </c>
      <c r="E31" s="164">
        <f t="shared" ca="1" si="4"/>
        <v>343.57139062499999</v>
      </c>
      <c r="F31" s="164">
        <f t="shared" ca="1" si="2"/>
        <v>200</v>
      </c>
      <c r="J31">
        <f t="shared" ca="1" si="5"/>
        <v>1</v>
      </c>
    </row>
    <row r="32" spans="1:10">
      <c r="A32" s="315">
        <v>29</v>
      </c>
      <c r="B32" s="311">
        <f t="shared" ca="1" si="3"/>
        <v>3.1875</v>
      </c>
      <c r="C32" s="2">
        <v>5</v>
      </c>
      <c r="D32" s="164">
        <f>3/16</f>
        <v>0.1875</v>
      </c>
      <c r="E32" s="164">
        <f t="shared" ca="1" si="4"/>
        <v>340.81040234374996</v>
      </c>
      <c r="F32" s="164">
        <f t="shared" ca="1" si="2"/>
        <v>200</v>
      </c>
      <c r="J32">
        <f t="shared" ca="1" si="5"/>
        <v>1</v>
      </c>
    </row>
    <row r="33" spans="1:10">
      <c r="A33" s="315">
        <v>30</v>
      </c>
      <c r="B33" s="311">
        <f t="shared" ca="1" si="3"/>
        <v>3.125</v>
      </c>
      <c r="C33" s="2">
        <v>5</v>
      </c>
      <c r="D33" s="164">
        <f>2/16</f>
        <v>0.125</v>
      </c>
      <c r="E33" s="164">
        <f t="shared" ca="1" si="4"/>
        <v>338.04941406249998</v>
      </c>
      <c r="F33" s="164">
        <f t="shared" ca="1" si="2"/>
        <v>200</v>
      </c>
      <c r="J33">
        <f t="shared" ca="1" si="5"/>
        <v>1</v>
      </c>
    </row>
    <row r="34" spans="1:10">
      <c r="A34" s="315">
        <v>31</v>
      </c>
      <c r="B34" s="311">
        <f t="shared" ca="1" si="3"/>
        <v>3.0625</v>
      </c>
      <c r="C34" s="2">
        <v>5</v>
      </c>
      <c r="D34" s="164">
        <f>1/16</f>
        <v>6.25E-2</v>
      </c>
      <c r="E34" s="164">
        <f t="shared" ca="1" si="4"/>
        <v>335.28842578125</v>
      </c>
      <c r="F34" s="164">
        <f t="shared" ca="1" si="2"/>
        <v>200</v>
      </c>
      <c r="J34">
        <f t="shared" ca="1" si="5"/>
        <v>1</v>
      </c>
    </row>
    <row r="35" spans="1:10">
      <c r="A35" s="315">
        <v>32</v>
      </c>
      <c r="B35" s="311">
        <f t="shared" ca="1" si="3"/>
        <v>3</v>
      </c>
      <c r="C35" s="2">
        <v>5</v>
      </c>
      <c r="D35" s="164">
        <v>0</v>
      </c>
      <c r="E35" s="164">
        <f t="shared" ca="1" si="4"/>
        <v>332.52743750000002</v>
      </c>
      <c r="F35" s="164">
        <f t="shared" ca="1" si="2"/>
        <v>200</v>
      </c>
      <c r="J35">
        <f t="shared" ca="1" si="5"/>
        <v>1</v>
      </c>
    </row>
    <row r="36" spans="1:10">
      <c r="A36" s="315">
        <v>33</v>
      </c>
      <c r="B36" s="311">
        <f t="shared" ca="1" si="3"/>
        <v>2.96875</v>
      </c>
      <c r="C36" s="2">
        <v>6</v>
      </c>
      <c r="D36" s="164">
        <f>31/32</f>
        <v>0.96875</v>
      </c>
      <c r="E36" s="164">
        <f t="shared" ca="1" si="4"/>
        <v>331.14694335937497</v>
      </c>
      <c r="F36" s="164">
        <f t="shared" ca="1" si="2"/>
        <v>200</v>
      </c>
      <c r="J36">
        <f t="shared" ca="1" si="5"/>
        <v>1</v>
      </c>
    </row>
    <row r="37" spans="1:10">
      <c r="A37" s="315">
        <v>34</v>
      </c>
      <c r="B37" s="311">
        <f t="shared" ca="1" si="3"/>
        <v>2.9375</v>
      </c>
      <c r="C37" s="2">
        <v>6</v>
      </c>
      <c r="D37" s="164">
        <f>30/32</f>
        <v>0.9375</v>
      </c>
      <c r="E37" s="164">
        <f t="shared" ca="1" si="4"/>
        <v>329.76644921875004</v>
      </c>
      <c r="F37" s="164">
        <f t="shared" ca="1" si="2"/>
        <v>200</v>
      </c>
      <c r="J37">
        <f t="shared" ca="1" si="5"/>
        <v>1</v>
      </c>
    </row>
    <row r="38" spans="1:10">
      <c r="A38" s="315">
        <v>35</v>
      </c>
      <c r="B38" s="311">
        <f t="shared" ca="1" si="3"/>
        <v>2.90625</v>
      </c>
      <c r="C38" s="2">
        <v>6</v>
      </c>
      <c r="D38" s="164">
        <f>29/32</f>
        <v>0.90625</v>
      </c>
      <c r="E38" s="164">
        <f t="shared" ca="1" si="4"/>
        <v>328.38595507812499</v>
      </c>
      <c r="F38" s="164">
        <f t="shared" ca="1" si="2"/>
        <v>200</v>
      </c>
      <c r="J38">
        <f t="shared" ca="1" si="5"/>
        <v>1</v>
      </c>
    </row>
    <row r="39" spans="1:10">
      <c r="A39" s="315">
        <v>36</v>
      </c>
      <c r="B39" s="311">
        <f t="shared" ca="1" si="3"/>
        <v>2.875</v>
      </c>
      <c r="C39" s="2">
        <v>6</v>
      </c>
      <c r="D39" s="164">
        <f>28/32</f>
        <v>0.875</v>
      </c>
      <c r="E39" s="164">
        <f t="shared" ca="1" si="4"/>
        <v>327.0054609375</v>
      </c>
      <c r="F39" s="164">
        <f t="shared" ca="1" si="2"/>
        <v>200</v>
      </c>
      <c r="J39">
        <f t="shared" ca="1" si="5"/>
        <v>1</v>
      </c>
    </row>
    <row r="40" spans="1:10">
      <c r="A40" s="315">
        <v>37</v>
      </c>
      <c r="B40" s="311">
        <f t="shared" ca="1" si="3"/>
        <v>2.84375</v>
      </c>
      <c r="C40" s="2">
        <v>6</v>
      </c>
      <c r="D40" s="164">
        <f>27/32</f>
        <v>0.84375</v>
      </c>
      <c r="E40" s="164">
        <f t="shared" ca="1" si="4"/>
        <v>325.62496679687501</v>
      </c>
      <c r="F40" s="164">
        <f t="shared" ca="1" si="2"/>
        <v>200</v>
      </c>
      <c r="J40">
        <f t="shared" ca="1" si="5"/>
        <v>1</v>
      </c>
    </row>
    <row r="41" spans="1:10">
      <c r="A41" s="315">
        <v>38</v>
      </c>
      <c r="B41" s="311">
        <f t="shared" ca="1" si="3"/>
        <v>2.8125</v>
      </c>
      <c r="C41" s="2">
        <v>6</v>
      </c>
      <c r="D41" s="164">
        <f>26/32</f>
        <v>0.8125</v>
      </c>
      <c r="E41" s="164">
        <f t="shared" ca="1" si="4"/>
        <v>324.24447265624997</v>
      </c>
      <c r="F41" s="164">
        <f t="shared" ca="1" si="2"/>
        <v>200</v>
      </c>
      <c r="J41">
        <f t="shared" ca="1" si="5"/>
        <v>1</v>
      </c>
    </row>
    <row r="42" spans="1:10">
      <c r="A42" s="315">
        <v>39</v>
      </c>
      <c r="B42" s="311">
        <f t="shared" ca="1" si="3"/>
        <v>2.78125</v>
      </c>
      <c r="C42" s="2">
        <v>6</v>
      </c>
      <c r="D42" s="164">
        <f>25/32</f>
        <v>0.78125</v>
      </c>
      <c r="E42" s="164">
        <f t="shared" ca="1" si="4"/>
        <v>322.86397851562498</v>
      </c>
      <c r="F42" s="164">
        <f t="shared" ca="1" si="2"/>
        <v>200</v>
      </c>
      <c r="J42">
        <f t="shared" ca="1" si="5"/>
        <v>1</v>
      </c>
    </row>
    <row r="43" spans="1:10">
      <c r="A43" s="315">
        <v>40</v>
      </c>
      <c r="B43" s="311">
        <f t="shared" ca="1" si="3"/>
        <v>2.75</v>
      </c>
      <c r="C43" s="2">
        <v>6</v>
      </c>
      <c r="D43" s="164">
        <f>24/32</f>
        <v>0.75</v>
      </c>
      <c r="E43" s="164">
        <f t="shared" ca="1" si="4"/>
        <v>321.48348437499999</v>
      </c>
      <c r="F43" s="164">
        <f t="shared" ca="1" si="2"/>
        <v>200</v>
      </c>
      <c r="J43">
        <f t="shared" ca="1" si="5"/>
        <v>1</v>
      </c>
    </row>
    <row r="44" spans="1:10">
      <c r="A44" s="315">
        <v>41</v>
      </c>
      <c r="B44" s="311">
        <f t="shared" ca="1" si="3"/>
        <v>2.71875</v>
      </c>
      <c r="C44" s="2">
        <v>6</v>
      </c>
      <c r="D44" s="164">
        <f>23/32</f>
        <v>0.71875</v>
      </c>
      <c r="E44" s="164">
        <f t="shared" ca="1" si="4"/>
        <v>320.102990234375</v>
      </c>
      <c r="F44" s="164">
        <f t="shared" ca="1" si="2"/>
        <v>200</v>
      </c>
      <c r="J44">
        <f t="shared" ca="1" si="5"/>
        <v>1</v>
      </c>
    </row>
    <row r="45" spans="1:10">
      <c r="A45" s="315">
        <v>42</v>
      </c>
      <c r="B45" s="311">
        <f t="shared" ca="1" si="3"/>
        <v>2.6875</v>
      </c>
      <c r="C45" s="2">
        <v>6</v>
      </c>
      <c r="D45" s="164">
        <f>22/32</f>
        <v>0.6875</v>
      </c>
      <c r="E45" s="164">
        <f t="shared" ca="1" si="4"/>
        <v>318.72249609375001</v>
      </c>
      <c r="F45" s="164">
        <f t="shared" ca="1" si="2"/>
        <v>200</v>
      </c>
      <c r="J45">
        <f t="shared" ca="1" si="5"/>
        <v>1</v>
      </c>
    </row>
    <row r="46" spans="1:10">
      <c r="A46" s="315">
        <v>43</v>
      </c>
      <c r="B46" s="311">
        <f t="shared" ca="1" si="3"/>
        <v>2.65625</v>
      </c>
      <c r="C46" s="2">
        <v>6</v>
      </c>
      <c r="D46" s="164">
        <f>21/32</f>
        <v>0.65625</v>
      </c>
      <c r="E46" s="164">
        <f t="shared" ca="1" si="4"/>
        <v>317.34200195312496</v>
      </c>
      <c r="F46" s="164">
        <f t="shared" ca="1" si="2"/>
        <v>200</v>
      </c>
      <c r="J46">
        <f t="shared" ca="1" si="5"/>
        <v>1</v>
      </c>
    </row>
    <row r="47" spans="1:10">
      <c r="A47" s="315">
        <v>44</v>
      </c>
      <c r="B47" s="311">
        <f t="shared" ca="1" si="3"/>
        <v>2.625</v>
      </c>
      <c r="C47" s="2">
        <v>6</v>
      </c>
      <c r="D47" s="164">
        <f>20/32</f>
        <v>0.625</v>
      </c>
      <c r="E47" s="164">
        <f t="shared" ca="1" si="4"/>
        <v>315.96150781250003</v>
      </c>
      <c r="F47" s="164">
        <f t="shared" ca="1" si="2"/>
        <v>200</v>
      </c>
      <c r="J47">
        <f t="shared" ca="1" si="5"/>
        <v>1</v>
      </c>
    </row>
    <row r="48" spans="1:10">
      <c r="A48" s="315">
        <v>45</v>
      </c>
      <c r="B48" s="311">
        <f t="shared" ca="1" si="3"/>
        <v>2.59375</v>
      </c>
      <c r="C48" s="2">
        <v>6</v>
      </c>
      <c r="D48" s="164">
        <f>19/32</f>
        <v>0.59375</v>
      </c>
      <c r="E48" s="164">
        <f t="shared" ca="1" si="4"/>
        <v>314.58101367187498</v>
      </c>
      <c r="F48" s="164">
        <f t="shared" ca="1" si="2"/>
        <v>200</v>
      </c>
      <c r="J48">
        <f t="shared" ca="1" si="5"/>
        <v>1</v>
      </c>
    </row>
    <row r="49" spans="1:10">
      <c r="A49" s="315">
        <v>46</v>
      </c>
      <c r="B49" s="311">
        <f t="shared" ca="1" si="3"/>
        <v>2.5625</v>
      </c>
      <c r="C49" s="2">
        <v>6</v>
      </c>
      <c r="D49" s="164">
        <f>18/32</f>
        <v>0.5625</v>
      </c>
      <c r="E49" s="164">
        <f t="shared" ca="1" si="4"/>
        <v>313.20051953124999</v>
      </c>
      <c r="F49" s="164">
        <f t="shared" ca="1" si="2"/>
        <v>200</v>
      </c>
      <c r="J49">
        <f t="shared" ca="1" si="5"/>
        <v>1</v>
      </c>
    </row>
    <row r="50" spans="1:10">
      <c r="A50" s="315">
        <v>47</v>
      </c>
      <c r="B50" s="311">
        <f t="shared" ca="1" si="3"/>
        <v>2.53125</v>
      </c>
      <c r="C50" s="2">
        <v>6</v>
      </c>
      <c r="D50" s="164">
        <f>17/32</f>
        <v>0.53125</v>
      </c>
      <c r="E50" s="164">
        <f t="shared" ca="1" si="4"/>
        <v>311.82002539062501</v>
      </c>
      <c r="F50" s="164">
        <f t="shared" ca="1" si="2"/>
        <v>200</v>
      </c>
      <c r="J50">
        <f t="shared" ca="1" si="5"/>
        <v>1</v>
      </c>
    </row>
    <row r="51" spans="1:10">
      <c r="A51" s="315">
        <v>48</v>
      </c>
      <c r="B51" s="311">
        <f t="shared" ca="1" si="3"/>
        <v>2.5</v>
      </c>
      <c r="C51" s="2">
        <v>6</v>
      </c>
      <c r="D51" s="164">
        <f>16/32</f>
        <v>0.5</v>
      </c>
      <c r="E51" s="164">
        <f t="shared" ca="1" si="4"/>
        <v>310.43953125000002</v>
      </c>
      <c r="F51" s="164">
        <f t="shared" ca="1" si="2"/>
        <v>200</v>
      </c>
      <c r="J51">
        <f t="shared" ca="1" si="5"/>
        <v>1</v>
      </c>
    </row>
    <row r="52" spans="1:10">
      <c r="A52" s="315">
        <v>49</v>
      </c>
      <c r="B52" s="311">
        <f t="shared" ca="1" si="3"/>
        <v>2.46875</v>
      </c>
      <c r="C52" s="2">
        <v>6</v>
      </c>
      <c r="D52" s="164">
        <f>15/32</f>
        <v>0.46875</v>
      </c>
      <c r="E52" s="164">
        <f t="shared" ca="1" si="4"/>
        <v>309.05903710937503</v>
      </c>
      <c r="F52" s="164">
        <f t="shared" ca="1" si="2"/>
        <v>200</v>
      </c>
      <c r="J52">
        <f t="shared" ca="1" si="5"/>
        <v>1</v>
      </c>
    </row>
    <row r="53" spans="1:10">
      <c r="A53" s="315">
        <v>50</v>
      </c>
      <c r="B53" s="311">
        <f t="shared" ca="1" si="3"/>
        <v>2.4375</v>
      </c>
      <c r="C53" s="2">
        <v>6</v>
      </c>
      <c r="D53" s="164">
        <f>14/32</f>
        <v>0.4375</v>
      </c>
      <c r="E53" s="164">
        <f t="shared" ca="1" si="4"/>
        <v>307.67854296874998</v>
      </c>
      <c r="F53" s="164">
        <f t="shared" ca="1" si="2"/>
        <v>200</v>
      </c>
      <c r="J53">
        <f t="shared" ca="1" si="5"/>
        <v>1</v>
      </c>
    </row>
    <row r="54" spans="1:10">
      <c r="A54" s="315">
        <v>51</v>
      </c>
      <c r="B54" s="311">
        <f t="shared" ca="1" si="3"/>
        <v>2.40625</v>
      </c>
      <c r="C54" s="2">
        <v>6</v>
      </c>
      <c r="D54" s="164">
        <f>13/32</f>
        <v>0.40625</v>
      </c>
      <c r="E54" s="164">
        <f t="shared" ca="1" si="4"/>
        <v>306.29804882812499</v>
      </c>
      <c r="F54" s="164">
        <f t="shared" ca="1" si="2"/>
        <v>200</v>
      </c>
      <c r="J54">
        <f t="shared" ca="1" si="5"/>
        <v>1</v>
      </c>
    </row>
    <row r="55" spans="1:10">
      <c r="A55" s="315">
        <v>52</v>
      </c>
      <c r="B55" s="311">
        <f t="shared" ca="1" si="3"/>
        <v>2.375</v>
      </c>
      <c r="C55" s="2">
        <v>6</v>
      </c>
      <c r="D55" s="164">
        <f>12/32</f>
        <v>0.375</v>
      </c>
      <c r="E55" s="164">
        <f t="shared" ca="1" si="4"/>
        <v>304.9175546875</v>
      </c>
      <c r="F55" s="164">
        <f t="shared" ca="1" si="2"/>
        <v>200</v>
      </c>
      <c r="J55">
        <f t="shared" ca="1" si="5"/>
        <v>1</v>
      </c>
    </row>
    <row r="56" spans="1:10">
      <c r="A56" s="315">
        <v>53</v>
      </c>
      <c r="B56" s="311">
        <f t="shared" ca="1" si="3"/>
        <v>2.34375</v>
      </c>
      <c r="C56" s="2">
        <v>6</v>
      </c>
      <c r="D56" s="164">
        <f>11/32</f>
        <v>0.34375</v>
      </c>
      <c r="E56" s="164">
        <f t="shared" ca="1" si="4"/>
        <v>303.53706054687501</v>
      </c>
      <c r="F56" s="164">
        <f t="shared" ca="1" si="2"/>
        <v>200</v>
      </c>
      <c r="J56">
        <f t="shared" ca="1" si="5"/>
        <v>1</v>
      </c>
    </row>
    <row r="57" spans="1:10">
      <c r="A57" s="315">
        <v>54</v>
      </c>
      <c r="B57" s="311">
        <f t="shared" ca="1" si="3"/>
        <v>2.3125</v>
      </c>
      <c r="C57" s="2">
        <v>6</v>
      </c>
      <c r="D57" s="164">
        <f>10/32</f>
        <v>0.3125</v>
      </c>
      <c r="E57" s="164">
        <f t="shared" ca="1" si="4"/>
        <v>302.15656640625002</v>
      </c>
      <c r="F57" s="164">
        <f t="shared" ca="1" si="2"/>
        <v>200</v>
      </c>
      <c r="J57">
        <f t="shared" ca="1" si="5"/>
        <v>1</v>
      </c>
    </row>
    <row r="58" spans="1:10">
      <c r="A58" s="315">
        <v>55</v>
      </c>
      <c r="B58" s="311">
        <f t="shared" ca="1" si="3"/>
        <v>2.28125</v>
      </c>
      <c r="C58" s="2">
        <v>6</v>
      </c>
      <c r="D58" s="164">
        <f>9/32</f>
        <v>0.28125</v>
      </c>
      <c r="E58" s="164">
        <f t="shared" ca="1" si="4"/>
        <v>300.77607226562498</v>
      </c>
      <c r="F58" s="164">
        <f t="shared" ca="1" si="2"/>
        <v>200</v>
      </c>
      <c r="J58">
        <f t="shared" ca="1" si="5"/>
        <v>1</v>
      </c>
    </row>
    <row r="59" spans="1:10">
      <c r="A59" s="315">
        <v>56</v>
      </c>
      <c r="B59" s="311">
        <f t="shared" ca="1" si="3"/>
        <v>2.25</v>
      </c>
      <c r="C59" s="2">
        <v>6</v>
      </c>
      <c r="D59" s="164">
        <f>8/32</f>
        <v>0.25</v>
      </c>
      <c r="E59" s="164">
        <f t="shared" ca="1" si="4"/>
        <v>299.39557812499999</v>
      </c>
      <c r="F59" s="164">
        <f t="shared" ca="1" si="2"/>
        <v>200</v>
      </c>
      <c r="J59">
        <f t="shared" ca="1" si="5"/>
        <v>1</v>
      </c>
    </row>
    <row r="60" spans="1:10">
      <c r="A60" s="315">
        <v>57</v>
      </c>
      <c r="B60" s="311">
        <f t="shared" ca="1" si="3"/>
        <v>2.21875</v>
      </c>
      <c r="C60" s="2">
        <v>6</v>
      </c>
      <c r="D60" s="164">
        <f>7/32</f>
        <v>0.21875</v>
      </c>
      <c r="E60" s="164">
        <f t="shared" ca="1" si="4"/>
        <v>298.015083984375</v>
      </c>
      <c r="F60" s="164">
        <f t="shared" ca="1" si="2"/>
        <v>200</v>
      </c>
      <c r="J60">
        <f t="shared" ca="1" si="5"/>
        <v>1</v>
      </c>
    </row>
    <row r="61" spans="1:10">
      <c r="A61" s="315">
        <v>58</v>
      </c>
      <c r="B61" s="311">
        <f t="shared" ca="1" si="3"/>
        <v>2.1875</v>
      </c>
      <c r="C61" s="2">
        <v>6</v>
      </c>
      <c r="D61" s="164">
        <f>6/32</f>
        <v>0.1875</v>
      </c>
      <c r="E61" s="164">
        <f t="shared" ca="1" si="4"/>
        <v>296.63458984375001</v>
      </c>
      <c r="F61" s="164">
        <f t="shared" ca="1" si="2"/>
        <v>200</v>
      </c>
      <c r="J61">
        <f t="shared" ca="1" si="5"/>
        <v>1</v>
      </c>
    </row>
    <row r="62" spans="1:10">
      <c r="A62" s="315">
        <v>59</v>
      </c>
      <c r="B62" s="311">
        <f t="shared" ca="1" si="3"/>
        <v>2.15625</v>
      </c>
      <c r="C62" s="2">
        <v>6</v>
      </c>
      <c r="D62" s="164">
        <f>5/32</f>
        <v>0.15625</v>
      </c>
      <c r="E62" s="164">
        <f t="shared" ca="1" si="4"/>
        <v>295.25409570312502</v>
      </c>
      <c r="F62" s="164">
        <f t="shared" ca="1" si="2"/>
        <v>200</v>
      </c>
      <c r="J62">
        <f t="shared" ca="1" si="5"/>
        <v>1</v>
      </c>
    </row>
    <row r="63" spans="1:10">
      <c r="A63" s="315">
        <v>60</v>
      </c>
      <c r="B63" s="311">
        <f t="shared" ca="1" si="3"/>
        <v>2.125</v>
      </c>
      <c r="C63" s="2">
        <v>6</v>
      </c>
      <c r="D63" s="164">
        <f>4/32</f>
        <v>0.125</v>
      </c>
      <c r="E63" s="164">
        <f t="shared" ca="1" si="4"/>
        <v>293.87360156249997</v>
      </c>
      <c r="F63" s="164">
        <f t="shared" ca="1" si="2"/>
        <v>200</v>
      </c>
      <c r="J63">
        <f t="shared" ca="1" si="5"/>
        <v>1</v>
      </c>
    </row>
    <row r="64" spans="1:10">
      <c r="A64" s="315">
        <v>61</v>
      </c>
      <c r="B64" s="311">
        <f t="shared" ca="1" si="3"/>
        <v>2.09375</v>
      </c>
      <c r="C64" s="2">
        <v>6</v>
      </c>
      <c r="D64" s="164">
        <f>3/32</f>
        <v>9.375E-2</v>
      </c>
      <c r="E64" s="164">
        <f t="shared" ca="1" si="4"/>
        <v>292.49310742187498</v>
      </c>
      <c r="F64" s="164">
        <f t="shared" ca="1" si="2"/>
        <v>200</v>
      </c>
      <c r="J64">
        <f t="shared" ca="1" si="5"/>
        <v>1</v>
      </c>
    </row>
    <row r="65" spans="1:10">
      <c r="A65" s="315">
        <v>62</v>
      </c>
      <c r="B65" s="311">
        <f t="shared" ca="1" si="3"/>
        <v>2.0625</v>
      </c>
      <c r="C65" s="2">
        <v>6</v>
      </c>
      <c r="D65" s="164">
        <f>2/32</f>
        <v>6.25E-2</v>
      </c>
      <c r="E65" s="164">
        <f t="shared" ca="1" si="4"/>
        <v>291.11261328124999</v>
      </c>
      <c r="F65" s="164">
        <f t="shared" ca="1" si="2"/>
        <v>200</v>
      </c>
      <c r="J65">
        <f t="shared" ca="1" si="5"/>
        <v>1</v>
      </c>
    </row>
    <row r="66" spans="1:10">
      <c r="A66" s="315">
        <v>63</v>
      </c>
      <c r="B66" s="311">
        <f t="shared" ca="1" si="3"/>
        <v>2.03125</v>
      </c>
      <c r="C66" s="2">
        <v>6</v>
      </c>
      <c r="D66" s="164">
        <f>1/32</f>
        <v>3.125E-2</v>
      </c>
      <c r="E66" s="164">
        <f t="shared" ca="1" si="4"/>
        <v>289.732119140625</v>
      </c>
      <c r="F66" s="164">
        <f t="shared" ca="1" si="2"/>
        <v>200</v>
      </c>
      <c r="J66">
        <f t="shared" ca="1" si="5"/>
        <v>1</v>
      </c>
    </row>
    <row r="67" spans="1:10">
      <c r="A67" s="315">
        <v>64</v>
      </c>
      <c r="B67" s="311">
        <f t="shared" ca="1" si="3"/>
        <v>2</v>
      </c>
      <c r="C67" s="2">
        <v>6</v>
      </c>
      <c r="D67" s="164">
        <v>0</v>
      </c>
      <c r="E67" s="164">
        <f t="shared" ca="1" si="4"/>
        <v>288.35162500000001</v>
      </c>
      <c r="F67" s="164">
        <f t="shared" ca="1" si="2"/>
        <v>200</v>
      </c>
      <c r="J67">
        <f t="shared" ca="1" si="5"/>
        <v>1</v>
      </c>
    </row>
    <row r="68" spans="1:10">
      <c r="A68" s="315">
        <v>65</v>
      </c>
      <c r="B68" s="311">
        <f t="shared" ca="1" si="3"/>
        <v>8</v>
      </c>
      <c r="E68" s="164">
        <f t="shared" ca="1" si="4"/>
        <v>553.40650000000005</v>
      </c>
      <c r="F68" s="164">
        <f t="shared" ca="1" si="2"/>
        <v>200</v>
      </c>
      <c r="J68">
        <f t="shared" ca="1" si="5"/>
        <v>1</v>
      </c>
    </row>
    <row r="69" spans="1:10">
      <c r="A69" s="315">
        <v>66</v>
      </c>
      <c r="B69" s="311">
        <f t="shared" ca="1" si="3"/>
        <v>8</v>
      </c>
      <c r="E69" s="164">
        <f t="shared" ca="1" si="4"/>
        <v>553.40650000000005</v>
      </c>
      <c r="F69" s="164">
        <f t="shared" ref="F69:F132" ca="1" si="6">IF(A69&lt;$I$3,$L$2,0)</f>
        <v>200</v>
      </c>
      <c r="J69">
        <f t="shared" ca="1" si="5"/>
        <v>1</v>
      </c>
    </row>
    <row r="70" spans="1:10">
      <c r="A70" s="315">
        <v>67</v>
      </c>
      <c r="B70" s="311">
        <f t="shared" ref="B70:B133" ca="1" si="7">J70*($H$3-C70+D70)</f>
        <v>8</v>
      </c>
      <c r="E70" s="164">
        <f t="shared" ca="1" si="4"/>
        <v>553.40650000000005</v>
      </c>
      <c r="F70" s="164">
        <f t="shared" ca="1" si="6"/>
        <v>200</v>
      </c>
      <c r="J70">
        <f t="shared" ca="1" si="5"/>
        <v>1</v>
      </c>
    </row>
    <row r="71" spans="1:10">
      <c r="A71" s="315">
        <v>68</v>
      </c>
      <c r="B71" s="311">
        <f t="shared" ca="1" si="7"/>
        <v>8</v>
      </c>
      <c r="E71" s="164">
        <f t="shared" ca="1" si="4"/>
        <v>553.40650000000005</v>
      </c>
      <c r="F71" s="164">
        <f t="shared" ca="1" si="6"/>
        <v>200</v>
      </c>
      <c r="J71">
        <f t="shared" ca="1" si="5"/>
        <v>1</v>
      </c>
    </row>
    <row r="72" spans="1:10">
      <c r="A72" s="315">
        <v>69</v>
      </c>
      <c r="B72" s="311">
        <f t="shared" ca="1" si="7"/>
        <v>8</v>
      </c>
      <c r="E72" s="164">
        <f t="shared" ca="1" si="4"/>
        <v>553.40650000000005</v>
      </c>
      <c r="F72" s="164">
        <f t="shared" ca="1" si="6"/>
        <v>200</v>
      </c>
      <c r="J72">
        <f t="shared" ca="1" si="5"/>
        <v>1</v>
      </c>
    </row>
    <row r="73" spans="1:10">
      <c r="A73" s="315">
        <v>70</v>
      </c>
      <c r="B73" s="311">
        <f t="shared" ca="1" si="7"/>
        <v>8</v>
      </c>
      <c r="E73" s="164">
        <f t="shared" ca="1" si="4"/>
        <v>553.40650000000005</v>
      </c>
      <c r="F73" s="164">
        <f t="shared" ca="1" si="6"/>
        <v>200</v>
      </c>
      <c r="J73">
        <f t="shared" ca="1" si="5"/>
        <v>1</v>
      </c>
    </row>
    <row r="74" spans="1:10">
      <c r="A74" s="315">
        <v>71</v>
      </c>
      <c r="B74" s="311">
        <f t="shared" ca="1" si="7"/>
        <v>8</v>
      </c>
      <c r="E74" s="164">
        <f t="shared" ca="1" si="4"/>
        <v>553.40650000000005</v>
      </c>
      <c r="F74" s="164">
        <f t="shared" ca="1" si="6"/>
        <v>200</v>
      </c>
      <c r="J74">
        <f t="shared" ca="1" si="5"/>
        <v>1</v>
      </c>
    </row>
    <row r="75" spans="1:10">
      <c r="A75" s="315">
        <v>72</v>
      </c>
      <c r="B75" s="311">
        <f t="shared" ca="1" si="7"/>
        <v>8</v>
      </c>
      <c r="E75" s="164">
        <f t="shared" ca="1" si="4"/>
        <v>553.40650000000005</v>
      </c>
      <c r="F75" s="164">
        <f t="shared" ca="1" si="6"/>
        <v>200</v>
      </c>
      <c r="J75">
        <f t="shared" ca="1" si="5"/>
        <v>1</v>
      </c>
    </row>
    <row r="76" spans="1:10">
      <c r="A76" s="315">
        <v>73</v>
      </c>
      <c r="B76" s="311">
        <f t="shared" ca="1" si="7"/>
        <v>8</v>
      </c>
      <c r="E76" s="164">
        <f t="shared" ca="1" si="4"/>
        <v>553.40650000000005</v>
      </c>
      <c r="F76" s="164">
        <f t="shared" ca="1" si="6"/>
        <v>200</v>
      </c>
      <c r="J76">
        <f t="shared" ca="1" si="5"/>
        <v>1</v>
      </c>
    </row>
    <row r="77" spans="1:10">
      <c r="A77" s="315">
        <v>74</v>
      </c>
      <c r="B77" s="311">
        <f t="shared" ca="1" si="7"/>
        <v>8</v>
      </c>
      <c r="E77" s="164">
        <f t="shared" ca="1" si="4"/>
        <v>553.40650000000005</v>
      </c>
      <c r="F77" s="164">
        <f t="shared" ca="1" si="6"/>
        <v>200</v>
      </c>
      <c r="J77">
        <f t="shared" ca="1" si="5"/>
        <v>1</v>
      </c>
    </row>
    <row r="78" spans="1:10">
      <c r="A78" s="315">
        <v>75</v>
      </c>
      <c r="B78" s="311">
        <f t="shared" ca="1" si="7"/>
        <v>8</v>
      </c>
      <c r="E78" s="164">
        <f t="shared" ca="1" si="4"/>
        <v>553.40650000000005</v>
      </c>
      <c r="F78" s="164">
        <f t="shared" ca="1" si="6"/>
        <v>200</v>
      </c>
      <c r="J78">
        <f t="shared" ca="1" si="5"/>
        <v>1</v>
      </c>
    </row>
    <row r="79" spans="1:10">
      <c r="A79" s="315">
        <v>76</v>
      </c>
      <c r="B79" s="311">
        <f t="shared" ca="1" si="7"/>
        <v>8</v>
      </c>
      <c r="E79" s="164">
        <f t="shared" ca="1" si="4"/>
        <v>553.40650000000005</v>
      </c>
      <c r="F79" s="164">
        <f t="shared" ca="1" si="6"/>
        <v>200</v>
      </c>
      <c r="J79">
        <f t="shared" ca="1" si="5"/>
        <v>1</v>
      </c>
    </row>
    <row r="80" spans="1:10">
      <c r="A80" s="315">
        <v>77</v>
      </c>
      <c r="B80" s="311">
        <f t="shared" ca="1" si="7"/>
        <v>8</v>
      </c>
      <c r="E80" s="164">
        <f t="shared" ca="1" si="4"/>
        <v>553.40650000000005</v>
      </c>
      <c r="F80" s="164">
        <f t="shared" ca="1" si="6"/>
        <v>200</v>
      </c>
      <c r="J80">
        <f t="shared" ca="1" si="5"/>
        <v>1</v>
      </c>
    </row>
    <row r="81" spans="1:10">
      <c r="A81" s="315">
        <v>78</v>
      </c>
      <c r="B81" s="311">
        <f t="shared" ca="1" si="7"/>
        <v>8</v>
      </c>
      <c r="E81" s="164">
        <f t="shared" ca="1" si="4"/>
        <v>553.40650000000005</v>
      </c>
      <c r="F81" s="164">
        <f t="shared" ca="1" si="6"/>
        <v>200</v>
      </c>
      <c r="J81">
        <f t="shared" ca="1" si="5"/>
        <v>1</v>
      </c>
    </row>
    <row r="82" spans="1:10">
      <c r="A82" s="315">
        <v>79</v>
      </c>
      <c r="B82" s="311">
        <f t="shared" ca="1" si="7"/>
        <v>8</v>
      </c>
      <c r="E82" s="164">
        <f t="shared" ca="1" si="4"/>
        <v>553.40650000000005</v>
      </c>
      <c r="F82" s="164">
        <f t="shared" ca="1" si="6"/>
        <v>200</v>
      </c>
      <c r="J82">
        <f t="shared" ca="1" si="5"/>
        <v>1</v>
      </c>
    </row>
    <row r="83" spans="1:10">
      <c r="A83" s="315">
        <v>80</v>
      </c>
      <c r="B83" s="311">
        <f t="shared" ca="1" si="7"/>
        <v>8</v>
      </c>
      <c r="E83" s="164">
        <f t="shared" ca="1" si="4"/>
        <v>553.40650000000005</v>
      </c>
      <c r="F83" s="164">
        <f t="shared" ca="1" si="6"/>
        <v>200</v>
      </c>
      <c r="J83">
        <f t="shared" ca="1" si="5"/>
        <v>1</v>
      </c>
    </row>
    <row r="84" spans="1:10">
      <c r="A84" s="315">
        <v>81</v>
      </c>
      <c r="B84" s="311">
        <f t="shared" ca="1" si="7"/>
        <v>8</v>
      </c>
      <c r="E84" s="164">
        <f t="shared" ca="1" si="4"/>
        <v>553.40650000000005</v>
      </c>
      <c r="F84" s="164">
        <f t="shared" ca="1" si="6"/>
        <v>200</v>
      </c>
      <c r="J84">
        <f t="shared" ca="1" si="5"/>
        <v>1</v>
      </c>
    </row>
    <row r="85" spans="1:10">
      <c r="A85" s="315">
        <v>82</v>
      </c>
      <c r="B85" s="311">
        <f t="shared" ca="1" si="7"/>
        <v>8</v>
      </c>
      <c r="E85" s="164">
        <f t="shared" ca="1" si="4"/>
        <v>553.40650000000005</v>
      </c>
      <c r="F85" s="164">
        <f t="shared" ca="1" si="6"/>
        <v>200</v>
      </c>
      <c r="J85">
        <f t="shared" ca="1" si="5"/>
        <v>1</v>
      </c>
    </row>
    <row r="86" spans="1:10">
      <c r="A86" s="315">
        <v>83</v>
      </c>
      <c r="B86" s="311">
        <f t="shared" ca="1" si="7"/>
        <v>8</v>
      </c>
      <c r="E86" s="164">
        <f t="shared" ca="1" si="4"/>
        <v>553.40650000000005</v>
      </c>
      <c r="F86" s="164">
        <f t="shared" ca="1" si="6"/>
        <v>200</v>
      </c>
      <c r="J86">
        <f t="shared" ca="1" si="5"/>
        <v>1</v>
      </c>
    </row>
    <row r="87" spans="1:10">
      <c r="A87" s="315">
        <v>84</v>
      </c>
      <c r="B87" s="311">
        <f t="shared" ca="1" si="7"/>
        <v>8</v>
      </c>
      <c r="E87" s="164">
        <f t="shared" ca="1" si="4"/>
        <v>553.40650000000005</v>
      </c>
      <c r="F87" s="164">
        <f t="shared" ca="1" si="6"/>
        <v>200</v>
      </c>
      <c r="J87">
        <f t="shared" ca="1" si="5"/>
        <v>1</v>
      </c>
    </row>
    <row r="88" spans="1:10">
      <c r="A88" s="315">
        <v>85</v>
      </c>
      <c r="B88" s="311">
        <f t="shared" ca="1" si="7"/>
        <v>8</v>
      </c>
      <c r="E88" s="164">
        <f t="shared" ca="1" si="4"/>
        <v>553.40650000000005</v>
      </c>
      <c r="F88" s="164">
        <f t="shared" ca="1" si="6"/>
        <v>200</v>
      </c>
      <c r="J88">
        <f t="shared" ca="1" si="5"/>
        <v>1</v>
      </c>
    </row>
    <row r="89" spans="1:10">
      <c r="A89" s="315">
        <v>86</v>
      </c>
      <c r="B89" s="311">
        <f t="shared" ca="1" si="7"/>
        <v>8</v>
      </c>
      <c r="E89" s="164">
        <f t="shared" ca="1" si="4"/>
        <v>553.40650000000005</v>
      </c>
      <c r="F89" s="164">
        <f t="shared" ca="1" si="6"/>
        <v>200</v>
      </c>
      <c r="J89">
        <f t="shared" ca="1" si="5"/>
        <v>1</v>
      </c>
    </row>
    <row r="90" spans="1:10">
      <c r="A90" s="315">
        <v>87</v>
      </c>
      <c r="B90" s="311">
        <f t="shared" ca="1" si="7"/>
        <v>8</v>
      </c>
      <c r="E90" s="164">
        <f t="shared" ref="E90:E153" ca="1" si="8">J90*(B90*$L$1+F90)-(J90-1)*$L$3</f>
        <v>553.40650000000005</v>
      </c>
      <c r="F90" s="164">
        <f t="shared" ca="1" si="6"/>
        <v>200</v>
      </c>
      <c r="J90">
        <f t="shared" ca="1" si="5"/>
        <v>1</v>
      </c>
    </row>
    <row r="91" spans="1:10">
      <c r="A91" s="315">
        <v>88</v>
      </c>
      <c r="B91" s="311">
        <f t="shared" ca="1" si="7"/>
        <v>8</v>
      </c>
      <c r="E91" s="164">
        <f t="shared" ca="1" si="8"/>
        <v>553.40650000000005</v>
      </c>
      <c r="F91" s="164">
        <f t="shared" ca="1" si="6"/>
        <v>200</v>
      </c>
      <c r="J91">
        <f t="shared" ref="J91:J154" ca="1" si="9">IF($I$3&lt;=A91,0,1)</f>
        <v>1</v>
      </c>
    </row>
    <row r="92" spans="1:10">
      <c r="A92" s="315">
        <v>89</v>
      </c>
      <c r="B92" s="311">
        <f t="shared" ca="1" si="7"/>
        <v>8</v>
      </c>
      <c r="E92" s="164">
        <f t="shared" ca="1" si="8"/>
        <v>553.40650000000005</v>
      </c>
      <c r="F92" s="164">
        <f t="shared" ca="1" si="6"/>
        <v>200</v>
      </c>
      <c r="J92">
        <f t="shared" ca="1" si="9"/>
        <v>1</v>
      </c>
    </row>
    <row r="93" spans="1:10">
      <c r="A93" s="315">
        <v>90</v>
      </c>
      <c r="B93" s="311">
        <f t="shared" ca="1" si="7"/>
        <v>8</v>
      </c>
      <c r="E93" s="164">
        <f t="shared" ca="1" si="8"/>
        <v>553.40650000000005</v>
      </c>
      <c r="F93" s="164">
        <f t="shared" ca="1" si="6"/>
        <v>200</v>
      </c>
      <c r="J93">
        <f t="shared" ca="1" si="9"/>
        <v>1</v>
      </c>
    </row>
    <row r="94" spans="1:10">
      <c r="A94" s="315">
        <v>91</v>
      </c>
      <c r="B94" s="311">
        <f t="shared" ca="1" si="7"/>
        <v>8</v>
      </c>
      <c r="E94" s="164">
        <f t="shared" ca="1" si="8"/>
        <v>553.40650000000005</v>
      </c>
      <c r="F94" s="164">
        <f t="shared" ca="1" si="6"/>
        <v>200</v>
      </c>
      <c r="J94">
        <f t="shared" ca="1" si="9"/>
        <v>1</v>
      </c>
    </row>
    <row r="95" spans="1:10">
      <c r="A95" s="315">
        <v>92</v>
      </c>
      <c r="B95" s="311">
        <f t="shared" ca="1" si="7"/>
        <v>8</v>
      </c>
      <c r="E95" s="164">
        <f t="shared" ca="1" si="8"/>
        <v>553.40650000000005</v>
      </c>
      <c r="F95" s="164">
        <f t="shared" ca="1" si="6"/>
        <v>200</v>
      </c>
      <c r="J95">
        <f t="shared" ca="1" si="9"/>
        <v>1</v>
      </c>
    </row>
    <row r="96" spans="1:10">
      <c r="A96" s="315">
        <v>93</v>
      </c>
      <c r="B96" s="311">
        <f t="shared" ca="1" si="7"/>
        <v>8</v>
      </c>
      <c r="E96" s="164">
        <f t="shared" ca="1" si="8"/>
        <v>553.40650000000005</v>
      </c>
      <c r="F96" s="164">
        <f t="shared" ca="1" si="6"/>
        <v>200</v>
      </c>
      <c r="J96">
        <f t="shared" ca="1" si="9"/>
        <v>1</v>
      </c>
    </row>
    <row r="97" spans="1:10">
      <c r="A97" s="315">
        <v>94</v>
      </c>
      <c r="B97" s="311">
        <f t="shared" ca="1" si="7"/>
        <v>8</v>
      </c>
      <c r="E97" s="164">
        <f t="shared" ca="1" si="8"/>
        <v>553.40650000000005</v>
      </c>
      <c r="F97" s="164">
        <f t="shared" ca="1" si="6"/>
        <v>200</v>
      </c>
      <c r="J97">
        <f t="shared" ca="1" si="9"/>
        <v>1</v>
      </c>
    </row>
    <row r="98" spans="1:10">
      <c r="A98" s="315">
        <v>95</v>
      </c>
      <c r="B98" s="311">
        <f t="shared" ca="1" si="7"/>
        <v>8</v>
      </c>
      <c r="E98" s="164">
        <f t="shared" ca="1" si="8"/>
        <v>553.40650000000005</v>
      </c>
      <c r="F98" s="164">
        <f t="shared" ca="1" si="6"/>
        <v>200</v>
      </c>
      <c r="J98">
        <f t="shared" ca="1" si="9"/>
        <v>1</v>
      </c>
    </row>
    <row r="99" spans="1:10">
      <c r="A99" s="315">
        <v>96</v>
      </c>
      <c r="B99" s="311">
        <f t="shared" ca="1" si="7"/>
        <v>8</v>
      </c>
      <c r="E99" s="164">
        <f t="shared" ca="1" si="8"/>
        <v>553.40650000000005</v>
      </c>
      <c r="F99" s="164">
        <f t="shared" ca="1" si="6"/>
        <v>200</v>
      </c>
      <c r="J99">
        <f t="shared" ca="1" si="9"/>
        <v>1</v>
      </c>
    </row>
    <row r="100" spans="1:10">
      <c r="A100" s="315">
        <v>97</v>
      </c>
      <c r="B100" s="311">
        <f t="shared" ca="1" si="7"/>
        <v>8</v>
      </c>
      <c r="E100" s="164">
        <f t="shared" ca="1" si="8"/>
        <v>553.40650000000005</v>
      </c>
      <c r="F100" s="164">
        <f t="shared" ca="1" si="6"/>
        <v>200</v>
      </c>
      <c r="J100">
        <f t="shared" ca="1" si="9"/>
        <v>1</v>
      </c>
    </row>
    <row r="101" spans="1:10">
      <c r="A101" s="315">
        <v>98</v>
      </c>
      <c r="B101" s="311">
        <f t="shared" ca="1" si="7"/>
        <v>8</v>
      </c>
      <c r="E101" s="164">
        <f t="shared" ca="1" si="8"/>
        <v>553.40650000000005</v>
      </c>
      <c r="F101" s="164">
        <f t="shared" ca="1" si="6"/>
        <v>200</v>
      </c>
      <c r="J101">
        <f t="shared" ca="1" si="9"/>
        <v>1</v>
      </c>
    </row>
    <row r="102" spans="1:10">
      <c r="A102" s="315">
        <v>99</v>
      </c>
      <c r="B102" s="311">
        <f t="shared" ca="1" si="7"/>
        <v>8</v>
      </c>
      <c r="E102" s="164">
        <f t="shared" ca="1" si="8"/>
        <v>553.40650000000005</v>
      </c>
      <c r="F102" s="164">
        <f t="shared" ca="1" si="6"/>
        <v>200</v>
      </c>
      <c r="J102">
        <f t="shared" ca="1" si="9"/>
        <v>1</v>
      </c>
    </row>
    <row r="103" spans="1:10">
      <c r="A103" s="315">
        <v>100</v>
      </c>
      <c r="B103" s="311">
        <f t="shared" ca="1" si="7"/>
        <v>8</v>
      </c>
      <c r="E103" s="164">
        <f t="shared" ca="1" si="8"/>
        <v>553.40650000000005</v>
      </c>
      <c r="F103" s="164">
        <f t="shared" ca="1" si="6"/>
        <v>200</v>
      </c>
      <c r="J103">
        <f t="shared" ca="1" si="9"/>
        <v>1</v>
      </c>
    </row>
    <row r="104" spans="1:10">
      <c r="A104" s="315">
        <v>101</v>
      </c>
      <c r="B104" s="311">
        <f t="shared" ca="1" si="7"/>
        <v>8</v>
      </c>
      <c r="E104" s="164">
        <f t="shared" ca="1" si="8"/>
        <v>553.40650000000005</v>
      </c>
      <c r="F104" s="164">
        <f t="shared" ca="1" si="6"/>
        <v>200</v>
      </c>
      <c r="J104">
        <f t="shared" ca="1" si="9"/>
        <v>1</v>
      </c>
    </row>
    <row r="105" spans="1:10">
      <c r="A105" s="315">
        <v>102</v>
      </c>
      <c r="B105" s="311">
        <f t="shared" ca="1" si="7"/>
        <v>8</v>
      </c>
      <c r="E105" s="164">
        <f t="shared" ca="1" si="8"/>
        <v>553.40650000000005</v>
      </c>
      <c r="F105" s="164">
        <f t="shared" ca="1" si="6"/>
        <v>200</v>
      </c>
      <c r="J105">
        <f t="shared" ca="1" si="9"/>
        <v>1</v>
      </c>
    </row>
    <row r="106" spans="1:10">
      <c r="A106" s="315">
        <v>103</v>
      </c>
      <c r="B106" s="311">
        <f t="shared" ca="1" si="7"/>
        <v>8</v>
      </c>
      <c r="E106" s="164">
        <f t="shared" ca="1" si="8"/>
        <v>553.40650000000005</v>
      </c>
      <c r="F106" s="164">
        <f t="shared" ca="1" si="6"/>
        <v>200</v>
      </c>
      <c r="J106">
        <f t="shared" ca="1" si="9"/>
        <v>1</v>
      </c>
    </row>
    <row r="107" spans="1:10">
      <c r="A107" s="315">
        <v>104</v>
      </c>
      <c r="B107" s="311">
        <f t="shared" ca="1" si="7"/>
        <v>8</v>
      </c>
      <c r="E107" s="164">
        <f t="shared" ca="1" si="8"/>
        <v>553.40650000000005</v>
      </c>
      <c r="F107" s="164">
        <f t="shared" ca="1" si="6"/>
        <v>200</v>
      </c>
      <c r="J107">
        <f t="shared" ca="1" si="9"/>
        <v>1</v>
      </c>
    </row>
    <row r="108" spans="1:10">
      <c r="A108" s="315">
        <v>105</v>
      </c>
      <c r="B108" s="311">
        <f t="shared" ca="1" si="7"/>
        <v>8</v>
      </c>
      <c r="E108" s="164">
        <f t="shared" ca="1" si="8"/>
        <v>553.40650000000005</v>
      </c>
      <c r="F108" s="164">
        <f t="shared" ca="1" si="6"/>
        <v>200</v>
      </c>
      <c r="J108">
        <f t="shared" ca="1" si="9"/>
        <v>1</v>
      </c>
    </row>
    <row r="109" spans="1:10">
      <c r="A109" s="315">
        <v>106</v>
      </c>
      <c r="B109" s="311">
        <f t="shared" ca="1" si="7"/>
        <v>8</v>
      </c>
      <c r="E109" s="164">
        <f t="shared" ca="1" si="8"/>
        <v>553.40650000000005</v>
      </c>
      <c r="F109" s="164">
        <f t="shared" ca="1" si="6"/>
        <v>200</v>
      </c>
      <c r="J109">
        <f t="shared" ca="1" si="9"/>
        <v>1</v>
      </c>
    </row>
    <row r="110" spans="1:10">
      <c r="A110" s="315">
        <v>107</v>
      </c>
      <c r="B110" s="311">
        <f t="shared" ca="1" si="7"/>
        <v>8</v>
      </c>
      <c r="E110" s="164">
        <f t="shared" ca="1" si="8"/>
        <v>553.40650000000005</v>
      </c>
      <c r="F110" s="164">
        <f t="shared" ca="1" si="6"/>
        <v>200</v>
      </c>
      <c r="J110">
        <f t="shared" ca="1" si="9"/>
        <v>1</v>
      </c>
    </row>
    <row r="111" spans="1:10">
      <c r="A111" s="315">
        <v>108</v>
      </c>
      <c r="B111" s="311">
        <f t="shared" ca="1" si="7"/>
        <v>8</v>
      </c>
      <c r="E111" s="164">
        <f t="shared" ca="1" si="8"/>
        <v>553.40650000000005</v>
      </c>
      <c r="F111" s="164">
        <f t="shared" ca="1" si="6"/>
        <v>200</v>
      </c>
      <c r="J111">
        <f t="shared" ca="1" si="9"/>
        <v>1</v>
      </c>
    </row>
    <row r="112" spans="1:10">
      <c r="A112" s="315">
        <v>109</v>
      </c>
      <c r="B112" s="311">
        <f t="shared" ca="1" si="7"/>
        <v>8</v>
      </c>
      <c r="E112" s="164">
        <f t="shared" ca="1" si="8"/>
        <v>553.40650000000005</v>
      </c>
      <c r="F112" s="164">
        <f t="shared" ca="1" si="6"/>
        <v>200</v>
      </c>
      <c r="J112">
        <f t="shared" ca="1" si="9"/>
        <v>1</v>
      </c>
    </row>
    <row r="113" spans="1:10">
      <c r="A113" s="315">
        <v>110</v>
      </c>
      <c r="B113" s="311">
        <f t="shared" ca="1" si="7"/>
        <v>8</v>
      </c>
      <c r="E113" s="164">
        <f t="shared" ca="1" si="8"/>
        <v>553.40650000000005</v>
      </c>
      <c r="F113" s="164">
        <f t="shared" ca="1" si="6"/>
        <v>200</v>
      </c>
      <c r="J113">
        <f t="shared" ca="1" si="9"/>
        <v>1</v>
      </c>
    </row>
    <row r="114" spans="1:10">
      <c r="A114" s="315">
        <v>111</v>
      </c>
      <c r="B114" s="311">
        <f t="shared" ca="1" si="7"/>
        <v>8</v>
      </c>
      <c r="E114" s="164">
        <f t="shared" ca="1" si="8"/>
        <v>553.40650000000005</v>
      </c>
      <c r="F114" s="164">
        <f t="shared" ca="1" si="6"/>
        <v>200</v>
      </c>
      <c r="J114">
        <f t="shared" ca="1" si="9"/>
        <v>1</v>
      </c>
    </row>
    <row r="115" spans="1:10">
      <c r="A115" s="315">
        <v>112</v>
      </c>
      <c r="B115" s="311">
        <f t="shared" ca="1" si="7"/>
        <v>8</v>
      </c>
      <c r="E115" s="164">
        <f t="shared" ca="1" si="8"/>
        <v>553.40650000000005</v>
      </c>
      <c r="F115" s="164">
        <f t="shared" ca="1" si="6"/>
        <v>200</v>
      </c>
      <c r="J115">
        <f t="shared" ca="1" si="9"/>
        <v>1</v>
      </c>
    </row>
    <row r="116" spans="1:10">
      <c r="A116" s="315">
        <v>113</v>
      </c>
      <c r="B116" s="311">
        <f t="shared" ca="1" si="7"/>
        <v>8</v>
      </c>
      <c r="E116" s="164">
        <f t="shared" ca="1" si="8"/>
        <v>553.40650000000005</v>
      </c>
      <c r="F116" s="164">
        <f t="shared" ca="1" si="6"/>
        <v>200</v>
      </c>
      <c r="J116">
        <f t="shared" ca="1" si="9"/>
        <v>1</v>
      </c>
    </row>
    <row r="117" spans="1:10">
      <c r="A117" s="315">
        <v>114</v>
      </c>
      <c r="B117" s="311">
        <f t="shared" ca="1" si="7"/>
        <v>8</v>
      </c>
      <c r="E117" s="164">
        <f t="shared" ca="1" si="8"/>
        <v>553.40650000000005</v>
      </c>
      <c r="F117" s="164">
        <f t="shared" ca="1" si="6"/>
        <v>200</v>
      </c>
      <c r="J117">
        <f t="shared" ca="1" si="9"/>
        <v>1</v>
      </c>
    </row>
    <row r="118" spans="1:10">
      <c r="A118" s="315">
        <v>115</v>
      </c>
      <c r="B118" s="311">
        <f t="shared" ca="1" si="7"/>
        <v>8</v>
      </c>
      <c r="E118" s="164">
        <f t="shared" ca="1" si="8"/>
        <v>553.40650000000005</v>
      </c>
      <c r="F118" s="164">
        <f t="shared" ca="1" si="6"/>
        <v>200</v>
      </c>
      <c r="J118">
        <f t="shared" ca="1" si="9"/>
        <v>1</v>
      </c>
    </row>
    <row r="119" spans="1:10">
      <c r="A119" s="315">
        <v>116</v>
      </c>
      <c r="B119" s="311">
        <f t="shared" ca="1" si="7"/>
        <v>8</v>
      </c>
      <c r="E119" s="164">
        <f t="shared" ca="1" si="8"/>
        <v>553.40650000000005</v>
      </c>
      <c r="F119" s="164">
        <f t="shared" ca="1" si="6"/>
        <v>200</v>
      </c>
      <c r="J119">
        <f t="shared" ca="1" si="9"/>
        <v>1</v>
      </c>
    </row>
    <row r="120" spans="1:10">
      <c r="A120" s="315">
        <v>117</v>
      </c>
      <c r="B120" s="311">
        <f t="shared" ca="1" si="7"/>
        <v>8</v>
      </c>
      <c r="E120" s="164">
        <f t="shared" ca="1" si="8"/>
        <v>553.40650000000005</v>
      </c>
      <c r="F120" s="164">
        <f t="shared" ca="1" si="6"/>
        <v>200</v>
      </c>
      <c r="J120">
        <f t="shared" ca="1" si="9"/>
        <v>1</v>
      </c>
    </row>
    <row r="121" spans="1:10">
      <c r="A121" s="315">
        <v>118</v>
      </c>
      <c r="B121" s="311">
        <f t="shared" ca="1" si="7"/>
        <v>8</v>
      </c>
      <c r="E121" s="164">
        <f t="shared" ca="1" si="8"/>
        <v>553.40650000000005</v>
      </c>
      <c r="F121" s="164">
        <f t="shared" ca="1" si="6"/>
        <v>200</v>
      </c>
      <c r="J121">
        <f t="shared" ca="1" si="9"/>
        <v>1</v>
      </c>
    </row>
    <row r="122" spans="1:10">
      <c r="A122" s="315">
        <v>119</v>
      </c>
      <c r="B122" s="311">
        <f t="shared" ca="1" si="7"/>
        <v>8</v>
      </c>
      <c r="E122" s="164">
        <f t="shared" ca="1" si="8"/>
        <v>553.40650000000005</v>
      </c>
      <c r="F122" s="164">
        <f t="shared" ca="1" si="6"/>
        <v>200</v>
      </c>
      <c r="J122">
        <f t="shared" ca="1" si="9"/>
        <v>1</v>
      </c>
    </row>
    <row r="123" spans="1:10">
      <c r="A123" s="315">
        <v>120</v>
      </c>
      <c r="B123" s="311">
        <f t="shared" ca="1" si="7"/>
        <v>8</v>
      </c>
      <c r="E123" s="164">
        <f t="shared" ca="1" si="8"/>
        <v>553.40650000000005</v>
      </c>
      <c r="F123" s="164">
        <f t="shared" ca="1" si="6"/>
        <v>200</v>
      </c>
      <c r="J123">
        <f t="shared" ca="1" si="9"/>
        <v>1</v>
      </c>
    </row>
    <row r="124" spans="1:10">
      <c r="A124" s="315">
        <v>121</v>
      </c>
      <c r="B124" s="311">
        <f t="shared" ca="1" si="7"/>
        <v>8</v>
      </c>
      <c r="E124" s="164">
        <f t="shared" ca="1" si="8"/>
        <v>553.40650000000005</v>
      </c>
      <c r="F124" s="164">
        <f t="shared" ca="1" si="6"/>
        <v>200</v>
      </c>
      <c r="J124">
        <f t="shared" ca="1" si="9"/>
        <v>1</v>
      </c>
    </row>
    <row r="125" spans="1:10">
      <c r="A125" s="315">
        <v>122</v>
      </c>
      <c r="B125" s="311">
        <f t="shared" ca="1" si="7"/>
        <v>8</v>
      </c>
      <c r="E125" s="164">
        <f t="shared" ca="1" si="8"/>
        <v>553.40650000000005</v>
      </c>
      <c r="F125" s="164">
        <f t="shared" ca="1" si="6"/>
        <v>200</v>
      </c>
      <c r="J125">
        <f t="shared" ca="1" si="9"/>
        <v>1</v>
      </c>
    </row>
    <row r="126" spans="1:10">
      <c r="A126" s="315">
        <v>123</v>
      </c>
      <c r="B126" s="311">
        <f t="shared" ca="1" si="7"/>
        <v>8</v>
      </c>
      <c r="E126" s="164">
        <f t="shared" ca="1" si="8"/>
        <v>553.40650000000005</v>
      </c>
      <c r="F126" s="164">
        <f t="shared" ca="1" si="6"/>
        <v>200</v>
      </c>
      <c r="J126">
        <f t="shared" ca="1" si="9"/>
        <v>1</v>
      </c>
    </row>
    <row r="127" spans="1:10">
      <c r="A127" s="315">
        <v>124</v>
      </c>
      <c r="B127" s="311">
        <f t="shared" ca="1" si="7"/>
        <v>8</v>
      </c>
      <c r="E127" s="164">
        <f t="shared" ca="1" si="8"/>
        <v>553.40650000000005</v>
      </c>
      <c r="F127" s="164">
        <f t="shared" ca="1" si="6"/>
        <v>200</v>
      </c>
      <c r="J127">
        <f t="shared" ca="1" si="9"/>
        <v>1</v>
      </c>
    </row>
    <row r="128" spans="1:10">
      <c r="A128" s="315">
        <v>125</v>
      </c>
      <c r="B128" s="311">
        <f t="shared" ca="1" si="7"/>
        <v>8</v>
      </c>
      <c r="E128" s="164">
        <f t="shared" ca="1" si="8"/>
        <v>553.40650000000005</v>
      </c>
      <c r="F128" s="164">
        <f t="shared" ca="1" si="6"/>
        <v>200</v>
      </c>
      <c r="J128">
        <f t="shared" ca="1" si="9"/>
        <v>1</v>
      </c>
    </row>
    <row r="129" spans="1:10">
      <c r="A129" s="315">
        <v>126</v>
      </c>
      <c r="B129" s="311">
        <f t="shared" ca="1" si="7"/>
        <v>8</v>
      </c>
      <c r="E129" s="164">
        <f t="shared" ca="1" si="8"/>
        <v>553.40650000000005</v>
      </c>
      <c r="F129" s="164">
        <f t="shared" ca="1" si="6"/>
        <v>200</v>
      </c>
      <c r="J129">
        <f t="shared" ca="1" si="9"/>
        <v>1</v>
      </c>
    </row>
    <row r="130" spans="1:10">
      <c r="A130" s="315">
        <v>127</v>
      </c>
      <c r="B130" s="311">
        <f t="shared" ca="1" si="7"/>
        <v>8</v>
      </c>
      <c r="E130" s="164">
        <f t="shared" ca="1" si="8"/>
        <v>553.40650000000005</v>
      </c>
      <c r="F130" s="164">
        <f t="shared" ca="1" si="6"/>
        <v>200</v>
      </c>
      <c r="J130">
        <f t="shared" ca="1" si="9"/>
        <v>1</v>
      </c>
    </row>
    <row r="131" spans="1:10">
      <c r="A131" s="315">
        <v>128</v>
      </c>
      <c r="B131" s="311">
        <f t="shared" ca="1" si="7"/>
        <v>8</v>
      </c>
      <c r="E131" s="164">
        <f t="shared" ca="1" si="8"/>
        <v>553.40650000000005</v>
      </c>
      <c r="F131" s="164">
        <f t="shared" ca="1" si="6"/>
        <v>200</v>
      </c>
      <c r="J131">
        <f t="shared" ca="1" si="9"/>
        <v>1</v>
      </c>
    </row>
    <row r="132" spans="1:10">
      <c r="A132" s="315">
        <v>129</v>
      </c>
      <c r="B132" s="311">
        <f t="shared" ca="1" si="7"/>
        <v>8</v>
      </c>
      <c r="E132" s="164">
        <f t="shared" ca="1" si="8"/>
        <v>553.40650000000005</v>
      </c>
      <c r="F132" s="164">
        <f t="shared" ca="1" si="6"/>
        <v>200</v>
      </c>
      <c r="J132">
        <f t="shared" ca="1" si="9"/>
        <v>1</v>
      </c>
    </row>
    <row r="133" spans="1:10">
      <c r="A133" s="315">
        <v>130</v>
      </c>
      <c r="B133" s="311">
        <f t="shared" ca="1" si="7"/>
        <v>8</v>
      </c>
      <c r="E133" s="164">
        <f t="shared" ca="1" si="8"/>
        <v>553.40650000000005</v>
      </c>
      <c r="F133" s="164">
        <f t="shared" ref="F133:F196" ca="1" si="10">IF(A133&lt;$I$3,$L$2,0)</f>
        <v>200</v>
      </c>
      <c r="J133">
        <f t="shared" ca="1" si="9"/>
        <v>1</v>
      </c>
    </row>
    <row r="134" spans="1:10">
      <c r="A134" s="315">
        <v>131</v>
      </c>
      <c r="B134" s="311">
        <f t="shared" ref="B134:B197" ca="1" si="11">J134*($H$3-C134+D134)</f>
        <v>8</v>
      </c>
      <c r="E134" s="164">
        <f t="shared" ca="1" si="8"/>
        <v>553.40650000000005</v>
      </c>
      <c r="F134" s="164">
        <f t="shared" ca="1" si="10"/>
        <v>200</v>
      </c>
      <c r="J134">
        <f t="shared" ca="1" si="9"/>
        <v>1</v>
      </c>
    </row>
    <row r="135" spans="1:10">
      <c r="A135" s="315">
        <v>132</v>
      </c>
      <c r="B135" s="311">
        <f t="shared" ca="1" si="11"/>
        <v>8</v>
      </c>
      <c r="E135" s="164">
        <f t="shared" ca="1" si="8"/>
        <v>553.40650000000005</v>
      </c>
      <c r="F135" s="164">
        <f t="shared" ca="1" si="10"/>
        <v>200</v>
      </c>
      <c r="J135">
        <f t="shared" ca="1" si="9"/>
        <v>1</v>
      </c>
    </row>
    <row r="136" spans="1:10">
      <c r="A136" s="315">
        <v>133</v>
      </c>
      <c r="B136" s="311">
        <f t="shared" ca="1" si="11"/>
        <v>8</v>
      </c>
      <c r="E136" s="164">
        <f t="shared" ca="1" si="8"/>
        <v>553.40650000000005</v>
      </c>
      <c r="F136" s="164">
        <f t="shared" ca="1" si="10"/>
        <v>200</v>
      </c>
      <c r="J136">
        <f t="shared" ca="1" si="9"/>
        <v>1</v>
      </c>
    </row>
    <row r="137" spans="1:10">
      <c r="A137" s="315">
        <v>134</v>
      </c>
      <c r="B137" s="311">
        <f t="shared" ca="1" si="11"/>
        <v>8</v>
      </c>
      <c r="E137" s="164">
        <f t="shared" ca="1" si="8"/>
        <v>553.40650000000005</v>
      </c>
      <c r="F137" s="164">
        <f t="shared" ca="1" si="10"/>
        <v>200</v>
      </c>
      <c r="J137">
        <f t="shared" ca="1" si="9"/>
        <v>1</v>
      </c>
    </row>
    <row r="138" spans="1:10">
      <c r="A138" s="315">
        <v>135</v>
      </c>
      <c r="B138" s="311">
        <f t="shared" ca="1" si="11"/>
        <v>8</v>
      </c>
      <c r="E138" s="164">
        <f t="shared" ca="1" si="8"/>
        <v>553.40650000000005</v>
      </c>
      <c r="F138" s="164">
        <f t="shared" ca="1" si="10"/>
        <v>200</v>
      </c>
      <c r="J138">
        <f t="shared" ca="1" si="9"/>
        <v>1</v>
      </c>
    </row>
    <row r="139" spans="1:10">
      <c r="A139" s="315">
        <v>136</v>
      </c>
      <c r="B139" s="311">
        <f t="shared" ca="1" si="11"/>
        <v>8</v>
      </c>
      <c r="E139" s="164">
        <f t="shared" ca="1" si="8"/>
        <v>553.40650000000005</v>
      </c>
      <c r="F139" s="164">
        <f t="shared" ca="1" si="10"/>
        <v>200</v>
      </c>
      <c r="J139">
        <f t="shared" ca="1" si="9"/>
        <v>1</v>
      </c>
    </row>
    <row r="140" spans="1:10">
      <c r="A140" s="315">
        <v>137</v>
      </c>
      <c r="B140" s="311">
        <f t="shared" ca="1" si="11"/>
        <v>8</v>
      </c>
      <c r="E140" s="164">
        <f t="shared" ca="1" si="8"/>
        <v>553.40650000000005</v>
      </c>
      <c r="F140" s="164">
        <f t="shared" ca="1" si="10"/>
        <v>200</v>
      </c>
      <c r="J140">
        <f t="shared" ca="1" si="9"/>
        <v>1</v>
      </c>
    </row>
    <row r="141" spans="1:10">
      <c r="A141" s="315">
        <v>138</v>
      </c>
      <c r="B141" s="311">
        <f t="shared" ca="1" si="11"/>
        <v>8</v>
      </c>
      <c r="E141" s="164">
        <f t="shared" ca="1" si="8"/>
        <v>553.40650000000005</v>
      </c>
      <c r="F141" s="164">
        <f t="shared" ca="1" si="10"/>
        <v>200</v>
      </c>
      <c r="J141">
        <f t="shared" ca="1" si="9"/>
        <v>1</v>
      </c>
    </row>
    <row r="142" spans="1:10">
      <c r="A142" s="315">
        <v>139</v>
      </c>
      <c r="B142" s="311">
        <f t="shared" ca="1" si="11"/>
        <v>8</v>
      </c>
      <c r="E142" s="164">
        <f t="shared" ca="1" si="8"/>
        <v>553.40650000000005</v>
      </c>
      <c r="F142" s="164">
        <f t="shared" ca="1" si="10"/>
        <v>200</v>
      </c>
      <c r="J142">
        <f t="shared" ca="1" si="9"/>
        <v>1</v>
      </c>
    </row>
    <row r="143" spans="1:10">
      <c r="A143" s="315">
        <v>140</v>
      </c>
      <c r="B143" s="311">
        <f t="shared" ca="1" si="11"/>
        <v>8</v>
      </c>
      <c r="E143" s="164">
        <f t="shared" ca="1" si="8"/>
        <v>553.40650000000005</v>
      </c>
      <c r="F143" s="164">
        <f t="shared" ca="1" si="10"/>
        <v>200</v>
      </c>
      <c r="J143">
        <f t="shared" ca="1" si="9"/>
        <v>1</v>
      </c>
    </row>
    <row r="144" spans="1:10">
      <c r="A144" s="315">
        <v>141</v>
      </c>
      <c r="B144" s="311">
        <f t="shared" ca="1" si="11"/>
        <v>8</v>
      </c>
      <c r="E144" s="164">
        <f t="shared" ca="1" si="8"/>
        <v>553.40650000000005</v>
      </c>
      <c r="F144" s="164">
        <f t="shared" ca="1" si="10"/>
        <v>200</v>
      </c>
      <c r="J144">
        <f t="shared" ca="1" si="9"/>
        <v>1</v>
      </c>
    </row>
    <row r="145" spans="1:10">
      <c r="A145" s="315">
        <v>142</v>
      </c>
      <c r="B145" s="311">
        <f t="shared" ca="1" si="11"/>
        <v>8</v>
      </c>
      <c r="E145" s="164">
        <f t="shared" ca="1" si="8"/>
        <v>553.40650000000005</v>
      </c>
      <c r="F145" s="164">
        <f t="shared" ca="1" si="10"/>
        <v>200</v>
      </c>
      <c r="J145">
        <f t="shared" ca="1" si="9"/>
        <v>1</v>
      </c>
    </row>
    <row r="146" spans="1:10">
      <c r="A146" s="315">
        <v>143</v>
      </c>
      <c r="B146" s="311">
        <f t="shared" ca="1" si="11"/>
        <v>0</v>
      </c>
      <c r="E146" s="164">
        <f t="shared" ca="1" si="8"/>
        <v>20</v>
      </c>
      <c r="F146" s="164">
        <f t="shared" ca="1" si="10"/>
        <v>0</v>
      </c>
      <c r="J146">
        <f t="shared" ca="1" si="9"/>
        <v>0</v>
      </c>
    </row>
    <row r="147" spans="1:10">
      <c r="A147" s="315">
        <v>144</v>
      </c>
      <c r="B147" s="311">
        <f t="shared" ca="1" si="11"/>
        <v>0</v>
      </c>
      <c r="E147" s="164">
        <f t="shared" ca="1" si="8"/>
        <v>20</v>
      </c>
      <c r="F147" s="164">
        <f t="shared" ca="1" si="10"/>
        <v>0</v>
      </c>
      <c r="J147">
        <f t="shared" ca="1" si="9"/>
        <v>0</v>
      </c>
    </row>
    <row r="148" spans="1:10">
      <c r="A148" s="315">
        <v>145</v>
      </c>
      <c r="B148" s="311">
        <f t="shared" ca="1" si="11"/>
        <v>0</v>
      </c>
      <c r="E148" s="164">
        <f t="shared" ca="1" si="8"/>
        <v>20</v>
      </c>
      <c r="F148" s="164">
        <f t="shared" ca="1" si="10"/>
        <v>0</v>
      </c>
      <c r="J148">
        <f t="shared" ca="1" si="9"/>
        <v>0</v>
      </c>
    </row>
    <row r="149" spans="1:10">
      <c r="A149" s="315">
        <v>146</v>
      </c>
      <c r="B149" s="311">
        <f t="shared" ca="1" si="11"/>
        <v>0</v>
      </c>
      <c r="E149" s="164">
        <f t="shared" ca="1" si="8"/>
        <v>20</v>
      </c>
      <c r="F149" s="164">
        <f t="shared" ca="1" si="10"/>
        <v>0</v>
      </c>
      <c r="J149">
        <f t="shared" ca="1" si="9"/>
        <v>0</v>
      </c>
    </row>
    <row r="150" spans="1:10">
      <c r="A150" s="315">
        <v>147</v>
      </c>
      <c r="B150" s="311">
        <f t="shared" ca="1" si="11"/>
        <v>0</v>
      </c>
      <c r="E150" s="164">
        <f t="shared" ca="1" si="8"/>
        <v>20</v>
      </c>
      <c r="F150" s="164">
        <f t="shared" ca="1" si="10"/>
        <v>0</v>
      </c>
      <c r="J150">
        <f t="shared" ca="1" si="9"/>
        <v>0</v>
      </c>
    </row>
    <row r="151" spans="1:10">
      <c r="A151" s="315">
        <v>148</v>
      </c>
      <c r="B151" s="311">
        <f t="shared" ca="1" si="11"/>
        <v>0</v>
      </c>
      <c r="E151" s="164">
        <f t="shared" ca="1" si="8"/>
        <v>20</v>
      </c>
      <c r="F151" s="164">
        <f t="shared" ca="1" si="10"/>
        <v>0</v>
      </c>
      <c r="J151">
        <f t="shared" ca="1" si="9"/>
        <v>0</v>
      </c>
    </row>
    <row r="152" spans="1:10">
      <c r="A152" s="315">
        <v>149</v>
      </c>
      <c r="B152" s="311">
        <f t="shared" ca="1" si="11"/>
        <v>0</v>
      </c>
      <c r="E152" s="164">
        <f t="shared" ca="1" si="8"/>
        <v>20</v>
      </c>
      <c r="F152" s="164">
        <f t="shared" ca="1" si="10"/>
        <v>0</v>
      </c>
      <c r="J152">
        <f t="shared" ca="1" si="9"/>
        <v>0</v>
      </c>
    </row>
    <row r="153" spans="1:10">
      <c r="A153" s="315">
        <v>150</v>
      </c>
      <c r="B153" s="311">
        <f t="shared" ca="1" si="11"/>
        <v>0</v>
      </c>
      <c r="E153" s="164">
        <f t="shared" ca="1" si="8"/>
        <v>20</v>
      </c>
      <c r="F153" s="164">
        <f t="shared" ca="1" si="10"/>
        <v>0</v>
      </c>
      <c r="J153">
        <f t="shared" ca="1" si="9"/>
        <v>0</v>
      </c>
    </row>
    <row r="154" spans="1:10">
      <c r="A154" s="315">
        <v>151</v>
      </c>
      <c r="B154" s="311">
        <f t="shared" ca="1" si="11"/>
        <v>0</v>
      </c>
      <c r="E154" s="164">
        <f t="shared" ref="E154:E217" ca="1" si="12">J154*(B154*$L$1+F154)-(J154-1)*$L$3</f>
        <v>20</v>
      </c>
      <c r="F154" s="164">
        <f t="shared" ca="1" si="10"/>
        <v>0</v>
      </c>
      <c r="J154">
        <f t="shared" ca="1" si="9"/>
        <v>0</v>
      </c>
    </row>
    <row r="155" spans="1:10">
      <c r="A155" s="315">
        <v>152</v>
      </c>
      <c r="B155" s="311">
        <f t="shared" ca="1" si="11"/>
        <v>0</v>
      </c>
      <c r="E155" s="164">
        <f t="shared" ca="1" si="12"/>
        <v>20</v>
      </c>
      <c r="F155" s="164">
        <f t="shared" ca="1" si="10"/>
        <v>0</v>
      </c>
      <c r="J155">
        <f t="shared" ref="J155:J218" ca="1" si="13">IF($I$3&lt;=A155,0,1)</f>
        <v>0</v>
      </c>
    </row>
    <row r="156" spans="1:10">
      <c r="A156" s="315">
        <v>153</v>
      </c>
      <c r="B156" s="311">
        <f t="shared" ca="1" si="11"/>
        <v>0</v>
      </c>
      <c r="E156" s="164">
        <f t="shared" ca="1" si="12"/>
        <v>20</v>
      </c>
      <c r="F156" s="164">
        <f t="shared" ca="1" si="10"/>
        <v>0</v>
      </c>
      <c r="J156">
        <f t="shared" ca="1" si="13"/>
        <v>0</v>
      </c>
    </row>
    <row r="157" spans="1:10">
      <c r="A157" s="315">
        <v>154</v>
      </c>
      <c r="B157" s="311">
        <f t="shared" ca="1" si="11"/>
        <v>0</v>
      </c>
      <c r="E157" s="164">
        <f t="shared" ca="1" si="12"/>
        <v>20</v>
      </c>
      <c r="F157" s="164">
        <f t="shared" ca="1" si="10"/>
        <v>0</v>
      </c>
      <c r="J157">
        <f t="shared" ca="1" si="13"/>
        <v>0</v>
      </c>
    </row>
    <row r="158" spans="1:10">
      <c r="A158" s="315">
        <v>155</v>
      </c>
      <c r="B158" s="311">
        <f t="shared" ca="1" si="11"/>
        <v>0</v>
      </c>
      <c r="E158" s="164">
        <f t="shared" ca="1" si="12"/>
        <v>20</v>
      </c>
      <c r="F158" s="164">
        <f t="shared" ca="1" si="10"/>
        <v>0</v>
      </c>
      <c r="J158">
        <f t="shared" ca="1" si="13"/>
        <v>0</v>
      </c>
    </row>
    <row r="159" spans="1:10">
      <c r="A159" s="315">
        <v>156</v>
      </c>
      <c r="B159" s="311">
        <f t="shared" ca="1" si="11"/>
        <v>0</v>
      </c>
      <c r="E159" s="164">
        <f t="shared" ca="1" si="12"/>
        <v>20</v>
      </c>
      <c r="F159" s="164">
        <f t="shared" ca="1" si="10"/>
        <v>0</v>
      </c>
      <c r="J159">
        <f t="shared" ca="1" si="13"/>
        <v>0</v>
      </c>
    </row>
    <row r="160" spans="1:10">
      <c r="A160" s="315">
        <v>157</v>
      </c>
      <c r="B160" s="311">
        <f t="shared" ca="1" si="11"/>
        <v>0</v>
      </c>
      <c r="E160" s="164">
        <f t="shared" ca="1" si="12"/>
        <v>20</v>
      </c>
      <c r="F160" s="164">
        <f t="shared" ca="1" si="10"/>
        <v>0</v>
      </c>
      <c r="J160">
        <f t="shared" ca="1" si="13"/>
        <v>0</v>
      </c>
    </row>
    <row r="161" spans="1:10">
      <c r="A161" s="315">
        <v>158</v>
      </c>
      <c r="B161" s="311">
        <f t="shared" ca="1" si="11"/>
        <v>0</v>
      </c>
      <c r="E161" s="164">
        <f t="shared" ca="1" si="12"/>
        <v>20</v>
      </c>
      <c r="F161" s="164">
        <f t="shared" ca="1" si="10"/>
        <v>0</v>
      </c>
      <c r="J161">
        <f t="shared" ca="1" si="13"/>
        <v>0</v>
      </c>
    </row>
    <row r="162" spans="1:10">
      <c r="A162" s="315">
        <v>159</v>
      </c>
      <c r="B162" s="311">
        <f t="shared" ca="1" si="11"/>
        <v>0</v>
      </c>
      <c r="E162" s="164">
        <f t="shared" ca="1" si="12"/>
        <v>20</v>
      </c>
      <c r="F162" s="164">
        <f t="shared" ca="1" si="10"/>
        <v>0</v>
      </c>
      <c r="J162">
        <f t="shared" ca="1" si="13"/>
        <v>0</v>
      </c>
    </row>
    <row r="163" spans="1:10">
      <c r="A163" s="315">
        <v>160</v>
      </c>
      <c r="B163" s="311">
        <f t="shared" ca="1" si="11"/>
        <v>0</v>
      </c>
      <c r="E163" s="164">
        <f t="shared" ca="1" si="12"/>
        <v>20</v>
      </c>
      <c r="F163" s="164">
        <f t="shared" ca="1" si="10"/>
        <v>0</v>
      </c>
      <c r="J163">
        <f t="shared" ca="1" si="13"/>
        <v>0</v>
      </c>
    </row>
    <row r="164" spans="1:10">
      <c r="A164" s="315">
        <v>161</v>
      </c>
      <c r="B164" s="311">
        <f t="shared" ca="1" si="11"/>
        <v>0</v>
      </c>
      <c r="E164" s="164">
        <f t="shared" ca="1" si="12"/>
        <v>20</v>
      </c>
      <c r="F164" s="164">
        <f t="shared" ca="1" si="10"/>
        <v>0</v>
      </c>
      <c r="J164">
        <f t="shared" ca="1" si="13"/>
        <v>0</v>
      </c>
    </row>
    <row r="165" spans="1:10">
      <c r="A165" s="315">
        <v>162</v>
      </c>
      <c r="B165" s="311">
        <f t="shared" ca="1" si="11"/>
        <v>0</v>
      </c>
      <c r="E165" s="164">
        <f t="shared" ca="1" si="12"/>
        <v>20</v>
      </c>
      <c r="F165" s="164">
        <f t="shared" ca="1" si="10"/>
        <v>0</v>
      </c>
      <c r="J165">
        <f t="shared" ca="1" si="13"/>
        <v>0</v>
      </c>
    </row>
    <row r="166" spans="1:10">
      <c r="A166" s="315">
        <v>163</v>
      </c>
      <c r="B166" s="311">
        <f t="shared" ca="1" si="11"/>
        <v>0</v>
      </c>
      <c r="E166" s="164">
        <f t="shared" ca="1" si="12"/>
        <v>20</v>
      </c>
      <c r="F166" s="164">
        <f t="shared" ca="1" si="10"/>
        <v>0</v>
      </c>
      <c r="J166">
        <f t="shared" ca="1" si="13"/>
        <v>0</v>
      </c>
    </row>
    <row r="167" spans="1:10">
      <c r="A167" s="315">
        <v>164</v>
      </c>
      <c r="B167" s="311">
        <f t="shared" ca="1" si="11"/>
        <v>0</v>
      </c>
      <c r="E167" s="164">
        <f t="shared" ca="1" si="12"/>
        <v>20</v>
      </c>
      <c r="F167" s="164">
        <f t="shared" ca="1" si="10"/>
        <v>0</v>
      </c>
      <c r="J167">
        <f t="shared" ca="1" si="13"/>
        <v>0</v>
      </c>
    </row>
    <row r="168" spans="1:10">
      <c r="A168" s="315">
        <v>165</v>
      </c>
      <c r="B168" s="311">
        <f t="shared" ca="1" si="11"/>
        <v>0</v>
      </c>
      <c r="E168" s="164">
        <f t="shared" ca="1" si="12"/>
        <v>20</v>
      </c>
      <c r="F168" s="164">
        <f t="shared" ca="1" si="10"/>
        <v>0</v>
      </c>
      <c r="J168">
        <f t="shared" ca="1" si="13"/>
        <v>0</v>
      </c>
    </row>
    <row r="169" spans="1:10">
      <c r="A169" s="315">
        <v>166</v>
      </c>
      <c r="B169" s="311">
        <f t="shared" ca="1" si="11"/>
        <v>0</v>
      </c>
      <c r="E169" s="164">
        <f t="shared" ca="1" si="12"/>
        <v>20</v>
      </c>
      <c r="F169" s="164">
        <f t="shared" ca="1" si="10"/>
        <v>0</v>
      </c>
      <c r="J169">
        <f t="shared" ca="1" si="13"/>
        <v>0</v>
      </c>
    </row>
    <row r="170" spans="1:10">
      <c r="A170" s="315">
        <v>167</v>
      </c>
      <c r="B170" s="311">
        <f t="shared" ca="1" si="11"/>
        <v>0</v>
      </c>
      <c r="E170" s="164">
        <f t="shared" ca="1" si="12"/>
        <v>20</v>
      </c>
      <c r="F170" s="164">
        <f t="shared" ca="1" si="10"/>
        <v>0</v>
      </c>
      <c r="J170">
        <f t="shared" ca="1" si="13"/>
        <v>0</v>
      </c>
    </row>
    <row r="171" spans="1:10">
      <c r="A171" s="315">
        <v>168</v>
      </c>
      <c r="B171" s="311">
        <f t="shared" ca="1" si="11"/>
        <v>0</v>
      </c>
      <c r="E171" s="164">
        <f t="shared" ca="1" si="12"/>
        <v>20</v>
      </c>
      <c r="F171" s="164">
        <f t="shared" ca="1" si="10"/>
        <v>0</v>
      </c>
      <c r="J171">
        <f t="shared" ca="1" si="13"/>
        <v>0</v>
      </c>
    </row>
    <row r="172" spans="1:10">
      <c r="A172" s="315">
        <v>169</v>
      </c>
      <c r="B172" s="311">
        <f t="shared" ca="1" si="11"/>
        <v>0</v>
      </c>
      <c r="E172" s="164">
        <f t="shared" ca="1" si="12"/>
        <v>20</v>
      </c>
      <c r="F172" s="164">
        <f t="shared" ca="1" si="10"/>
        <v>0</v>
      </c>
      <c r="J172">
        <f t="shared" ca="1" si="13"/>
        <v>0</v>
      </c>
    </row>
    <row r="173" spans="1:10">
      <c r="A173" s="315">
        <v>170</v>
      </c>
      <c r="B173" s="311">
        <f t="shared" ca="1" si="11"/>
        <v>0</v>
      </c>
      <c r="E173" s="164">
        <f t="shared" ca="1" si="12"/>
        <v>20</v>
      </c>
      <c r="F173" s="164">
        <f t="shared" ca="1" si="10"/>
        <v>0</v>
      </c>
      <c r="J173">
        <f t="shared" ca="1" si="13"/>
        <v>0</v>
      </c>
    </row>
    <row r="174" spans="1:10">
      <c r="A174" s="315">
        <v>171</v>
      </c>
      <c r="B174" s="311">
        <f t="shared" ca="1" si="11"/>
        <v>0</v>
      </c>
      <c r="E174" s="164">
        <f t="shared" ca="1" si="12"/>
        <v>20</v>
      </c>
      <c r="F174" s="164">
        <f t="shared" ca="1" si="10"/>
        <v>0</v>
      </c>
      <c r="J174">
        <f t="shared" ca="1" si="13"/>
        <v>0</v>
      </c>
    </row>
    <row r="175" spans="1:10">
      <c r="A175" s="315">
        <v>172</v>
      </c>
      <c r="B175" s="311">
        <f t="shared" ca="1" si="11"/>
        <v>0</v>
      </c>
      <c r="E175" s="164">
        <f t="shared" ca="1" si="12"/>
        <v>20</v>
      </c>
      <c r="F175" s="164">
        <f t="shared" ca="1" si="10"/>
        <v>0</v>
      </c>
      <c r="J175">
        <f t="shared" ca="1" si="13"/>
        <v>0</v>
      </c>
    </row>
    <row r="176" spans="1:10">
      <c r="A176" s="315">
        <v>173</v>
      </c>
      <c r="B176" s="311">
        <f t="shared" ca="1" si="11"/>
        <v>0</v>
      </c>
      <c r="E176" s="164">
        <f t="shared" ca="1" si="12"/>
        <v>20</v>
      </c>
      <c r="F176" s="164">
        <f t="shared" ca="1" si="10"/>
        <v>0</v>
      </c>
      <c r="J176">
        <f t="shared" ca="1" si="13"/>
        <v>0</v>
      </c>
    </row>
    <row r="177" spans="1:10">
      <c r="A177" s="315">
        <v>174</v>
      </c>
      <c r="B177" s="311">
        <f t="shared" ca="1" si="11"/>
        <v>0</v>
      </c>
      <c r="E177" s="164">
        <f t="shared" ca="1" si="12"/>
        <v>20</v>
      </c>
      <c r="F177" s="164">
        <f t="shared" ca="1" si="10"/>
        <v>0</v>
      </c>
      <c r="J177">
        <f t="shared" ca="1" si="13"/>
        <v>0</v>
      </c>
    </row>
    <row r="178" spans="1:10">
      <c r="A178" s="315">
        <v>175</v>
      </c>
      <c r="B178" s="311">
        <f t="shared" ca="1" si="11"/>
        <v>0</v>
      </c>
      <c r="E178" s="164">
        <f t="shared" ca="1" si="12"/>
        <v>20</v>
      </c>
      <c r="F178" s="164">
        <f t="shared" ca="1" si="10"/>
        <v>0</v>
      </c>
      <c r="J178">
        <f t="shared" ca="1" si="13"/>
        <v>0</v>
      </c>
    </row>
    <row r="179" spans="1:10">
      <c r="A179" s="315">
        <v>176</v>
      </c>
      <c r="B179" s="311">
        <f t="shared" ca="1" si="11"/>
        <v>0</v>
      </c>
      <c r="E179" s="164">
        <f t="shared" ca="1" si="12"/>
        <v>20</v>
      </c>
      <c r="F179" s="164">
        <f t="shared" ca="1" si="10"/>
        <v>0</v>
      </c>
      <c r="J179">
        <f t="shared" ca="1" si="13"/>
        <v>0</v>
      </c>
    </row>
    <row r="180" spans="1:10">
      <c r="A180" s="315">
        <v>177</v>
      </c>
      <c r="B180" s="311">
        <f t="shared" ca="1" si="11"/>
        <v>0</v>
      </c>
      <c r="E180" s="164">
        <f t="shared" ca="1" si="12"/>
        <v>20</v>
      </c>
      <c r="F180" s="164">
        <f t="shared" ca="1" si="10"/>
        <v>0</v>
      </c>
      <c r="J180">
        <f t="shared" ca="1" si="13"/>
        <v>0</v>
      </c>
    </row>
    <row r="181" spans="1:10">
      <c r="A181" s="315">
        <v>178</v>
      </c>
      <c r="B181" s="311">
        <f t="shared" ca="1" si="11"/>
        <v>0</v>
      </c>
      <c r="E181" s="164">
        <f t="shared" ca="1" si="12"/>
        <v>20</v>
      </c>
      <c r="F181" s="164">
        <f t="shared" ca="1" si="10"/>
        <v>0</v>
      </c>
      <c r="J181">
        <f t="shared" ca="1" si="13"/>
        <v>0</v>
      </c>
    </row>
    <row r="182" spans="1:10">
      <c r="A182" s="315">
        <v>179</v>
      </c>
      <c r="B182" s="311">
        <f t="shared" ca="1" si="11"/>
        <v>0</v>
      </c>
      <c r="E182" s="164">
        <f t="shared" ca="1" si="12"/>
        <v>20</v>
      </c>
      <c r="F182" s="164">
        <f t="shared" ca="1" si="10"/>
        <v>0</v>
      </c>
      <c r="J182">
        <f t="shared" ca="1" si="13"/>
        <v>0</v>
      </c>
    </row>
    <row r="183" spans="1:10">
      <c r="A183" s="315">
        <v>180</v>
      </c>
      <c r="B183" s="311">
        <f t="shared" ca="1" si="11"/>
        <v>0</v>
      </c>
      <c r="E183" s="164">
        <f t="shared" ca="1" si="12"/>
        <v>20</v>
      </c>
      <c r="F183" s="164">
        <f t="shared" ca="1" si="10"/>
        <v>0</v>
      </c>
      <c r="J183">
        <f t="shared" ca="1" si="13"/>
        <v>0</v>
      </c>
    </row>
    <row r="184" spans="1:10">
      <c r="A184" s="315">
        <v>181</v>
      </c>
      <c r="B184" s="311">
        <f t="shared" ca="1" si="11"/>
        <v>0</v>
      </c>
      <c r="E184" s="164">
        <f t="shared" ca="1" si="12"/>
        <v>20</v>
      </c>
      <c r="F184" s="164">
        <f t="shared" ca="1" si="10"/>
        <v>0</v>
      </c>
      <c r="J184">
        <f t="shared" ca="1" si="13"/>
        <v>0</v>
      </c>
    </row>
    <row r="185" spans="1:10">
      <c r="A185" s="315">
        <v>182</v>
      </c>
      <c r="B185" s="311">
        <f t="shared" ca="1" si="11"/>
        <v>0</v>
      </c>
      <c r="E185" s="164">
        <f t="shared" ca="1" si="12"/>
        <v>20</v>
      </c>
      <c r="F185" s="164">
        <f t="shared" ca="1" si="10"/>
        <v>0</v>
      </c>
      <c r="J185">
        <f t="shared" ca="1" si="13"/>
        <v>0</v>
      </c>
    </row>
    <row r="186" spans="1:10">
      <c r="A186" s="315">
        <v>183</v>
      </c>
      <c r="B186" s="311">
        <f t="shared" ca="1" si="11"/>
        <v>0</v>
      </c>
      <c r="E186" s="164">
        <f t="shared" ca="1" si="12"/>
        <v>20</v>
      </c>
      <c r="F186" s="164">
        <f t="shared" ca="1" si="10"/>
        <v>0</v>
      </c>
      <c r="J186">
        <f t="shared" ca="1" si="13"/>
        <v>0</v>
      </c>
    </row>
    <row r="187" spans="1:10">
      <c r="A187" s="315">
        <v>184</v>
      </c>
      <c r="B187" s="311">
        <f t="shared" ca="1" si="11"/>
        <v>0</v>
      </c>
      <c r="E187" s="164">
        <f t="shared" ca="1" si="12"/>
        <v>20</v>
      </c>
      <c r="F187" s="164">
        <f t="shared" ca="1" si="10"/>
        <v>0</v>
      </c>
      <c r="J187">
        <f t="shared" ca="1" si="13"/>
        <v>0</v>
      </c>
    </row>
    <row r="188" spans="1:10">
      <c r="A188" s="315">
        <v>185</v>
      </c>
      <c r="B188" s="311">
        <f t="shared" ca="1" si="11"/>
        <v>0</v>
      </c>
      <c r="E188" s="164">
        <f t="shared" ca="1" si="12"/>
        <v>20</v>
      </c>
      <c r="F188" s="164">
        <f t="shared" ca="1" si="10"/>
        <v>0</v>
      </c>
      <c r="J188">
        <f t="shared" ca="1" si="13"/>
        <v>0</v>
      </c>
    </row>
    <row r="189" spans="1:10">
      <c r="A189" s="315">
        <v>186</v>
      </c>
      <c r="B189" s="311">
        <f t="shared" ca="1" si="11"/>
        <v>0</v>
      </c>
      <c r="E189" s="164">
        <f t="shared" ca="1" si="12"/>
        <v>20</v>
      </c>
      <c r="F189" s="164">
        <f t="shared" ca="1" si="10"/>
        <v>0</v>
      </c>
      <c r="J189">
        <f t="shared" ca="1" si="13"/>
        <v>0</v>
      </c>
    </row>
    <row r="190" spans="1:10">
      <c r="A190" s="315">
        <v>187</v>
      </c>
      <c r="B190" s="311">
        <f t="shared" ca="1" si="11"/>
        <v>0</v>
      </c>
      <c r="E190" s="164">
        <f t="shared" ca="1" si="12"/>
        <v>20</v>
      </c>
      <c r="F190" s="164">
        <f t="shared" ca="1" si="10"/>
        <v>0</v>
      </c>
      <c r="J190">
        <f t="shared" ca="1" si="13"/>
        <v>0</v>
      </c>
    </row>
    <row r="191" spans="1:10">
      <c r="A191" s="315">
        <v>188</v>
      </c>
      <c r="B191" s="311">
        <f t="shared" ca="1" si="11"/>
        <v>0</v>
      </c>
      <c r="E191" s="164">
        <f t="shared" ca="1" si="12"/>
        <v>20</v>
      </c>
      <c r="F191" s="164">
        <f t="shared" ca="1" si="10"/>
        <v>0</v>
      </c>
      <c r="J191">
        <f t="shared" ca="1" si="13"/>
        <v>0</v>
      </c>
    </row>
    <row r="192" spans="1:10">
      <c r="A192" s="315">
        <v>189</v>
      </c>
      <c r="B192" s="311">
        <f t="shared" ca="1" si="11"/>
        <v>0</v>
      </c>
      <c r="E192" s="164">
        <f t="shared" ca="1" si="12"/>
        <v>20</v>
      </c>
      <c r="F192" s="164">
        <f t="shared" ca="1" si="10"/>
        <v>0</v>
      </c>
      <c r="J192">
        <f t="shared" ca="1" si="13"/>
        <v>0</v>
      </c>
    </row>
    <row r="193" spans="1:10">
      <c r="A193" s="315">
        <v>190</v>
      </c>
      <c r="B193" s="311">
        <f t="shared" ca="1" si="11"/>
        <v>0</v>
      </c>
      <c r="E193" s="164">
        <f t="shared" ca="1" si="12"/>
        <v>20</v>
      </c>
      <c r="F193" s="164">
        <f t="shared" ca="1" si="10"/>
        <v>0</v>
      </c>
      <c r="J193">
        <f t="shared" ca="1" si="13"/>
        <v>0</v>
      </c>
    </row>
    <row r="194" spans="1:10">
      <c r="A194" s="315">
        <v>191</v>
      </c>
      <c r="B194" s="311">
        <f t="shared" ca="1" si="11"/>
        <v>0</v>
      </c>
      <c r="E194" s="164">
        <f t="shared" ca="1" si="12"/>
        <v>20</v>
      </c>
      <c r="F194" s="164">
        <f t="shared" ca="1" si="10"/>
        <v>0</v>
      </c>
      <c r="J194">
        <f t="shared" ca="1" si="13"/>
        <v>0</v>
      </c>
    </row>
    <row r="195" spans="1:10">
      <c r="A195" s="315">
        <v>192</v>
      </c>
      <c r="B195" s="311">
        <f t="shared" ca="1" si="11"/>
        <v>0</v>
      </c>
      <c r="E195" s="164">
        <f t="shared" ca="1" si="12"/>
        <v>20</v>
      </c>
      <c r="F195" s="164">
        <f t="shared" ca="1" si="10"/>
        <v>0</v>
      </c>
      <c r="J195">
        <f t="shared" ca="1" si="13"/>
        <v>0</v>
      </c>
    </row>
    <row r="196" spans="1:10">
      <c r="A196" s="315">
        <v>193</v>
      </c>
      <c r="B196" s="311">
        <f t="shared" ca="1" si="11"/>
        <v>0</v>
      </c>
      <c r="E196" s="164">
        <f t="shared" ca="1" si="12"/>
        <v>20</v>
      </c>
      <c r="F196" s="164">
        <f t="shared" ca="1" si="10"/>
        <v>0</v>
      </c>
      <c r="J196">
        <f t="shared" ca="1" si="13"/>
        <v>0</v>
      </c>
    </row>
    <row r="197" spans="1:10">
      <c r="A197" s="315">
        <v>194</v>
      </c>
      <c r="B197" s="311">
        <f t="shared" ca="1" si="11"/>
        <v>0</v>
      </c>
      <c r="E197" s="164">
        <f t="shared" ca="1" si="12"/>
        <v>20</v>
      </c>
      <c r="F197" s="164">
        <f t="shared" ref="F197:F259" ca="1" si="14">IF(A197&lt;$I$3,$L$2,0)</f>
        <v>0</v>
      </c>
      <c r="J197">
        <f t="shared" ca="1" si="13"/>
        <v>0</v>
      </c>
    </row>
    <row r="198" spans="1:10">
      <c r="A198" s="315">
        <v>195</v>
      </c>
      <c r="B198" s="311">
        <f t="shared" ref="B198:B259" ca="1" si="15">J198*($H$3-C198+D198)</f>
        <v>0</v>
      </c>
      <c r="E198" s="164">
        <f t="shared" ca="1" si="12"/>
        <v>20</v>
      </c>
      <c r="F198" s="164">
        <f t="shared" ca="1" si="14"/>
        <v>0</v>
      </c>
      <c r="J198">
        <f t="shared" ca="1" si="13"/>
        <v>0</v>
      </c>
    </row>
    <row r="199" spans="1:10">
      <c r="A199" s="315">
        <v>196</v>
      </c>
      <c r="B199" s="311">
        <f t="shared" ca="1" si="15"/>
        <v>0</v>
      </c>
      <c r="E199" s="164">
        <f t="shared" ca="1" si="12"/>
        <v>20</v>
      </c>
      <c r="F199" s="164">
        <f t="shared" ca="1" si="14"/>
        <v>0</v>
      </c>
      <c r="J199">
        <f t="shared" ca="1" si="13"/>
        <v>0</v>
      </c>
    </row>
    <row r="200" spans="1:10">
      <c r="A200" s="315">
        <v>197</v>
      </c>
      <c r="B200" s="311">
        <f t="shared" ca="1" si="15"/>
        <v>0</v>
      </c>
      <c r="E200" s="164">
        <f t="shared" ca="1" si="12"/>
        <v>20</v>
      </c>
      <c r="F200" s="164">
        <f t="shared" ca="1" si="14"/>
        <v>0</v>
      </c>
      <c r="J200">
        <f t="shared" ca="1" si="13"/>
        <v>0</v>
      </c>
    </row>
    <row r="201" spans="1:10">
      <c r="A201" s="315">
        <v>198</v>
      </c>
      <c r="B201" s="311">
        <f t="shared" ca="1" si="15"/>
        <v>0</v>
      </c>
      <c r="E201" s="164">
        <f t="shared" ca="1" si="12"/>
        <v>20</v>
      </c>
      <c r="F201" s="164">
        <f t="shared" ca="1" si="14"/>
        <v>0</v>
      </c>
      <c r="J201">
        <f t="shared" ca="1" si="13"/>
        <v>0</v>
      </c>
    </row>
    <row r="202" spans="1:10">
      <c r="A202" s="315">
        <v>199</v>
      </c>
      <c r="B202" s="311">
        <f t="shared" ca="1" si="15"/>
        <v>0</v>
      </c>
      <c r="E202" s="164">
        <f t="shared" ca="1" si="12"/>
        <v>20</v>
      </c>
      <c r="F202" s="164">
        <f t="shared" ca="1" si="14"/>
        <v>0</v>
      </c>
      <c r="J202">
        <f t="shared" ca="1" si="13"/>
        <v>0</v>
      </c>
    </row>
    <row r="203" spans="1:10">
      <c r="A203" s="315">
        <v>200</v>
      </c>
      <c r="B203" s="311">
        <f t="shared" ca="1" si="15"/>
        <v>0</v>
      </c>
      <c r="E203" s="164">
        <f t="shared" ca="1" si="12"/>
        <v>20</v>
      </c>
      <c r="F203" s="164">
        <f t="shared" ca="1" si="14"/>
        <v>0</v>
      </c>
      <c r="J203">
        <f t="shared" ca="1" si="13"/>
        <v>0</v>
      </c>
    </row>
    <row r="204" spans="1:10">
      <c r="A204" s="315">
        <v>201</v>
      </c>
      <c r="B204" s="311">
        <f t="shared" ca="1" si="15"/>
        <v>0</v>
      </c>
      <c r="E204" s="164">
        <f t="shared" ca="1" si="12"/>
        <v>20</v>
      </c>
      <c r="F204" s="164">
        <f t="shared" ca="1" si="14"/>
        <v>0</v>
      </c>
      <c r="J204">
        <f t="shared" ca="1" si="13"/>
        <v>0</v>
      </c>
    </row>
    <row r="205" spans="1:10">
      <c r="A205" s="315">
        <v>202</v>
      </c>
      <c r="B205" s="311">
        <f t="shared" ca="1" si="15"/>
        <v>0</v>
      </c>
      <c r="E205" s="164">
        <f t="shared" ca="1" si="12"/>
        <v>20</v>
      </c>
      <c r="F205" s="164">
        <f t="shared" ca="1" si="14"/>
        <v>0</v>
      </c>
      <c r="J205">
        <f t="shared" ca="1" si="13"/>
        <v>0</v>
      </c>
    </row>
    <row r="206" spans="1:10">
      <c r="A206" s="315">
        <v>203</v>
      </c>
      <c r="B206" s="311">
        <f t="shared" ca="1" si="15"/>
        <v>0</v>
      </c>
      <c r="E206" s="164">
        <f t="shared" ca="1" si="12"/>
        <v>20</v>
      </c>
      <c r="F206" s="164">
        <f t="shared" ca="1" si="14"/>
        <v>0</v>
      </c>
      <c r="J206">
        <f t="shared" ca="1" si="13"/>
        <v>0</v>
      </c>
    </row>
    <row r="207" spans="1:10">
      <c r="A207" s="315">
        <v>204</v>
      </c>
      <c r="B207" s="311">
        <f t="shared" ca="1" si="15"/>
        <v>0</v>
      </c>
      <c r="E207" s="164">
        <f t="shared" ca="1" si="12"/>
        <v>20</v>
      </c>
      <c r="F207" s="164">
        <f t="shared" ca="1" si="14"/>
        <v>0</v>
      </c>
      <c r="J207">
        <f t="shared" ca="1" si="13"/>
        <v>0</v>
      </c>
    </row>
    <row r="208" spans="1:10">
      <c r="A208" s="315">
        <v>205</v>
      </c>
      <c r="B208" s="311">
        <f t="shared" ca="1" si="15"/>
        <v>0</v>
      </c>
      <c r="E208" s="164">
        <f t="shared" ca="1" si="12"/>
        <v>20</v>
      </c>
      <c r="F208" s="164">
        <f t="shared" ca="1" si="14"/>
        <v>0</v>
      </c>
      <c r="J208">
        <f t="shared" ca="1" si="13"/>
        <v>0</v>
      </c>
    </row>
    <row r="209" spans="1:10">
      <c r="A209" s="315">
        <v>206</v>
      </c>
      <c r="B209" s="311">
        <f t="shared" ca="1" si="15"/>
        <v>0</v>
      </c>
      <c r="E209" s="164">
        <f t="shared" ca="1" si="12"/>
        <v>20</v>
      </c>
      <c r="F209" s="164">
        <f t="shared" ca="1" si="14"/>
        <v>0</v>
      </c>
      <c r="J209">
        <f t="shared" ca="1" si="13"/>
        <v>0</v>
      </c>
    </row>
    <row r="210" spans="1:10">
      <c r="A210" s="315">
        <v>207</v>
      </c>
      <c r="B210" s="311">
        <f t="shared" ca="1" si="15"/>
        <v>0</v>
      </c>
      <c r="E210" s="164">
        <f t="shared" ca="1" si="12"/>
        <v>20</v>
      </c>
      <c r="F210" s="164">
        <f t="shared" ca="1" si="14"/>
        <v>0</v>
      </c>
      <c r="J210">
        <f t="shared" ca="1" si="13"/>
        <v>0</v>
      </c>
    </row>
    <row r="211" spans="1:10">
      <c r="A211" s="315">
        <v>208</v>
      </c>
      <c r="B211" s="311">
        <f t="shared" ca="1" si="15"/>
        <v>0</v>
      </c>
      <c r="E211" s="164">
        <f t="shared" ca="1" si="12"/>
        <v>20</v>
      </c>
      <c r="F211" s="164">
        <f t="shared" ca="1" si="14"/>
        <v>0</v>
      </c>
      <c r="J211">
        <f t="shared" ca="1" si="13"/>
        <v>0</v>
      </c>
    </row>
    <row r="212" spans="1:10">
      <c r="A212" s="315">
        <v>209</v>
      </c>
      <c r="B212" s="311">
        <f t="shared" ca="1" si="15"/>
        <v>0</v>
      </c>
      <c r="E212" s="164">
        <f t="shared" ca="1" si="12"/>
        <v>20</v>
      </c>
      <c r="F212" s="164">
        <f t="shared" ca="1" si="14"/>
        <v>0</v>
      </c>
      <c r="J212">
        <f t="shared" ca="1" si="13"/>
        <v>0</v>
      </c>
    </row>
    <row r="213" spans="1:10">
      <c r="A213" s="315">
        <v>210</v>
      </c>
      <c r="B213" s="311">
        <f t="shared" ca="1" si="15"/>
        <v>0</v>
      </c>
      <c r="E213" s="164">
        <f t="shared" ca="1" si="12"/>
        <v>20</v>
      </c>
      <c r="F213" s="164">
        <f t="shared" ca="1" si="14"/>
        <v>0</v>
      </c>
      <c r="J213">
        <f t="shared" ca="1" si="13"/>
        <v>0</v>
      </c>
    </row>
    <row r="214" spans="1:10">
      <c r="A214" s="315">
        <v>211</v>
      </c>
      <c r="B214" s="311">
        <f t="shared" ca="1" si="15"/>
        <v>0</v>
      </c>
      <c r="E214" s="164">
        <f t="shared" ca="1" si="12"/>
        <v>20</v>
      </c>
      <c r="F214" s="164">
        <f t="shared" ca="1" si="14"/>
        <v>0</v>
      </c>
      <c r="J214">
        <f t="shared" ca="1" si="13"/>
        <v>0</v>
      </c>
    </row>
    <row r="215" spans="1:10">
      <c r="A215" s="315">
        <v>212</v>
      </c>
      <c r="B215" s="311">
        <f t="shared" ca="1" si="15"/>
        <v>0</v>
      </c>
      <c r="E215" s="164">
        <f t="shared" ca="1" si="12"/>
        <v>20</v>
      </c>
      <c r="F215" s="164">
        <f t="shared" ca="1" si="14"/>
        <v>0</v>
      </c>
      <c r="J215">
        <f t="shared" ca="1" si="13"/>
        <v>0</v>
      </c>
    </row>
    <row r="216" spans="1:10">
      <c r="A216" s="315">
        <v>213</v>
      </c>
      <c r="B216" s="311">
        <f t="shared" ca="1" si="15"/>
        <v>0</v>
      </c>
      <c r="E216" s="164">
        <f t="shared" ca="1" si="12"/>
        <v>20</v>
      </c>
      <c r="F216" s="164">
        <f t="shared" ca="1" si="14"/>
        <v>0</v>
      </c>
      <c r="J216">
        <f t="shared" ca="1" si="13"/>
        <v>0</v>
      </c>
    </row>
    <row r="217" spans="1:10">
      <c r="A217" s="315">
        <v>214</v>
      </c>
      <c r="B217" s="311">
        <f t="shared" ca="1" si="15"/>
        <v>0</v>
      </c>
      <c r="E217" s="164">
        <f t="shared" ca="1" si="12"/>
        <v>20</v>
      </c>
      <c r="F217" s="164">
        <f t="shared" ca="1" si="14"/>
        <v>0</v>
      </c>
      <c r="J217">
        <f t="shared" ca="1" si="13"/>
        <v>0</v>
      </c>
    </row>
    <row r="218" spans="1:10">
      <c r="A218" s="315">
        <v>215</v>
      </c>
      <c r="B218" s="311">
        <f t="shared" ca="1" si="15"/>
        <v>0</v>
      </c>
      <c r="E218" s="164">
        <f t="shared" ref="E218:E259" ca="1" si="16">J218*(B218*$L$1+F218)-(J218-1)*$L$3</f>
        <v>20</v>
      </c>
      <c r="F218" s="164">
        <f t="shared" ca="1" si="14"/>
        <v>0</v>
      </c>
      <c r="J218">
        <f t="shared" ca="1" si="13"/>
        <v>0</v>
      </c>
    </row>
    <row r="219" spans="1:10">
      <c r="A219" s="315">
        <v>216</v>
      </c>
      <c r="B219" s="311">
        <f t="shared" ca="1" si="15"/>
        <v>0</v>
      </c>
      <c r="E219" s="164">
        <f t="shared" ca="1" si="16"/>
        <v>20</v>
      </c>
      <c r="F219" s="164">
        <f t="shared" ca="1" si="14"/>
        <v>0</v>
      </c>
      <c r="J219">
        <f t="shared" ref="J219:J259" ca="1" si="17">IF($I$3&lt;=A219,0,1)</f>
        <v>0</v>
      </c>
    </row>
    <row r="220" spans="1:10">
      <c r="A220" s="315">
        <v>217</v>
      </c>
      <c r="B220" s="311">
        <f t="shared" ca="1" si="15"/>
        <v>0</v>
      </c>
      <c r="E220" s="164">
        <f t="shared" ca="1" si="16"/>
        <v>20</v>
      </c>
      <c r="F220" s="164">
        <f t="shared" ca="1" si="14"/>
        <v>0</v>
      </c>
      <c r="J220">
        <f t="shared" ca="1" si="17"/>
        <v>0</v>
      </c>
    </row>
    <row r="221" spans="1:10">
      <c r="A221" s="315">
        <v>218</v>
      </c>
      <c r="B221" s="311">
        <f t="shared" ca="1" si="15"/>
        <v>0</v>
      </c>
      <c r="E221" s="164">
        <f t="shared" ca="1" si="16"/>
        <v>20</v>
      </c>
      <c r="F221" s="164">
        <f t="shared" ca="1" si="14"/>
        <v>0</v>
      </c>
      <c r="J221">
        <f t="shared" ca="1" si="17"/>
        <v>0</v>
      </c>
    </row>
    <row r="222" spans="1:10">
      <c r="A222" s="315">
        <v>219</v>
      </c>
      <c r="B222" s="311">
        <f t="shared" ca="1" si="15"/>
        <v>0</v>
      </c>
      <c r="E222" s="164">
        <f t="shared" ca="1" si="16"/>
        <v>20</v>
      </c>
      <c r="F222" s="164">
        <f t="shared" ca="1" si="14"/>
        <v>0</v>
      </c>
      <c r="J222">
        <f t="shared" ca="1" si="17"/>
        <v>0</v>
      </c>
    </row>
    <row r="223" spans="1:10">
      <c r="A223" s="315">
        <v>220</v>
      </c>
      <c r="B223" s="311">
        <f t="shared" ca="1" si="15"/>
        <v>0</v>
      </c>
      <c r="E223" s="164">
        <f t="shared" ca="1" si="16"/>
        <v>20</v>
      </c>
      <c r="F223" s="164">
        <f t="shared" ca="1" si="14"/>
        <v>0</v>
      </c>
      <c r="J223">
        <f t="shared" ca="1" si="17"/>
        <v>0</v>
      </c>
    </row>
    <row r="224" spans="1:10">
      <c r="A224" s="315">
        <v>221</v>
      </c>
      <c r="B224" s="311">
        <f t="shared" ca="1" si="15"/>
        <v>0</v>
      </c>
      <c r="E224" s="164">
        <f t="shared" ca="1" si="16"/>
        <v>20</v>
      </c>
      <c r="F224" s="164">
        <f t="shared" ca="1" si="14"/>
        <v>0</v>
      </c>
      <c r="J224">
        <f t="shared" ca="1" si="17"/>
        <v>0</v>
      </c>
    </row>
    <row r="225" spans="1:10">
      <c r="A225" s="315">
        <v>222</v>
      </c>
      <c r="B225" s="311">
        <f t="shared" ca="1" si="15"/>
        <v>0</v>
      </c>
      <c r="E225" s="164">
        <f t="shared" ca="1" si="16"/>
        <v>20</v>
      </c>
      <c r="F225" s="164">
        <f t="shared" ca="1" si="14"/>
        <v>0</v>
      </c>
      <c r="J225">
        <f t="shared" ca="1" si="17"/>
        <v>0</v>
      </c>
    </row>
    <row r="226" spans="1:10">
      <c r="A226" s="315">
        <v>223</v>
      </c>
      <c r="B226" s="311">
        <f t="shared" ca="1" si="15"/>
        <v>0</v>
      </c>
      <c r="E226" s="164">
        <f t="shared" ca="1" si="16"/>
        <v>20</v>
      </c>
      <c r="F226" s="164">
        <f t="shared" ca="1" si="14"/>
        <v>0</v>
      </c>
      <c r="J226">
        <f t="shared" ca="1" si="17"/>
        <v>0</v>
      </c>
    </row>
    <row r="227" spans="1:10">
      <c r="A227" s="315">
        <v>224</v>
      </c>
      <c r="B227" s="311">
        <f t="shared" ca="1" si="15"/>
        <v>0</v>
      </c>
      <c r="E227" s="164">
        <f t="shared" ca="1" si="16"/>
        <v>20</v>
      </c>
      <c r="F227" s="164">
        <f t="shared" ca="1" si="14"/>
        <v>0</v>
      </c>
      <c r="J227">
        <f t="shared" ca="1" si="17"/>
        <v>0</v>
      </c>
    </row>
    <row r="228" spans="1:10">
      <c r="A228" s="315">
        <v>225</v>
      </c>
      <c r="B228" s="311">
        <f t="shared" ca="1" si="15"/>
        <v>0</v>
      </c>
      <c r="E228" s="164">
        <f t="shared" ca="1" si="16"/>
        <v>20</v>
      </c>
      <c r="F228" s="164">
        <f t="shared" ca="1" si="14"/>
        <v>0</v>
      </c>
      <c r="J228">
        <f t="shared" ca="1" si="17"/>
        <v>0</v>
      </c>
    </row>
    <row r="229" spans="1:10">
      <c r="A229" s="315">
        <v>226</v>
      </c>
      <c r="B229" s="311">
        <f t="shared" ca="1" si="15"/>
        <v>0</v>
      </c>
      <c r="E229" s="164">
        <f t="shared" ca="1" si="16"/>
        <v>20</v>
      </c>
      <c r="F229" s="164">
        <f t="shared" ca="1" si="14"/>
        <v>0</v>
      </c>
      <c r="J229">
        <f t="shared" ca="1" si="17"/>
        <v>0</v>
      </c>
    </row>
    <row r="230" spans="1:10">
      <c r="A230" s="315">
        <v>227</v>
      </c>
      <c r="B230" s="311">
        <f t="shared" ca="1" si="15"/>
        <v>0</v>
      </c>
      <c r="E230" s="164">
        <f t="shared" ca="1" si="16"/>
        <v>20</v>
      </c>
      <c r="F230" s="164">
        <f t="shared" ca="1" si="14"/>
        <v>0</v>
      </c>
      <c r="J230">
        <f t="shared" ca="1" si="17"/>
        <v>0</v>
      </c>
    </row>
    <row r="231" spans="1:10">
      <c r="A231" s="315">
        <v>228</v>
      </c>
      <c r="B231" s="311">
        <f t="shared" ca="1" si="15"/>
        <v>0</v>
      </c>
      <c r="E231" s="164">
        <f t="shared" ca="1" si="16"/>
        <v>20</v>
      </c>
      <c r="F231" s="164">
        <f t="shared" ca="1" si="14"/>
        <v>0</v>
      </c>
      <c r="J231">
        <f t="shared" ca="1" si="17"/>
        <v>0</v>
      </c>
    </row>
    <row r="232" spans="1:10">
      <c r="A232" s="315">
        <v>229</v>
      </c>
      <c r="B232" s="311">
        <f t="shared" ca="1" si="15"/>
        <v>0</v>
      </c>
      <c r="E232" s="164">
        <f t="shared" ca="1" si="16"/>
        <v>20</v>
      </c>
      <c r="F232" s="164">
        <f t="shared" ca="1" si="14"/>
        <v>0</v>
      </c>
      <c r="J232">
        <f t="shared" ca="1" si="17"/>
        <v>0</v>
      </c>
    </row>
    <row r="233" spans="1:10">
      <c r="A233" s="315">
        <v>230</v>
      </c>
      <c r="B233" s="311">
        <f t="shared" ca="1" si="15"/>
        <v>0</v>
      </c>
      <c r="E233" s="164">
        <f t="shared" ca="1" si="16"/>
        <v>20</v>
      </c>
      <c r="F233" s="164">
        <f t="shared" ca="1" si="14"/>
        <v>0</v>
      </c>
      <c r="J233">
        <f t="shared" ca="1" si="17"/>
        <v>0</v>
      </c>
    </row>
    <row r="234" spans="1:10">
      <c r="A234" s="315">
        <v>231</v>
      </c>
      <c r="B234" s="311">
        <f t="shared" ca="1" si="15"/>
        <v>0</v>
      </c>
      <c r="E234" s="164">
        <f t="shared" ca="1" si="16"/>
        <v>20</v>
      </c>
      <c r="F234" s="164">
        <f t="shared" ca="1" si="14"/>
        <v>0</v>
      </c>
      <c r="J234">
        <f t="shared" ca="1" si="17"/>
        <v>0</v>
      </c>
    </row>
    <row r="235" spans="1:10">
      <c r="A235" s="315">
        <v>232</v>
      </c>
      <c r="B235" s="311">
        <f t="shared" ca="1" si="15"/>
        <v>0</v>
      </c>
      <c r="E235" s="164">
        <f t="shared" ca="1" si="16"/>
        <v>20</v>
      </c>
      <c r="F235" s="164">
        <f t="shared" ca="1" si="14"/>
        <v>0</v>
      </c>
      <c r="J235">
        <f t="shared" ca="1" si="17"/>
        <v>0</v>
      </c>
    </row>
    <row r="236" spans="1:10">
      <c r="A236" s="315">
        <v>233</v>
      </c>
      <c r="B236" s="311">
        <f t="shared" ca="1" si="15"/>
        <v>0</v>
      </c>
      <c r="E236" s="164">
        <f t="shared" ca="1" si="16"/>
        <v>20</v>
      </c>
      <c r="F236" s="164">
        <f t="shared" ca="1" si="14"/>
        <v>0</v>
      </c>
      <c r="J236">
        <f t="shared" ca="1" si="17"/>
        <v>0</v>
      </c>
    </row>
    <row r="237" spans="1:10">
      <c r="A237" s="315">
        <v>234</v>
      </c>
      <c r="B237" s="311">
        <f t="shared" ca="1" si="15"/>
        <v>0</v>
      </c>
      <c r="E237" s="164">
        <f t="shared" ca="1" si="16"/>
        <v>20</v>
      </c>
      <c r="F237" s="164">
        <f t="shared" ca="1" si="14"/>
        <v>0</v>
      </c>
      <c r="J237">
        <f t="shared" ca="1" si="17"/>
        <v>0</v>
      </c>
    </row>
    <row r="238" spans="1:10">
      <c r="A238" s="315">
        <v>235</v>
      </c>
      <c r="B238" s="311">
        <f t="shared" ca="1" si="15"/>
        <v>0</v>
      </c>
      <c r="E238" s="164">
        <f t="shared" ca="1" si="16"/>
        <v>20</v>
      </c>
      <c r="F238" s="164">
        <f t="shared" ca="1" si="14"/>
        <v>0</v>
      </c>
      <c r="J238">
        <f t="shared" ca="1" si="17"/>
        <v>0</v>
      </c>
    </row>
    <row r="239" spans="1:10">
      <c r="A239" s="315">
        <v>236</v>
      </c>
      <c r="B239" s="311">
        <f t="shared" ca="1" si="15"/>
        <v>0</v>
      </c>
      <c r="E239" s="164">
        <f t="shared" ca="1" si="16"/>
        <v>20</v>
      </c>
      <c r="F239" s="164">
        <f t="shared" ca="1" si="14"/>
        <v>0</v>
      </c>
      <c r="J239">
        <f t="shared" ca="1" si="17"/>
        <v>0</v>
      </c>
    </row>
    <row r="240" spans="1:10">
      <c r="A240" s="315">
        <v>237</v>
      </c>
      <c r="B240" s="311">
        <f t="shared" ca="1" si="15"/>
        <v>0</v>
      </c>
      <c r="E240" s="164">
        <f t="shared" ca="1" si="16"/>
        <v>20</v>
      </c>
      <c r="F240" s="164">
        <f t="shared" ca="1" si="14"/>
        <v>0</v>
      </c>
      <c r="J240">
        <f t="shared" ca="1" si="17"/>
        <v>0</v>
      </c>
    </row>
    <row r="241" spans="1:10">
      <c r="A241" s="315">
        <v>238</v>
      </c>
      <c r="B241" s="311">
        <f t="shared" ca="1" si="15"/>
        <v>0</v>
      </c>
      <c r="E241" s="164">
        <f t="shared" ca="1" si="16"/>
        <v>20</v>
      </c>
      <c r="F241" s="164">
        <f t="shared" ca="1" si="14"/>
        <v>0</v>
      </c>
      <c r="J241">
        <f t="shared" ca="1" si="17"/>
        <v>0</v>
      </c>
    </row>
    <row r="242" spans="1:10">
      <c r="A242" s="315">
        <v>239</v>
      </c>
      <c r="B242" s="311">
        <f t="shared" ca="1" si="15"/>
        <v>0</v>
      </c>
      <c r="E242" s="164">
        <f t="shared" ca="1" si="16"/>
        <v>20</v>
      </c>
      <c r="F242" s="164">
        <f t="shared" ca="1" si="14"/>
        <v>0</v>
      </c>
      <c r="J242">
        <f t="shared" ca="1" si="17"/>
        <v>0</v>
      </c>
    </row>
    <row r="243" spans="1:10">
      <c r="A243" s="315">
        <v>240</v>
      </c>
      <c r="B243" s="311">
        <f t="shared" ca="1" si="15"/>
        <v>0</v>
      </c>
      <c r="E243" s="164">
        <f t="shared" ca="1" si="16"/>
        <v>20</v>
      </c>
      <c r="F243" s="164">
        <f t="shared" ca="1" si="14"/>
        <v>0</v>
      </c>
      <c r="J243">
        <f t="shared" ca="1" si="17"/>
        <v>0</v>
      </c>
    </row>
    <row r="244" spans="1:10">
      <c r="A244" s="315">
        <v>241</v>
      </c>
      <c r="B244" s="311">
        <f t="shared" ca="1" si="15"/>
        <v>0</v>
      </c>
      <c r="E244" s="164">
        <f t="shared" ca="1" si="16"/>
        <v>20</v>
      </c>
      <c r="F244" s="164">
        <f t="shared" ca="1" si="14"/>
        <v>0</v>
      </c>
      <c r="J244">
        <f t="shared" ca="1" si="17"/>
        <v>0</v>
      </c>
    </row>
    <row r="245" spans="1:10">
      <c r="A245" s="315">
        <v>242</v>
      </c>
      <c r="B245" s="311">
        <f t="shared" ca="1" si="15"/>
        <v>0</v>
      </c>
      <c r="E245" s="164">
        <f t="shared" ca="1" si="16"/>
        <v>20</v>
      </c>
      <c r="F245" s="164">
        <f t="shared" ca="1" si="14"/>
        <v>0</v>
      </c>
      <c r="J245">
        <f t="shared" ca="1" si="17"/>
        <v>0</v>
      </c>
    </row>
    <row r="246" spans="1:10">
      <c r="A246" s="315">
        <v>243</v>
      </c>
      <c r="B246" s="311">
        <f t="shared" ca="1" si="15"/>
        <v>0</v>
      </c>
      <c r="E246" s="164">
        <f t="shared" ca="1" si="16"/>
        <v>20</v>
      </c>
      <c r="F246" s="164">
        <f t="shared" ca="1" si="14"/>
        <v>0</v>
      </c>
      <c r="J246">
        <f t="shared" ca="1" si="17"/>
        <v>0</v>
      </c>
    </row>
    <row r="247" spans="1:10">
      <c r="A247" s="315">
        <v>244</v>
      </c>
      <c r="B247" s="311">
        <f t="shared" ca="1" si="15"/>
        <v>0</v>
      </c>
      <c r="E247" s="164">
        <f t="shared" ca="1" si="16"/>
        <v>20</v>
      </c>
      <c r="F247" s="164">
        <f t="shared" ca="1" si="14"/>
        <v>0</v>
      </c>
      <c r="J247">
        <f t="shared" ca="1" si="17"/>
        <v>0</v>
      </c>
    </row>
    <row r="248" spans="1:10">
      <c r="A248" s="315">
        <v>245</v>
      </c>
      <c r="B248" s="311">
        <f t="shared" ca="1" si="15"/>
        <v>0</v>
      </c>
      <c r="E248" s="164">
        <f t="shared" ca="1" si="16"/>
        <v>20</v>
      </c>
      <c r="F248" s="164">
        <f t="shared" ca="1" si="14"/>
        <v>0</v>
      </c>
      <c r="J248">
        <f t="shared" ca="1" si="17"/>
        <v>0</v>
      </c>
    </row>
    <row r="249" spans="1:10">
      <c r="A249" s="315">
        <v>246</v>
      </c>
      <c r="B249" s="311">
        <f t="shared" ca="1" si="15"/>
        <v>0</v>
      </c>
      <c r="E249" s="164">
        <f t="shared" ca="1" si="16"/>
        <v>20</v>
      </c>
      <c r="F249" s="164">
        <f t="shared" ca="1" si="14"/>
        <v>0</v>
      </c>
      <c r="J249">
        <f t="shared" ca="1" si="17"/>
        <v>0</v>
      </c>
    </row>
    <row r="250" spans="1:10">
      <c r="A250" s="315">
        <v>247</v>
      </c>
      <c r="B250" s="311">
        <f t="shared" ca="1" si="15"/>
        <v>0</v>
      </c>
      <c r="E250" s="164">
        <f t="shared" ca="1" si="16"/>
        <v>20</v>
      </c>
      <c r="F250" s="164">
        <f t="shared" ca="1" si="14"/>
        <v>0</v>
      </c>
      <c r="J250">
        <f t="shared" ca="1" si="17"/>
        <v>0</v>
      </c>
    </row>
    <row r="251" spans="1:10">
      <c r="A251" s="315">
        <v>248</v>
      </c>
      <c r="B251" s="311">
        <f t="shared" ca="1" si="15"/>
        <v>0</v>
      </c>
      <c r="E251" s="164">
        <f t="shared" ca="1" si="16"/>
        <v>20</v>
      </c>
      <c r="F251" s="164">
        <f t="shared" ca="1" si="14"/>
        <v>0</v>
      </c>
      <c r="J251">
        <f t="shared" ca="1" si="17"/>
        <v>0</v>
      </c>
    </row>
    <row r="252" spans="1:10">
      <c r="A252" s="315">
        <v>249</v>
      </c>
      <c r="B252" s="311">
        <f t="shared" ca="1" si="15"/>
        <v>0</v>
      </c>
      <c r="E252" s="164">
        <f t="shared" ca="1" si="16"/>
        <v>20</v>
      </c>
      <c r="F252" s="164">
        <f t="shared" ca="1" si="14"/>
        <v>0</v>
      </c>
      <c r="J252">
        <f t="shared" ca="1" si="17"/>
        <v>0</v>
      </c>
    </row>
    <row r="253" spans="1:10">
      <c r="A253" s="315">
        <v>250</v>
      </c>
      <c r="B253" s="311">
        <f t="shared" ca="1" si="15"/>
        <v>0</v>
      </c>
      <c r="E253" s="164">
        <f t="shared" ca="1" si="16"/>
        <v>20</v>
      </c>
      <c r="F253" s="164">
        <f t="shared" ca="1" si="14"/>
        <v>0</v>
      </c>
      <c r="J253">
        <f t="shared" ca="1" si="17"/>
        <v>0</v>
      </c>
    </row>
    <row r="254" spans="1:10">
      <c r="A254" s="315">
        <v>251</v>
      </c>
      <c r="B254" s="311">
        <f t="shared" ca="1" si="15"/>
        <v>0</v>
      </c>
      <c r="E254" s="164">
        <f t="shared" ca="1" si="16"/>
        <v>20</v>
      </c>
      <c r="F254" s="164">
        <f t="shared" ca="1" si="14"/>
        <v>0</v>
      </c>
      <c r="J254">
        <f t="shared" ca="1" si="17"/>
        <v>0</v>
      </c>
    </row>
    <row r="255" spans="1:10">
      <c r="A255" s="315">
        <v>252</v>
      </c>
      <c r="B255" s="311">
        <f t="shared" ca="1" si="15"/>
        <v>0</v>
      </c>
      <c r="E255" s="164">
        <f t="shared" ca="1" si="16"/>
        <v>20</v>
      </c>
      <c r="F255" s="164">
        <f t="shared" ca="1" si="14"/>
        <v>0</v>
      </c>
      <c r="J255">
        <f t="shared" ca="1" si="17"/>
        <v>0</v>
      </c>
    </row>
    <row r="256" spans="1:10">
      <c r="A256" s="315">
        <v>253</v>
      </c>
      <c r="B256" s="311">
        <f t="shared" ca="1" si="15"/>
        <v>0</v>
      </c>
      <c r="E256" s="164">
        <f t="shared" ca="1" si="16"/>
        <v>20</v>
      </c>
      <c r="F256" s="164">
        <f t="shared" ca="1" si="14"/>
        <v>0</v>
      </c>
      <c r="J256">
        <f t="shared" ca="1" si="17"/>
        <v>0</v>
      </c>
    </row>
    <row r="257" spans="1:10">
      <c r="A257" s="315">
        <v>254</v>
      </c>
      <c r="B257" s="311">
        <f t="shared" ca="1" si="15"/>
        <v>0</v>
      </c>
      <c r="E257" s="164">
        <f t="shared" ca="1" si="16"/>
        <v>20</v>
      </c>
      <c r="F257" s="164">
        <f t="shared" ca="1" si="14"/>
        <v>0</v>
      </c>
      <c r="J257">
        <f t="shared" ca="1" si="17"/>
        <v>0</v>
      </c>
    </row>
    <row r="258" spans="1:10">
      <c r="A258" s="315">
        <v>255</v>
      </c>
      <c r="B258" s="311">
        <f t="shared" ca="1" si="15"/>
        <v>0</v>
      </c>
      <c r="E258" s="164">
        <f t="shared" ca="1" si="16"/>
        <v>20</v>
      </c>
      <c r="F258" s="164">
        <f t="shared" ca="1" si="14"/>
        <v>0</v>
      </c>
      <c r="J258">
        <f t="shared" ca="1" si="17"/>
        <v>0</v>
      </c>
    </row>
    <row r="259" spans="1:10">
      <c r="A259" s="315">
        <v>256</v>
      </c>
      <c r="B259" s="311">
        <f t="shared" ca="1" si="15"/>
        <v>0</v>
      </c>
      <c r="E259" s="164">
        <f t="shared" ca="1" si="16"/>
        <v>20</v>
      </c>
      <c r="F259" s="164">
        <f t="shared" ca="1" si="14"/>
        <v>0</v>
      </c>
      <c r="J259">
        <f t="shared" ca="1"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sheetPr codeName="List33"/>
  <dimension ref="A1:C8"/>
  <sheetViews>
    <sheetView workbookViewId="0">
      <selection activeCell="L35" sqref="L35"/>
    </sheetView>
  </sheetViews>
  <sheetFormatPr defaultRowHeight="12.75"/>
  <sheetData>
    <row r="1" spans="1:3" ht="13.5" thickBot="1">
      <c r="A1" s="120" t="s">
        <v>320</v>
      </c>
      <c r="B1" s="121"/>
      <c r="C1" s="121"/>
    </row>
    <row r="2" spans="1:3" ht="13.5" thickBot="1"/>
    <row r="3" spans="1:3" ht="26.2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0" t="s">
        <v>317</v>
      </c>
      <c r="B1" s="121"/>
      <c r="C1" s="121"/>
    </row>
    <row r="2" spans="1:3" ht="13.5" thickBot="1"/>
    <row r="3" spans="1:3" ht="26.2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0" t="s">
        <v>311</v>
      </c>
      <c r="B1" s="121"/>
      <c r="C1" s="121"/>
      <c r="D1" s="121"/>
      <c r="E1" s="121"/>
    </row>
    <row r="2" spans="1:9" ht="13.5" thickBot="1"/>
    <row r="3" spans="1:9" ht="31.15" customHeight="1" thickTop="1" thickBot="1">
      <c r="A3" s="302" t="s">
        <v>308</v>
      </c>
      <c r="B3" s="303" t="s">
        <v>309</v>
      </c>
      <c r="C3" s="304" t="s">
        <v>310</v>
      </c>
      <c r="D3" s="306">
        <f ca="1">MAX(D4:D8)</f>
        <v>8</v>
      </c>
      <c r="E3" s="305" t="s">
        <v>314</v>
      </c>
      <c r="F3" s="307">
        <f ca="1">Start.listina!$K$7</f>
        <v>143</v>
      </c>
      <c r="G3" s="307"/>
      <c r="I3" s="307"/>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6" t="s">
        <v>5</v>
      </c>
      <c r="N1" s="327"/>
      <c r="O1" s="2"/>
      <c r="P1" s="2"/>
    </row>
    <row r="2" spans="2:16" ht="13.5" thickBot="1"/>
    <row r="3" spans="2:16" ht="13.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5">
      <c r="B5" s="337">
        <v>12</v>
      </c>
      <c r="C5" s="338">
        <v>4</v>
      </c>
      <c r="D5" s="338">
        <v>3</v>
      </c>
      <c r="E5" s="338">
        <v>4</v>
      </c>
      <c r="F5" s="339">
        <f>C5-E5</f>
        <v>0</v>
      </c>
      <c r="G5" s="339">
        <f>E5*D5+F5*(D5-1)</f>
        <v>12</v>
      </c>
      <c r="H5" s="339">
        <f>INT(D5/2)*E5+INT((D5-1)/2)*F5</f>
        <v>4</v>
      </c>
      <c r="I5" s="340">
        <f>C5*2</f>
        <v>8</v>
      </c>
    </row>
    <row r="6" spans="2:16" ht="13.5">
      <c r="B6" s="337">
        <v>13</v>
      </c>
      <c r="C6" s="338">
        <v>4</v>
      </c>
      <c r="D6" s="338">
        <v>4</v>
      </c>
      <c r="E6" s="338">
        <v>1</v>
      </c>
      <c r="F6" s="339">
        <f t="shared" ref="F6:F69" si="0">C6-E6</f>
        <v>3</v>
      </c>
      <c r="G6" s="339">
        <f>E6*D6+F6*(D6-1)</f>
        <v>13</v>
      </c>
      <c r="H6" s="339">
        <f t="shared" ref="H6:H69" si="1">INT(D6/2)*E6+INT((D6-1)/2)*F6</f>
        <v>5</v>
      </c>
      <c r="I6" s="340">
        <f t="shared" ref="I6:I69" si="2">C6*2</f>
        <v>8</v>
      </c>
    </row>
    <row r="7" spans="2:16" ht="13.5">
      <c r="B7" s="337">
        <v>14</v>
      </c>
      <c r="C7" s="338">
        <v>4</v>
      </c>
      <c r="D7" s="338">
        <v>4</v>
      </c>
      <c r="E7" s="338">
        <v>2</v>
      </c>
      <c r="F7" s="339">
        <f t="shared" si="0"/>
        <v>2</v>
      </c>
      <c r="G7" s="339">
        <f t="shared" ref="G7:G70" si="3">E7*D7+F7*(D7-1)</f>
        <v>14</v>
      </c>
      <c r="H7" s="339">
        <f t="shared" si="1"/>
        <v>6</v>
      </c>
      <c r="I7" s="340">
        <f t="shared" si="2"/>
        <v>8</v>
      </c>
    </row>
    <row r="8" spans="2:16" ht="13.5">
      <c r="B8" s="337">
        <v>15</v>
      </c>
      <c r="C8" s="338">
        <v>4</v>
      </c>
      <c r="D8" s="338">
        <v>4</v>
      </c>
      <c r="E8" s="338">
        <v>3</v>
      </c>
      <c r="F8" s="339">
        <f t="shared" si="0"/>
        <v>1</v>
      </c>
      <c r="G8" s="339">
        <f t="shared" si="3"/>
        <v>15</v>
      </c>
      <c r="H8" s="339">
        <f t="shared" si="1"/>
        <v>7</v>
      </c>
      <c r="I8" s="340">
        <f t="shared" si="2"/>
        <v>8</v>
      </c>
    </row>
    <row r="9" spans="2:16" ht="13.5">
      <c r="B9" s="337">
        <v>16</v>
      </c>
      <c r="C9" s="338">
        <v>4</v>
      </c>
      <c r="D9" s="338">
        <v>4</v>
      </c>
      <c r="E9" s="338">
        <v>4</v>
      </c>
      <c r="F9" s="339">
        <f t="shared" si="0"/>
        <v>0</v>
      </c>
      <c r="G9" s="339">
        <f t="shared" si="3"/>
        <v>16</v>
      </c>
      <c r="H9" s="339">
        <f t="shared" si="1"/>
        <v>8</v>
      </c>
      <c r="I9" s="340">
        <f t="shared" si="2"/>
        <v>8</v>
      </c>
    </row>
    <row r="10" spans="2:16" ht="13.5">
      <c r="B10" s="337">
        <v>17</v>
      </c>
      <c r="C10" s="338">
        <v>5</v>
      </c>
      <c r="D10" s="338">
        <v>4</v>
      </c>
      <c r="E10" s="338">
        <v>2</v>
      </c>
      <c r="F10" s="339">
        <f t="shared" si="0"/>
        <v>3</v>
      </c>
      <c r="G10" s="339">
        <f t="shared" si="3"/>
        <v>17</v>
      </c>
      <c r="H10" s="339">
        <f>INT(D10/2)*E10+INT((D10-1)/2)*F10</f>
        <v>7</v>
      </c>
      <c r="I10" s="340">
        <f t="shared" si="2"/>
        <v>10</v>
      </c>
    </row>
    <row r="11" spans="2:16" ht="13.5">
      <c r="B11" s="337">
        <v>18</v>
      </c>
      <c r="C11" s="338">
        <v>6</v>
      </c>
      <c r="D11" s="338">
        <v>3</v>
      </c>
      <c r="E11" s="338">
        <v>6</v>
      </c>
      <c r="F11" s="339">
        <f t="shared" si="0"/>
        <v>0</v>
      </c>
      <c r="G11" s="339">
        <f t="shared" si="3"/>
        <v>18</v>
      </c>
      <c r="H11" s="339">
        <f t="shared" si="1"/>
        <v>6</v>
      </c>
      <c r="I11" s="340">
        <f t="shared" si="2"/>
        <v>12</v>
      </c>
    </row>
    <row r="12" spans="2:16" ht="13.5">
      <c r="B12" s="337">
        <v>19</v>
      </c>
      <c r="C12" s="338">
        <v>6</v>
      </c>
      <c r="D12" s="338">
        <v>4</v>
      </c>
      <c r="E12" s="338">
        <v>1</v>
      </c>
      <c r="F12" s="339">
        <f t="shared" si="0"/>
        <v>5</v>
      </c>
      <c r="G12" s="339">
        <f t="shared" si="3"/>
        <v>19</v>
      </c>
      <c r="H12" s="339">
        <f t="shared" si="1"/>
        <v>7</v>
      </c>
      <c r="I12" s="340">
        <f t="shared" si="2"/>
        <v>12</v>
      </c>
    </row>
    <row r="13" spans="2:16" ht="13.5">
      <c r="B13" s="337">
        <v>20</v>
      </c>
      <c r="C13" s="338">
        <v>6</v>
      </c>
      <c r="D13" s="338">
        <v>4</v>
      </c>
      <c r="E13" s="338">
        <v>2</v>
      </c>
      <c r="F13" s="339">
        <f t="shared" si="0"/>
        <v>4</v>
      </c>
      <c r="G13" s="339">
        <f t="shared" si="3"/>
        <v>20</v>
      </c>
      <c r="H13" s="339">
        <f t="shared" si="1"/>
        <v>8</v>
      </c>
      <c r="I13" s="340">
        <f t="shared" si="2"/>
        <v>12</v>
      </c>
    </row>
    <row r="14" spans="2:16" ht="13.5">
      <c r="B14" s="337">
        <v>21</v>
      </c>
      <c r="C14" s="338">
        <v>6</v>
      </c>
      <c r="D14" s="338">
        <v>4</v>
      </c>
      <c r="E14" s="338">
        <v>3</v>
      </c>
      <c r="F14" s="339">
        <f t="shared" si="0"/>
        <v>3</v>
      </c>
      <c r="G14" s="339">
        <f t="shared" si="3"/>
        <v>21</v>
      </c>
      <c r="H14" s="339">
        <f t="shared" si="1"/>
        <v>9</v>
      </c>
      <c r="I14" s="340">
        <f t="shared" si="2"/>
        <v>12</v>
      </c>
    </row>
    <row r="15" spans="2:16" ht="13.5">
      <c r="B15" s="337">
        <v>22</v>
      </c>
      <c r="C15" s="338">
        <v>6</v>
      </c>
      <c r="D15" s="338">
        <v>4</v>
      </c>
      <c r="E15" s="338">
        <v>4</v>
      </c>
      <c r="F15" s="339">
        <f t="shared" si="0"/>
        <v>2</v>
      </c>
      <c r="G15" s="339">
        <f t="shared" si="3"/>
        <v>22</v>
      </c>
      <c r="H15" s="339">
        <f t="shared" si="1"/>
        <v>10</v>
      </c>
      <c r="I15" s="340">
        <f t="shared" si="2"/>
        <v>12</v>
      </c>
    </row>
    <row r="16" spans="2:16" ht="13.5">
      <c r="B16" s="337">
        <v>23</v>
      </c>
      <c r="C16" s="338">
        <v>6</v>
      </c>
      <c r="D16" s="338">
        <v>4</v>
      </c>
      <c r="E16" s="338">
        <v>5</v>
      </c>
      <c r="F16" s="339">
        <f t="shared" si="0"/>
        <v>1</v>
      </c>
      <c r="G16" s="339">
        <f t="shared" si="3"/>
        <v>23</v>
      </c>
      <c r="H16" s="339">
        <f t="shared" si="1"/>
        <v>11</v>
      </c>
      <c r="I16" s="340">
        <f t="shared" si="2"/>
        <v>12</v>
      </c>
    </row>
    <row r="17" spans="2:9" ht="13.5">
      <c r="B17" s="337">
        <v>24</v>
      </c>
      <c r="C17" s="338">
        <v>8</v>
      </c>
      <c r="D17" s="338">
        <v>3</v>
      </c>
      <c r="E17" s="338">
        <v>8</v>
      </c>
      <c r="F17" s="339">
        <f t="shared" si="0"/>
        <v>0</v>
      </c>
      <c r="G17" s="339">
        <f t="shared" si="3"/>
        <v>24</v>
      </c>
      <c r="H17" s="339">
        <f t="shared" si="1"/>
        <v>8</v>
      </c>
      <c r="I17" s="340">
        <f t="shared" si="2"/>
        <v>16</v>
      </c>
    </row>
    <row r="18" spans="2:9" ht="13.5">
      <c r="B18" s="337">
        <v>25</v>
      </c>
      <c r="C18" s="338">
        <v>8</v>
      </c>
      <c r="D18" s="338">
        <v>4</v>
      </c>
      <c r="E18" s="338">
        <v>1</v>
      </c>
      <c r="F18" s="339">
        <f t="shared" si="0"/>
        <v>7</v>
      </c>
      <c r="G18" s="339">
        <f t="shared" si="3"/>
        <v>25</v>
      </c>
      <c r="H18" s="339">
        <f t="shared" si="1"/>
        <v>9</v>
      </c>
      <c r="I18" s="340">
        <f t="shared" si="2"/>
        <v>16</v>
      </c>
    </row>
    <row r="19" spans="2:9" ht="13.5">
      <c r="B19" s="337">
        <v>26</v>
      </c>
      <c r="C19" s="338">
        <v>8</v>
      </c>
      <c r="D19" s="338">
        <v>4</v>
      </c>
      <c r="E19" s="338">
        <v>2</v>
      </c>
      <c r="F19" s="339">
        <f t="shared" si="0"/>
        <v>6</v>
      </c>
      <c r="G19" s="339">
        <f t="shared" si="3"/>
        <v>26</v>
      </c>
      <c r="H19" s="339">
        <f t="shared" si="1"/>
        <v>10</v>
      </c>
      <c r="I19" s="340">
        <f t="shared" si="2"/>
        <v>16</v>
      </c>
    </row>
    <row r="20" spans="2:9" ht="13.5">
      <c r="B20" s="337">
        <v>27</v>
      </c>
      <c r="C20" s="338">
        <v>8</v>
      </c>
      <c r="D20" s="338">
        <v>4</v>
      </c>
      <c r="E20" s="338">
        <v>3</v>
      </c>
      <c r="F20" s="339">
        <f t="shared" si="0"/>
        <v>5</v>
      </c>
      <c r="G20" s="339">
        <f t="shared" si="3"/>
        <v>27</v>
      </c>
      <c r="H20" s="339">
        <f t="shared" si="1"/>
        <v>11</v>
      </c>
      <c r="I20" s="340">
        <f t="shared" si="2"/>
        <v>16</v>
      </c>
    </row>
    <row r="21" spans="2:9" ht="13.5">
      <c r="B21" s="337">
        <v>28</v>
      </c>
      <c r="C21" s="338">
        <v>8</v>
      </c>
      <c r="D21" s="338">
        <v>4</v>
      </c>
      <c r="E21" s="338">
        <v>4</v>
      </c>
      <c r="F21" s="339">
        <f t="shared" si="0"/>
        <v>4</v>
      </c>
      <c r="G21" s="339">
        <f t="shared" si="3"/>
        <v>28</v>
      </c>
      <c r="H21" s="339">
        <f t="shared" si="1"/>
        <v>12</v>
      </c>
      <c r="I21" s="340">
        <f t="shared" si="2"/>
        <v>16</v>
      </c>
    </row>
    <row r="22" spans="2:9" ht="13.5">
      <c r="B22" s="337">
        <v>29</v>
      </c>
      <c r="C22" s="338">
        <v>8</v>
      </c>
      <c r="D22" s="338">
        <v>4</v>
      </c>
      <c r="E22" s="338">
        <v>5</v>
      </c>
      <c r="F22" s="339">
        <f t="shared" si="0"/>
        <v>3</v>
      </c>
      <c r="G22" s="339">
        <f t="shared" si="3"/>
        <v>29</v>
      </c>
      <c r="H22" s="339">
        <f t="shared" si="1"/>
        <v>13</v>
      </c>
      <c r="I22" s="340">
        <f t="shared" si="2"/>
        <v>16</v>
      </c>
    </row>
    <row r="23" spans="2:9" ht="13.5">
      <c r="B23" s="337">
        <v>30</v>
      </c>
      <c r="C23" s="338">
        <v>8</v>
      </c>
      <c r="D23" s="338">
        <v>4</v>
      </c>
      <c r="E23" s="338">
        <v>6</v>
      </c>
      <c r="F23" s="339">
        <f t="shared" si="0"/>
        <v>2</v>
      </c>
      <c r="G23" s="339">
        <f t="shared" si="3"/>
        <v>30</v>
      </c>
      <c r="H23" s="339">
        <f t="shared" si="1"/>
        <v>14</v>
      </c>
      <c r="I23" s="340">
        <f t="shared" si="2"/>
        <v>16</v>
      </c>
    </row>
    <row r="24" spans="2:9" ht="13.5">
      <c r="B24" s="337">
        <v>31</v>
      </c>
      <c r="C24" s="338">
        <v>8</v>
      </c>
      <c r="D24" s="338">
        <v>4</v>
      </c>
      <c r="E24" s="338">
        <v>7</v>
      </c>
      <c r="F24" s="339">
        <f t="shared" si="0"/>
        <v>1</v>
      </c>
      <c r="G24" s="339">
        <f t="shared" si="3"/>
        <v>31</v>
      </c>
      <c r="H24" s="339">
        <f t="shared" si="1"/>
        <v>15</v>
      </c>
      <c r="I24" s="340">
        <f t="shared" si="2"/>
        <v>16</v>
      </c>
    </row>
    <row r="25" spans="2:9" ht="13.5">
      <c r="B25" s="337">
        <v>32</v>
      </c>
      <c r="C25" s="338">
        <v>8</v>
      </c>
      <c r="D25" s="338">
        <v>4</v>
      </c>
      <c r="E25" s="338">
        <v>8</v>
      </c>
      <c r="F25" s="339">
        <f t="shared" si="0"/>
        <v>0</v>
      </c>
      <c r="G25" s="339">
        <f t="shared" si="3"/>
        <v>32</v>
      </c>
      <c r="H25" s="339">
        <f t="shared" si="1"/>
        <v>16</v>
      </c>
      <c r="I25" s="340">
        <f t="shared" si="2"/>
        <v>16</v>
      </c>
    </row>
    <row r="26" spans="2:9" ht="13.5">
      <c r="B26" s="337">
        <v>33</v>
      </c>
      <c r="C26" s="338">
        <v>9</v>
      </c>
      <c r="D26" s="338">
        <v>4</v>
      </c>
      <c r="E26" s="338">
        <v>6</v>
      </c>
      <c r="F26" s="339">
        <f t="shared" si="0"/>
        <v>3</v>
      </c>
      <c r="G26" s="339">
        <f t="shared" si="3"/>
        <v>33</v>
      </c>
      <c r="H26" s="339">
        <f t="shared" si="1"/>
        <v>15</v>
      </c>
      <c r="I26" s="340">
        <f t="shared" si="2"/>
        <v>18</v>
      </c>
    </row>
    <row r="27" spans="2:9" ht="13.5">
      <c r="B27" s="337">
        <v>34</v>
      </c>
      <c r="C27" s="338">
        <v>9</v>
      </c>
      <c r="D27" s="338">
        <v>4</v>
      </c>
      <c r="E27" s="338">
        <v>7</v>
      </c>
      <c r="F27" s="339">
        <f t="shared" si="0"/>
        <v>2</v>
      </c>
      <c r="G27" s="339">
        <f t="shared" si="3"/>
        <v>34</v>
      </c>
      <c r="H27" s="339">
        <f t="shared" si="1"/>
        <v>16</v>
      </c>
      <c r="I27" s="340">
        <f t="shared" si="2"/>
        <v>18</v>
      </c>
    </row>
    <row r="28" spans="2:9" ht="13.5">
      <c r="B28" s="337">
        <v>35</v>
      </c>
      <c r="C28" s="338">
        <v>9</v>
      </c>
      <c r="D28" s="338">
        <v>4</v>
      </c>
      <c r="E28" s="338">
        <v>8</v>
      </c>
      <c r="F28" s="339">
        <f t="shared" si="0"/>
        <v>1</v>
      </c>
      <c r="G28" s="339">
        <f t="shared" si="3"/>
        <v>35</v>
      </c>
      <c r="H28" s="339">
        <f t="shared" si="1"/>
        <v>17</v>
      </c>
      <c r="I28" s="340">
        <f t="shared" si="2"/>
        <v>18</v>
      </c>
    </row>
    <row r="29" spans="2:9" ht="13.5">
      <c r="B29" s="337">
        <v>36</v>
      </c>
      <c r="C29" s="338">
        <v>12</v>
      </c>
      <c r="D29" s="338">
        <v>3</v>
      </c>
      <c r="E29" s="338">
        <v>12</v>
      </c>
      <c r="F29" s="339">
        <f t="shared" si="0"/>
        <v>0</v>
      </c>
      <c r="G29" s="339">
        <f t="shared" si="3"/>
        <v>36</v>
      </c>
      <c r="H29" s="339">
        <f t="shared" si="1"/>
        <v>12</v>
      </c>
      <c r="I29" s="340">
        <f t="shared" si="2"/>
        <v>24</v>
      </c>
    </row>
    <row r="30" spans="2:9" ht="13.5">
      <c r="B30" s="337">
        <v>37</v>
      </c>
      <c r="C30" s="338">
        <v>12</v>
      </c>
      <c r="D30" s="338">
        <v>4</v>
      </c>
      <c r="E30" s="338">
        <v>1</v>
      </c>
      <c r="F30" s="339">
        <f t="shared" si="0"/>
        <v>11</v>
      </c>
      <c r="G30" s="339">
        <f t="shared" si="3"/>
        <v>37</v>
      </c>
      <c r="H30" s="339">
        <f t="shared" si="1"/>
        <v>13</v>
      </c>
      <c r="I30" s="340">
        <f t="shared" si="2"/>
        <v>24</v>
      </c>
    </row>
    <row r="31" spans="2:9" ht="13.5">
      <c r="B31" s="337">
        <v>38</v>
      </c>
      <c r="C31" s="338">
        <v>12</v>
      </c>
      <c r="D31" s="338">
        <v>4</v>
      </c>
      <c r="E31" s="338">
        <v>2</v>
      </c>
      <c r="F31" s="339">
        <f t="shared" si="0"/>
        <v>10</v>
      </c>
      <c r="G31" s="339">
        <f t="shared" si="3"/>
        <v>38</v>
      </c>
      <c r="H31" s="339">
        <f t="shared" si="1"/>
        <v>14</v>
      </c>
      <c r="I31" s="340">
        <f t="shared" si="2"/>
        <v>24</v>
      </c>
    </row>
    <row r="32" spans="2:9" ht="13.5">
      <c r="B32" s="337">
        <v>39</v>
      </c>
      <c r="C32" s="338">
        <v>12</v>
      </c>
      <c r="D32" s="338">
        <v>4</v>
      </c>
      <c r="E32" s="338">
        <v>3</v>
      </c>
      <c r="F32" s="339">
        <f t="shared" si="0"/>
        <v>9</v>
      </c>
      <c r="G32" s="339">
        <f t="shared" si="3"/>
        <v>39</v>
      </c>
      <c r="H32" s="339">
        <f t="shared" si="1"/>
        <v>15</v>
      </c>
      <c r="I32" s="340">
        <f t="shared" si="2"/>
        <v>24</v>
      </c>
    </row>
    <row r="33" spans="2:9" ht="13.5">
      <c r="B33" s="337">
        <v>40</v>
      </c>
      <c r="C33" s="338">
        <v>12</v>
      </c>
      <c r="D33" s="338">
        <v>4</v>
      </c>
      <c r="E33" s="338">
        <v>4</v>
      </c>
      <c r="F33" s="339">
        <f t="shared" si="0"/>
        <v>8</v>
      </c>
      <c r="G33" s="339">
        <f t="shared" si="3"/>
        <v>40</v>
      </c>
      <c r="H33" s="339">
        <f t="shared" si="1"/>
        <v>16</v>
      </c>
      <c r="I33" s="340">
        <f t="shared" si="2"/>
        <v>24</v>
      </c>
    </row>
    <row r="34" spans="2:9" ht="13.5">
      <c r="B34" s="337">
        <v>41</v>
      </c>
      <c r="C34" s="338">
        <v>12</v>
      </c>
      <c r="D34" s="338">
        <v>4</v>
      </c>
      <c r="E34" s="338">
        <v>5</v>
      </c>
      <c r="F34" s="339">
        <f t="shared" si="0"/>
        <v>7</v>
      </c>
      <c r="G34" s="339">
        <f t="shared" si="3"/>
        <v>41</v>
      </c>
      <c r="H34" s="339">
        <f t="shared" si="1"/>
        <v>17</v>
      </c>
      <c r="I34" s="340">
        <f t="shared" si="2"/>
        <v>24</v>
      </c>
    </row>
    <row r="35" spans="2:9" ht="13.5">
      <c r="B35" s="337">
        <v>42</v>
      </c>
      <c r="C35" s="338">
        <v>12</v>
      </c>
      <c r="D35" s="338">
        <v>4</v>
      </c>
      <c r="E35" s="338">
        <v>6</v>
      </c>
      <c r="F35" s="339">
        <f t="shared" si="0"/>
        <v>6</v>
      </c>
      <c r="G35" s="339">
        <f t="shared" si="3"/>
        <v>42</v>
      </c>
      <c r="H35" s="339">
        <f t="shared" si="1"/>
        <v>18</v>
      </c>
      <c r="I35" s="340">
        <f t="shared" si="2"/>
        <v>24</v>
      </c>
    </row>
    <row r="36" spans="2:9" ht="13.5">
      <c r="B36" s="337">
        <v>43</v>
      </c>
      <c r="C36" s="338">
        <v>12</v>
      </c>
      <c r="D36" s="338">
        <v>4</v>
      </c>
      <c r="E36" s="338">
        <v>7</v>
      </c>
      <c r="F36" s="339">
        <f t="shared" si="0"/>
        <v>5</v>
      </c>
      <c r="G36" s="339">
        <f t="shared" si="3"/>
        <v>43</v>
      </c>
      <c r="H36" s="339">
        <f t="shared" si="1"/>
        <v>19</v>
      </c>
      <c r="I36" s="340">
        <f t="shared" si="2"/>
        <v>24</v>
      </c>
    </row>
    <row r="37" spans="2:9" ht="13.5">
      <c r="B37" s="337">
        <v>44</v>
      </c>
      <c r="C37" s="338">
        <v>12</v>
      </c>
      <c r="D37" s="338">
        <v>4</v>
      </c>
      <c r="E37" s="338">
        <v>8</v>
      </c>
      <c r="F37" s="339">
        <f t="shared" si="0"/>
        <v>4</v>
      </c>
      <c r="G37" s="339">
        <f t="shared" si="3"/>
        <v>44</v>
      </c>
      <c r="H37" s="339">
        <f t="shared" si="1"/>
        <v>20</v>
      </c>
      <c r="I37" s="340">
        <f t="shared" si="2"/>
        <v>24</v>
      </c>
    </row>
    <row r="38" spans="2:9" ht="13.5">
      <c r="B38" s="337">
        <v>45</v>
      </c>
      <c r="C38" s="338">
        <v>12</v>
      </c>
      <c r="D38" s="338">
        <v>4</v>
      </c>
      <c r="E38" s="338">
        <v>9</v>
      </c>
      <c r="F38" s="339">
        <f t="shared" si="0"/>
        <v>3</v>
      </c>
      <c r="G38" s="339">
        <f t="shared" si="3"/>
        <v>45</v>
      </c>
      <c r="H38" s="339">
        <f t="shared" si="1"/>
        <v>21</v>
      </c>
      <c r="I38" s="340">
        <f t="shared" si="2"/>
        <v>24</v>
      </c>
    </row>
    <row r="39" spans="2:9" ht="13.5">
      <c r="B39" s="337">
        <v>46</v>
      </c>
      <c r="C39" s="338">
        <v>12</v>
      </c>
      <c r="D39" s="338">
        <v>4</v>
      </c>
      <c r="E39" s="338">
        <v>10</v>
      </c>
      <c r="F39" s="339">
        <f t="shared" si="0"/>
        <v>2</v>
      </c>
      <c r="G39" s="339">
        <f t="shared" si="3"/>
        <v>46</v>
      </c>
      <c r="H39" s="339">
        <f t="shared" si="1"/>
        <v>22</v>
      </c>
      <c r="I39" s="340">
        <f t="shared" si="2"/>
        <v>24</v>
      </c>
    </row>
    <row r="40" spans="2:9" ht="13.5">
      <c r="B40" s="337">
        <v>47</v>
      </c>
      <c r="C40" s="338">
        <v>12</v>
      </c>
      <c r="D40" s="338">
        <v>4</v>
      </c>
      <c r="E40" s="338">
        <v>11</v>
      </c>
      <c r="F40" s="339">
        <f t="shared" si="0"/>
        <v>1</v>
      </c>
      <c r="G40" s="339">
        <f t="shared" si="3"/>
        <v>47</v>
      </c>
      <c r="H40" s="339">
        <f t="shared" si="1"/>
        <v>23</v>
      </c>
      <c r="I40" s="340">
        <f t="shared" si="2"/>
        <v>24</v>
      </c>
    </row>
    <row r="41" spans="2:9" ht="13.5">
      <c r="B41" s="337">
        <v>48</v>
      </c>
      <c r="C41" s="338">
        <v>16</v>
      </c>
      <c r="D41" s="338">
        <v>3</v>
      </c>
      <c r="E41" s="338">
        <v>16</v>
      </c>
      <c r="F41" s="339">
        <f t="shared" si="0"/>
        <v>0</v>
      </c>
      <c r="G41" s="339">
        <f t="shared" si="3"/>
        <v>48</v>
      </c>
      <c r="H41" s="339">
        <f t="shared" si="1"/>
        <v>16</v>
      </c>
      <c r="I41" s="340">
        <f t="shared" si="2"/>
        <v>32</v>
      </c>
    </row>
    <row r="42" spans="2:9" ht="13.5">
      <c r="B42" s="337">
        <v>49</v>
      </c>
      <c r="C42" s="338">
        <v>16</v>
      </c>
      <c r="D42" s="338">
        <v>4</v>
      </c>
      <c r="E42" s="338">
        <v>1</v>
      </c>
      <c r="F42" s="339">
        <f t="shared" si="0"/>
        <v>15</v>
      </c>
      <c r="G42" s="339">
        <f t="shared" si="3"/>
        <v>49</v>
      </c>
      <c r="H42" s="339">
        <f t="shared" si="1"/>
        <v>17</v>
      </c>
      <c r="I42" s="340">
        <f t="shared" si="2"/>
        <v>32</v>
      </c>
    </row>
    <row r="43" spans="2:9" ht="13.5">
      <c r="B43" s="337">
        <v>50</v>
      </c>
      <c r="C43" s="338">
        <v>16</v>
      </c>
      <c r="D43" s="338">
        <v>4</v>
      </c>
      <c r="E43" s="338">
        <v>2</v>
      </c>
      <c r="F43" s="339">
        <f t="shared" si="0"/>
        <v>14</v>
      </c>
      <c r="G43" s="339">
        <f t="shared" si="3"/>
        <v>50</v>
      </c>
      <c r="H43" s="339">
        <f t="shared" si="1"/>
        <v>18</v>
      </c>
      <c r="I43" s="340">
        <f t="shared" si="2"/>
        <v>32</v>
      </c>
    </row>
    <row r="44" spans="2:9" ht="13.5">
      <c r="B44" s="337">
        <v>51</v>
      </c>
      <c r="C44" s="338">
        <v>16</v>
      </c>
      <c r="D44" s="338">
        <v>4</v>
      </c>
      <c r="E44" s="338">
        <v>3</v>
      </c>
      <c r="F44" s="339">
        <f t="shared" si="0"/>
        <v>13</v>
      </c>
      <c r="G44" s="339">
        <f t="shared" si="3"/>
        <v>51</v>
      </c>
      <c r="H44" s="339">
        <f t="shared" si="1"/>
        <v>19</v>
      </c>
      <c r="I44" s="340">
        <f t="shared" si="2"/>
        <v>32</v>
      </c>
    </row>
    <row r="45" spans="2:9" ht="13.5">
      <c r="B45" s="337">
        <v>52</v>
      </c>
      <c r="C45" s="338">
        <v>16</v>
      </c>
      <c r="D45" s="338">
        <v>4</v>
      </c>
      <c r="E45" s="338">
        <v>4</v>
      </c>
      <c r="F45" s="339">
        <f t="shared" si="0"/>
        <v>12</v>
      </c>
      <c r="G45" s="339">
        <f t="shared" si="3"/>
        <v>52</v>
      </c>
      <c r="H45" s="339">
        <f t="shared" si="1"/>
        <v>20</v>
      </c>
      <c r="I45" s="340">
        <f t="shared" si="2"/>
        <v>32</v>
      </c>
    </row>
    <row r="46" spans="2:9" ht="13.5">
      <c r="B46" s="337">
        <v>53</v>
      </c>
      <c r="C46" s="338">
        <v>16</v>
      </c>
      <c r="D46" s="338">
        <v>4</v>
      </c>
      <c r="E46" s="338">
        <v>5</v>
      </c>
      <c r="F46" s="339">
        <f t="shared" si="0"/>
        <v>11</v>
      </c>
      <c r="G46" s="339">
        <f t="shared" si="3"/>
        <v>53</v>
      </c>
      <c r="H46" s="339">
        <f t="shared" si="1"/>
        <v>21</v>
      </c>
      <c r="I46" s="340">
        <f t="shared" si="2"/>
        <v>32</v>
      </c>
    </row>
    <row r="47" spans="2:9" ht="13.5">
      <c r="B47" s="337">
        <v>54</v>
      </c>
      <c r="C47" s="338">
        <v>16</v>
      </c>
      <c r="D47" s="338">
        <v>4</v>
      </c>
      <c r="E47" s="338">
        <v>6</v>
      </c>
      <c r="F47" s="339">
        <f t="shared" si="0"/>
        <v>10</v>
      </c>
      <c r="G47" s="339">
        <f t="shared" si="3"/>
        <v>54</v>
      </c>
      <c r="H47" s="339">
        <f t="shared" si="1"/>
        <v>22</v>
      </c>
      <c r="I47" s="340">
        <f t="shared" si="2"/>
        <v>32</v>
      </c>
    </row>
    <row r="48" spans="2:9" ht="13.5">
      <c r="B48" s="337">
        <v>55</v>
      </c>
      <c r="C48" s="338">
        <v>16</v>
      </c>
      <c r="D48" s="338">
        <v>4</v>
      </c>
      <c r="E48" s="338">
        <v>7</v>
      </c>
      <c r="F48" s="339">
        <f t="shared" si="0"/>
        <v>9</v>
      </c>
      <c r="G48" s="339">
        <f t="shared" si="3"/>
        <v>55</v>
      </c>
      <c r="H48" s="339">
        <f t="shared" si="1"/>
        <v>23</v>
      </c>
      <c r="I48" s="340">
        <f t="shared" si="2"/>
        <v>32</v>
      </c>
    </row>
    <row r="49" spans="2:9" ht="13.5">
      <c r="B49" s="337">
        <v>56</v>
      </c>
      <c r="C49" s="338">
        <v>16</v>
      </c>
      <c r="D49" s="338">
        <v>4</v>
      </c>
      <c r="E49" s="338">
        <v>8</v>
      </c>
      <c r="F49" s="339">
        <f t="shared" si="0"/>
        <v>8</v>
      </c>
      <c r="G49" s="339">
        <f t="shared" si="3"/>
        <v>56</v>
      </c>
      <c r="H49" s="339">
        <f t="shared" si="1"/>
        <v>24</v>
      </c>
      <c r="I49" s="340">
        <f t="shared" si="2"/>
        <v>32</v>
      </c>
    </row>
    <row r="50" spans="2:9" ht="13.5">
      <c r="B50" s="337">
        <v>57</v>
      </c>
      <c r="C50" s="338">
        <v>16</v>
      </c>
      <c r="D50" s="338">
        <v>4</v>
      </c>
      <c r="E50" s="338">
        <v>9</v>
      </c>
      <c r="F50" s="339">
        <f t="shared" si="0"/>
        <v>7</v>
      </c>
      <c r="G50" s="339">
        <f t="shared" si="3"/>
        <v>57</v>
      </c>
      <c r="H50" s="339">
        <f t="shared" si="1"/>
        <v>25</v>
      </c>
      <c r="I50" s="340">
        <f t="shared" si="2"/>
        <v>32</v>
      </c>
    </row>
    <row r="51" spans="2:9" ht="13.5">
      <c r="B51" s="337">
        <v>58</v>
      </c>
      <c r="C51" s="338">
        <v>16</v>
      </c>
      <c r="D51" s="338">
        <v>4</v>
      </c>
      <c r="E51" s="338">
        <v>10</v>
      </c>
      <c r="F51" s="339">
        <f t="shared" si="0"/>
        <v>6</v>
      </c>
      <c r="G51" s="339">
        <f t="shared" si="3"/>
        <v>58</v>
      </c>
      <c r="H51" s="339">
        <f t="shared" si="1"/>
        <v>26</v>
      </c>
      <c r="I51" s="340">
        <f t="shared" si="2"/>
        <v>32</v>
      </c>
    </row>
    <row r="52" spans="2:9" ht="13.5">
      <c r="B52" s="337">
        <v>59</v>
      </c>
      <c r="C52" s="338">
        <v>16</v>
      </c>
      <c r="D52" s="338">
        <v>4</v>
      </c>
      <c r="E52" s="338">
        <v>11</v>
      </c>
      <c r="F52" s="339">
        <f t="shared" si="0"/>
        <v>5</v>
      </c>
      <c r="G52" s="339">
        <f t="shared" si="3"/>
        <v>59</v>
      </c>
      <c r="H52" s="339">
        <f t="shared" si="1"/>
        <v>27</v>
      </c>
      <c r="I52" s="340">
        <f t="shared" si="2"/>
        <v>32</v>
      </c>
    </row>
    <row r="53" spans="2:9" ht="13.5">
      <c r="B53" s="337">
        <v>60</v>
      </c>
      <c r="C53" s="338">
        <v>16</v>
      </c>
      <c r="D53" s="338">
        <v>4</v>
      </c>
      <c r="E53" s="338">
        <v>12</v>
      </c>
      <c r="F53" s="339">
        <f t="shared" si="0"/>
        <v>4</v>
      </c>
      <c r="G53" s="339">
        <f t="shared" si="3"/>
        <v>60</v>
      </c>
      <c r="H53" s="339">
        <f t="shared" si="1"/>
        <v>28</v>
      </c>
      <c r="I53" s="340">
        <f t="shared" si="2"/>
        <v>32</v>
      </c>
    </row>
    <row r="54" spans="2:9" ht="13.5">
      <c r="B54" s="337">
        <v>61</v>
      </c>
      <c r="C54" s="338">
        <v>16</v>
      </c>
      <c r="D54" s="338">
        <v>4</v>
      </c>
      <c r="E54" s="338">
        <v>13</v>
      </c>
      <c r="F54" s="339">
        <f t="shared" si="0"/>
        <v>3</v>
      </c>
      <c r="G54" s="339">
        <f t="shared" si="3"/>
        <v>61</v>
      </c>
      <c r="H54" s="339">
        <f t="shared" si="1"/>
        <v>29</v>
      </c>
      <c r="I54" s="340">
        <f t="shared" si="2"/>
        <v>32</v>
      </c>
    </row>
    <row r="55" spans="2:9" ht="13.5">
      <c r="B55" s="337">
        <v>62</v>
      </c>
      <c r="C55" s="338">
        <v>16</v>
      </c>
      <c r="D55" s="338">
        <v>4</v>
      </c>
      <c r="E55" s="338">
        <v>14</v>
      </c>
      <c r="F55" s="339">
        <f t="shared" si="0"/>
        <v>2</v>
      </c>
      <c r="G55" s="339">
        <f t="shared" si="3"/>
        <v>62</v>
      </c>
      <c r="H55" s="339">
        <f t="shared" si="1"/>
        <v>30</v>
      </c>
      <c r="I55" s="340">
        <f t="shared" si="2"/>
        <v>32</v>
      </c>
    </row>
    <row r="56" spans="2:9" ht="13.5">
      <c r="B56" s="337">
        <v>63</v>
      </c>
      <c r="C56" s="338">
        <v>16</v>
      </c>
      <c r="D56" s="338">
        <v>4</v>
      </c>
      <c r="E56" s="338">
        <v>15</v>
      </c>
      <c r="F56" s="339">
        <f t="shared" si="0"/>
        <v>1</v>
      </c>
      <c r="G56" s="339">
        <f t="shared" si="3"/>
        <v>63</v>
      </c>
      <c r="H56" s="339">
        <f t="shared" si="1"/>
        <v>31</v>
      </c>
      <c r="I56" s="340">
        <f t="shared" si="2"/>
        <v>32</v>
      </c>
    </row>
    <row r="57" spans="2:9" ht="13.5">
      <c r="B57" s="337">
        <v>64</v>
      </c>
      <c r="C57" s="338">
        <v>16</v>
      </c>
      <c r="D57" s="338">
        <v>4</v>
      </c>
      <c r="E57" s="338">
        <v>16</v>
      </c>
      <c r="F57" s="339">
        <f t="shared" si="0"/>
        <v>0</v>
      </c>
      <c r="G57" s="339">
        <f t="shared" si="3"/>
        <v>64</v>
      </c>
      <c r="H57" s="339">
        <f t="shared" si="1"/>
        <v>32</v>
      </c>
      <c r="I57" s="340">
        <f t="shared" si="2"/>
        <v>32</v>
      </c>
    </row>
    <row r="58" spans="2:9" ht="13.5">
      <c r="B58" s="337">
        <v>65</v>
      </c>
      <c r="C58" s="338">
        <v>17</v>
      </c>
      <c r="D58" s="338">
        <v>4</v>
      </c>
      <c r="E58" s="338">
        <v>14</v>
      </c>
      <c r="F58" s="339">
        <f t="shared" si="0"/>
        <v>3</v>
      </c>
      <c r="G58" s="339">
        <f t="shared" si="3"/>
        <v>65</v>
      </c>
      <c r="H58" s="339">
        <f t="shared" si="1"/>
        <v>31</v>
      </c>
      <c r="I58" s="340">
        <f t="shared" si="2"/>
        <v>34</v>
      </c>
    </row>
    <row r="59" spans="2:9" ht="13.5">
      <c r="B59" s="337">
        <v>66</v>
      </c>
      <c r="C59" s="338">
        <v>17</v>
      </c>
      <c r="D59" s="338">
        <v>4</v>
      </c>
      <c r="E59" s="338">
        <v>15</v>
      </c>
      <c r="F59" s="339">
        <f t="shared" si="0"/>
        <v>2</v>
      </c>
      <c r="G59" s="339">
        <f t="shared" si="3"/>
        <v>66</v>
      </c>
      <c r="H59" s="339">
        <f t="shared" si="1"/>
        <v>32</v>
      </c>
      <c r="I59" s="340">
        <f t="shared" si="2"/>
        <v>34</v>
      </c>
    </row>
    <row r="60" spans="2:9" ht="13.5">
      <c r="B60" s="337">
        <v>67</v>
      </c>
      <c r="C60" s="338">
        <v>17</v>
      </c>
      <c r="D60" s="338">
        <v>4</v>
      </c>
      <c r="E60" s="338">
        <v>16</v>
      </c>
      <c r="F60" s="339">
        <f t="shared" si="0"/>
        <v>1</v>
      </c>
      <c r="G60" s="339">
        <f t="shared" si="3"/>
        <v>67</v>
      </c>
      <c r="H60" s="339">
        <f t="shared" si="1"/>
        <v>33</v>
      </c>
      <c r="I60" s="340">
        <f t="shared" si="2"/>
        <v>34</v>
      </c>
    </row>
    <row r="61" spans="2:9" ht="13.5">
      <c r="B61" s="337">
        <v>68</v>
      </c>
      <c r="C61" s="338">
        <v>17</v>
      </c>
      <c r="D61" s="338">
        <v>4</v>
      </c>
      <c r="E61" s="338">
        <v>17</v>
      </c>
      <c r="F61" s="339">
        <f t="shared" si="0"/>
        <v>0</v>
      </c>
      <c r="G61" s="339">
        <f t="shared" si="3"/>
        <v>68</v>
      </c>
      <c r="H61" s="339">
        <f t="shared" si="1"/>
        <v>34</v>
      </c>
      <c r="I61" s="340">
        <f t="shared" si="2"/>
        <v>34</v>
      </c>
    </row>
    <row r="62" spans="2:9" ht="13.5">
      <c r="B62" s="337">
        <v>69</v>
      </c>
      <c r="C62" s="338">
        <v>18</v>
      </c>
      <c r="D62" s="338">
        <v>4</v>
      </c>
      <c r="E62" s="338">
        <v>15</v>
      </c>
      <c r="F62" s="339">
        <f t="shared" si="0"/>
        <v>3</v>
      </c>
      <c r="G62" s="339">
        <f t="shared" si="3"/>
        <v>69</v>
      </c>
      <c r="H62" s="339">
        <f t="shared" si="1"/>
        <v>33</v>
      </c>
      <c r="I62" s="340">
        <f t="shared" si="2"/>
        <v>36</v>
      </c>
    </row>
    <row r="63" spans="2:9" ht="13.5">
      <c r="B63" s="337">
        <v>70</v>
      </c>
      <c r="C63" s="338">
        <v>18</v>
      </c>
      <c r="D63" s="338">
        <v>4</v>
      </c>
      <c r="E63" s="338">
        <v>16</v>
      </c>
      <c r="F63" s="339">
        <f t="shared" si="0"/>
        <v>2</v>
      </c>
      <c r="G63" s="339">
        <f t="shared" si="3"/>
        <v>70</v>
      </c>
      <c r="H63" s="339">
        <f t="shared" si="1"/>
        <v>34</v>
      </c>
      <c r="I63" s="340">
        <f t="shared" si="2"/>
        <v>36</v>
      </c>
    </row>
    <row r="64" spans="2:9" ht="13.5">
      <c r="B64" s="337">
        <v>71</v>
      </c>
      <c r="C64" s="338">
        <v>18</v>
      </c>
      <c r="D64" s="338">
        <v>4</v>
      </c>
      <c r="E64" s="338">
        <v>17</v>
      </c>
      <c r="F64" s="339">
        <f t="shared" si="0"/>
        <v>1</v>
      </c>
      <c r="G64" s="339">
        <f t="shared" si="3"/>
        <v>71</v>
      </c>
      <c r="H64" s="339">
        <f t="shared" si="1"/>
        <v>35</v>
      </c>
      <c r="I64" s="340">
        <f t="shared" si="2"/>
        <v>36</v>
      </c>
    </row>
    <row r="65" spans="2:9" ht="13.5">
      <c r="B65" s="337">
        <v>72</v>
      </c>
      <c r="C65" s="338">
        <v>24</v>
      </c>
      <c r="D65" s="338">
        <v>3</v>
      </c>
      <c r="E65" s="338">
        <v>24</v>
      </c>
      <c r="F65" s="339">
        <f t="shared" si="0"/>
        <v>0</v>
      </c>
      <c r="G65" s="339">
        <f t="shared" si="3"/>
        <v>72</v>
      </c>
      <c r="H65" s="339">
        <f t="shared" si="1"/>
        <v>24</v>
      </c>
      <c r="I65" s="340">
        <f t="shared" si="2"/>
        <v>48</v>
      </c>
    </row>
    <row r="66" spans="2:9" ht="13.5">
      <c r="B66" s="337">
        <v>73</v>
      </c>
      <c r="C66" s="338">
        <v>24</v>
      </c>
      <c r="D66" s="338">
        <v>4</v>
      </c>
      <c r="E66" s="338">
        <v>1</v>
      </c>
      <c r="F66" s="339">
        <f t="shared" si="0"/>
        <v>23</v>
      </c>
      <c r="G66" s="339">
        <f t="shared" si="3"/>
        <v>73</v>
      </c>
      <c r="H66" s="339">
        <f t="shared" si="1"/>
        <v>25</v>
      </c>
      <c r="I66" s="340">
        <f t="shared" si="2"/>
        <v>48</v>
      </c>
    </row>
    <row r="67" spans="2:9" ht="13.5">
      <c r="B67" s="337">
        <v>74</v>
      </c>
      <c r="C67" s="338">
        <v>24</v>
      </c>
      <c r="D67" s="338">
        <v>4</v>
      </c>
      <c r="E67" s="338">
        <v>2</v>
      </c>
      <c r="F67" s="339">
        <f t="shared" si="0"/>
        <v>22</v>
      </c>
      <c r="G67" s="339">
        <f t="shared" si="3"/>
        <v>74</v>
      </c>
      <c r="H67" s="339">
        <f t="shared" si="1"/>
        <v>26</v>
      </c>
      <c r="I67" s="340">
        <f t="shared" si="2"/>
        <v>48</v>
      </c>
    </row>
    <row r="68" spans="2:9" ht="13.5">
      <c r="B68" s="337">
        <v>75</v>
      </c>
      <c r="C68" s="338">
        <v>24</v>
      </c>
      <c r="D68" s="338">
        <v>4</v>
      </c>
      <c r="E68" s="338">
        <v>3</v>
      </c>
      <c r="F68" s="339">
        <f t="shared" si="0"/>
        <v>21</v>
      </c>
      <c r="G68" s="339">
        <f t="shared" si="3"/>
        <v>75</v>
      </c>
      <c r="H68" s="339">
        <f t="shared" si="1"/>
        <v>27</v>
      </c>
      <c r="I68" s="340">
        <f t="shared" si="2"/>
        <v>48</v>
      </c>
    </row>
    <row r="69" spans="2:9" ht="13.5">
      <c r="B69" s="337">
        <v>76</v>
      </c>
      <c r="C69" s="338">
        <v>24</v>
      </c>
      <c r="D69" s="338">
        <v>4</v>
      </c>
      <c r="E69" s="338">
        <v>4</v>
      </c>
      <c r="F69" s="339">
        <f t="shared" si="0"/>
        <v>20</v>
      </c>
      <c r="G69" s="339">
        <f t="shared" si="3"/>
        <v>76</v>
      </c>
      <c r="H69" s="339">
        <f t="shared" si="1"/>
        <v>28</v>
      </c>
      <c r="I69" s="340">
        <f t="shared" si="2"/>
        <v>48</v>
      </c>
    </row>
    <row r="70" spans="2:9" ht="13.5">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5">
      <c r="B71" s="337">
        <v>78</v>
      </c>
      <c r="C71" s="338">
        <v>24</v>
      </c>
      <c r="D71" s="338">
        <v>4</v>
      </c>
      <c r="E71" s="338">
        <v>6</v>
      </c>
      <c r="F71" s="339">
        <f t="shared" si="4"/>
        <v>18</v>
      </c>
      <c r="G71" s="339">
        <f t="shared" ref="G71:G134" si="7">E71*D71+F71*(D71-1)</f>
        <v>78</v>
      </c>
      <c r="H71" s="339">
        <f t="shared" si="5"/>
        <v>30</v>
      </c>
      <c r="I71" s="340">
        <f t="shared" si="6"/>
        <v>48</v>
      </c>
    </row>
    <row r="72" spans="2:9" ht="13.5">
      <c r="B72" s="337">
        <v>79</v>
      </c>
      <c r="C72" s="338">
        <v>24</v>
      </c>
      <c r="D72" s="338">
        <v>4</v>
      </c>
      <c r="E72" s="338">
        <v>7</v>
      </c>
      <c r="F72" s="339">
        <f t="shared" si="4"/>
        <v>17</v>
      </c>
      <c r="G72" s="339">
        <f t="shared" si="7"/>
        <v>79</v>
      </c>
      <c r="H72" s="339">
        <f t="shared" si="5"/>
        <v>31</v>
      </c>
      <c r="I72" s="340">
        <f t="shared" si="6"/>
        <v>48</v>
      </c>
    </row>
    <row r="73" spans="2:9" ht="13.5">
      <c r="B73" s="337">
        <v>80</v>
      </c>
      <c r="C73" s="338">
        <v>24</v>
      </c>
      <c r="D73" s="338">
        <v>4</v>
      </c>
      <c r="E73" s="338">
        <v>8</v>
      </c>
      <c r="F73" s="339">
        <f t="shared" si="4"/>
        <v>16</v>
      </c>
      <c r="G73" s="339">
        <f t="shared" si="7"/>
        <v>80</v>
      </c>
      <c r="H73" s="339">
        <f t="shared" si="5"/>
        <v>32</v>
      </c>
      <c r="I73" s="340">
        <f t="shared" si="6"/>
        <v>48</v>
      </c>
    </row>
    <row r="74" spans="2:9" ht="13.5">
      <c r="B74" s="337">
        <v>81</v>
      </c>
      <c r="C74" s="338">
        <v>24</v>
      </c>
      <c r="D74" s="338">
        <v>4</v>
      </c>
      <c r="E74" s="338">
        <v>9</v>
      </c>
      <c r="F74" s="339">
        <f t="shared" si="4"/>
        <v>15</v>
      </c>
      <c r="G74" s="339">
        <f t="shared" si="7"/>
        <v>81</v>
      </c>
      <c r="H74" s="339">
        <f t="shared" si="5"/>
        <v>33</v>
      </c>
      <c r="I74" s="340">
        <f t="shared" si="6"/>
        <v>48</v>
      </c>
    </row>
    <row r="75" spans="2:9" ht="13.5">
      <c r="B75" s="337">
        <v>82</v>
      </c>
      <c r="C75" s="338">
        <v>24</v>
      </c>
      <c r="D75" s="338">
        <v>4</v>
      </c>
      <c r="E75" s="338">
        <v>10</v>
      </c>
      <c r="F75" s="339">
        <f t="shared" si="4"/>
        <v>14</v>
      </c>
      <c r="G75" s="339">
        <f t="shared" si="7"/>
        <v>82</v>
      </c>
      <c r="H75" s="339">
        <f t="shared" si="5"/>
        <v>34</v>
      </c>
      <c r="I75" s="340">
        <f t="shared" si="6"/>
        <v>48</v>
      </c>
    </row>
    <row r="76" spans="2:9" ht="13.5">
      <c r="B76" s="337">
        <v>83</v>
      </c>
      <c r="C76" s="338">
        <v>24</v>
      </c>
      <c r="D76" s="338">
        <v>4</v>
      </c>
      <c r="E76" s="338">
        <v>11</v>
      </c>
      <c r="F76" s="339">
        <f t="shared" si="4"/>
        <v>13</v>
      </c>
      <c r="G76" s="339">
        <f t="shared" si="7"/>
        <v>83</v>
      </c>
      <c r="H76" s="339">
        <f t="shared" si="5"/>
        <v>35</v>
      </c>
      <c r="I76" s="340">
        <f t="shared" si="6"/>
        <v>48</v>
      </c>
    </row>
    <row r="77" spans="2:9" ht="13.5">
      <c r="B77" s="337">
        <v>84</v>
      </c>
      <c r="C77" s="338">
        <v>24</v>
      </c>
      <c r="D77" s="338">
        <v>4</v>
      </c>
      <c r="E77" s="338">
        <v>12</v>
      </c>
      <c r="F77" s="339">
        <f t="shared" si="4"/>
        <v>12</v>
      </c>
      <c r="G77" s="339">
        <f t="shared" si="7"/>
        <v>84</v>
      </c>
      <c r="H77" s="339">
        <f t="shared" si="5"/>
        <v>36</v>
      </c>
      <c r="I77" s="340">
        <f t="shared" si="6"/>
        <v>48</v>
      </c>
    </row>
    <row r="78" spans="2:9" ht="13.5">
      <c r="B78" s="337">
        <v>85</v>
      </c>
      <c r="C78" s="338">
        <v>24</v>
      </c>
      <c r="D78" s="338">
        <v>4</v>
      </c>
      <c r="E78" s="338">
        <v>13</v>
      </c>
      <c r="F78" s="339">
        <f t="shared" si="4"/>
        <v>11</v>
      </c>
      <c r="G78" s="339">
        <f t="shared" si="7"/>
        <v>85</v>
      </c>
      <c r="H78" s="339">
        <f t="shared" si="5"/>
        <v>37</v>
      </c>
      <c r="I78" s="340">
        <f t="shared" si="6"/>
        <v>48</v>
      </c>
    </row>
    <row r="79" spans="2:9" ht="13.5">
      <c r="B79" s="337">
        <v>86</v>
      </c>
      <c r="C79" s="338">
        <v>24</v>
      </c>
      <c r="D79" s="338">
        <v>4</v>
      </c>
      <c r="E79" s="338">
        <v>14</v>
      </c>
      <c r="F79" s="339">
        <f t="shared" si="4"/>
        <v>10</v>
      </c>
      <c r="G79" s="339">
        <f t="shared" si="7"/>
        <v>86</v>
      </c>
      <c r="H79" s="339">
        <f t="shared" si="5"/>
        <v>38</v>
      </c>
      <c r="I79" s="340">
        <f t="shared" si="6"/>
        <v>48</v>
      </c>
    </row>
    <row r="80" spans="2:9" ht="13.5">
      <c r="B80" s="337">
        <v>87</v>
      </c>
      <c r="C80" s="338">
        <v>24</v>
      </c>
      <c r="D80" s="338">
        <v>4</v>
      </c>
      <c r="E80" s="338">
        <v>15</v>
      </c>
      <c r="F80" s="339">
        <f t="shared" si="4"/>
        <v>9</v>
      </c>
      <c r="G80" s="339">
        <f t="shared" si="7"/>
        <v>87</v>
      </c>
      <c r="H80" s="339">
        <f t="shared" si="5"/>
        <v>39</v>
      </c>
      <c r="I80" s="340">
        <f t="shared" si="6"/>
        <v>48</v>
      </c>
    </row>
    <row r="81" spans="2:9" ht="13.5">
      <c r="B81" s="337">
        <v>88</v>
      </c>
      <c r="C81" s="338">
        <v>24</v>
      </c>
      <c r="D81" s="338">
        <v>4</v>
      </c>
      <c r="E81" s="338">
        <v>16</v>
      </c>
      <c r="F81" s="339">
        <f t="shared" si="4"/>
        <v>8</v>
      </c>
      <c r="G81" s="339">
        <f t="shared" si="7"/>
        <v>88</v>
      </c>
      <c r="H81" s="339">
        <f t="shared" si="5"/>
        <v>40</v>
      </c>
      <c r="I81" s="340">
        <f t="shared" si="6"/>
        <v>48</v>
      </c>
    </row>
    <row r="82" spans="2:9" ht="13.5">
      <c r="B82" s="337">
        <v>89</v>
      </c>
      <c r="C82" s="338">
        <v>24</v>
      </c>
      <c r="D82" s="338">
        <v>4</v>
      </c>
      <c r="E82" s="338">
        <v>17</v>
      </c>
      <c r="F82" s="339">
        <f t="shared" si="4"/>
        <v>7</v>
      </c>
      <c r="G82" s="339">
        <f t="shared" si="7"/>
        <v>89</v>
      </c>
      <c r="H82" s="339">
        <f t="shared" si="5"/>
        <v>41</v>
      </c>
      <c r="I82" s="340">
        <f t="shared" si="6"/>
        <v>48</v>
      </c>
    </row>
    <row r="83" spans="2:9" ht="13.5">
      <c r="B83" s="337">
        <v>90</v>
      </c>
      <c r="C83" s="338">
        <v>24</v>
      </c>
      <c r="D83" s="338">
        <v>4</v>
      </c>
      <c r="E83" s="338">
        <v>18</v>
      </c>
      <c r="F83" s="339">
        <f t="shared" si="4"/>
        <v>6</v>
      </c>
      <c r="G83" s="339">
        <f t="shared" si="7"/>
        <v>90</v>
      </c>
      <c r="H83" s="339">
        <f t="shared" si="5"/>
        <v>42</v>
      </c>
      <c r="I83" s="340">
        <f t="shared" si="6"/>
        <v>48</v>
      </c>
    </row>
    <row r="84" spans="2:9" ht="13.5">
      <c r="B84" s="337">
        <v>91</v>
      </c>
      <c r="C84" s="338">
        <v>24</v>
      </c>
      <c r="D84" s="338">
        <v>4</v>
      </c>
      <c r="E84" s="338">
        <v>19</v>
      </c>
      <c r="F84" s="339">
        <f t="shared" si="4"/>
        <v>5</v>
      </c>
      <c r="G84" s="339">
        <f t="shared" si="7"/>
        <v>91</v>
      </c>
      <c r="H84" s="339">
        <f t="shared" si="5"/>
        <v>43</v>
      </c>
      <c r="I84" s="340">
        <f t="shared" si="6"/>
        <v>48</v>
      </c>
    </row>
    <row r="85" spans="2:9" ht="13.5">
      <c r="B85" s="337">
        <v>92</v>
      </c>
      <c r="C85" s="338">
        <v>24</v>
      </c>
      <c r="D85" s="338">
        <v>4</v>
      </c>
      <c r="E85" s="338">
        <v>20</v>
      </c>
      <c r="F85" s="339">
        <f t="shared" si="4"/>
        <v>4</v>
      </c>
      <c r="G85" s="339">
        <f t="shared" si="7"/>
        <v>92</v>
      </c>
      <c r="H85" s="339">
        <f t="shared" si="5"/>
        <v>44</v>
      </c>
      <c r="I85" s="340">
        <f t="shared" si="6"/>
        <v>48</v>
      </c>
    </row>
    <row r="86" spans="2:9" ht="13.5">
      <c r="B86" s="337">
        <v>93</v>
      </c>
      <c r="C86" s="338">
        <v>24</v>
      </c>
      <c r="D86" s="338">
        <v>4</v>
      </c>
      <c r="E86" s="338">
        <v>21</v>
      </c>
      <c r="F86" s="339">
        <f t="shared" si="4"/>
        <v>3</v>
      </c>
      <c r="G86" s="339">
        <f t="shared" si="7"/>
        <v>93</v>
      </c>
      <c r="H86" s="339">
        <f t="shared" si="5"/>
        <v>45</v>
      </c>
      <c r="I86" s="340">
        <f t="shared" si="6"/>
        <v>48</v>
      </c>
    </row>
    <row r="87" spans="2:9" ht="13.5">
      <c r="B87" s="337">
        <v>94</v>
      </c>
      <c r="C87" s="338">
        <v>24</v>
      </c>
      <c r="D87" s="338">
        <v>4</v>
      </c>
      <c r="E87" s="338">
        <v>22</v>
      </c>
      <c r="F87" s="339">
        <f t="shared" si="4"/>
        <v>2</v>
      </c>
      <c r="G87" s="339">
        <f t="shared" si="7"/>
        <v>94</v>
      </c>
      <c r="H87" s="339">
        <f t="shared" si="5"/>
        <v>46</v>
      </c>
      <c r="I87" s="340">
        <f t="shared" si="6"/>
        <v>48</v>
      </c>
    </row>
    <row r="88" spans="2:9" ht="13.5">
      <c r="B88" s="337">
        <v>95</v>
      </c>
      <c r="C88" s="338">
        <v>24</v>
      </c>
      <c r="D88" s="338">
        <v>4</v>
      </c>
      <c r="E88" s="338">
        <v>23</v>
      </c>
      <c r="F88" s="339">
        <f t="shared" si="4"/>
        <v>1</v>
      </c>
      <c r="G88" s="339">
        <f t="shared" si="7"/>
        <v>95</v>
      </c>
      <c r="H88" s="339">
        <f t="shared" si="5"/>
        <v>47</v>
      </c>
      <c r="I88" s="340">
        <f t="shared" si="6"/>
        <v>48</v>
      </c>
    </row>
    <row r="89" spans="2:9" ht="13.5">
      <c r="B89" s="337">
        <v>96</v>
      </c>
      <c r="C89" s="338">
        <v>32</v>
      </c>
      <c r="D89" s="338">
        <v>3</v>
      </c>
      <c r="E89" s="338">
        <v>32</v>
      </c>
      <c r="F89" s="339">
        <f t="shared" si="4"/>
        <v>0</v>
      </c>
      <c r="G89" s="339">
        <f t="shared" si="7"/>
        <v>96</v>
      </c>
      <c r="H89" s="339">
        <f t="shared" si="5"/>
        <v>32</v>
      </c>
      <c r="I89" s="340">
        <f t="shared" si="6"/>
        <v>64</v>
      </c>
    </row>
    <row r="90" spans="2:9" ht="13.5">
      <c r="B90" s="337">
        <v>97</v>
      </c>
      <c r="C90" s="338">
        <v>32</v>
      </c>
      <c r="D90" s="338">
        <v>4</v>
      </c>
      <c r="E90" s="338">
        <v>1</v>
      </c>
      <c r="F90" s="339">
        <f t="shared" si="4"/>
        <v>31</v>
      </c>
      <c r="G90" s="339">
        <f t="shared" si="7"/>
        <v>97</v>
      </c>
      <c r="H90" s="339">
        <f t="shared" si="5"/>
        <v>33</v>
      </c>
      <c r="I90" s="340">
        <f t="shared" si="6"/>
        <v>64</v>
      </c>
    </row>
    <row r="91" spans="2:9" ht="13.5">
      <c r="B91" s="337">
        <v>98</v>
      </c>
      <c r="C91" s="338">
        <v>32</v>
      </c>
      <c r="D91" s="338">
        <v>4</v>
      </c>
      <c r="E91" s="338">
        <v>2</v>
      </c>
      <c r="F91" s="339">
        <f t="shared" si="4"/>
        <v>30</v>
      </c>
      <c r="G91" s="339">
        <f t="shared" si="7"/>
        <v>98</v>
      </c>
      <c r="H91" s="339">
        <f t="shared" si="5"/>
        <v>34</v>
      </c>
      <c r="I91" s="340">
        <f t="shared" si="6"/>
        <v>64</v>
      </c>
    </row>
    <row r="92" spans="2:9" ht="13.5">
      <c r="B92" s="337">
        <v>99</v>
      </c>
      <c r="C92" s="338">
        <v>32</v>
      </c>
      <c r="D92" s="338">
        <v>4</v>
      </c>
      <c r="E92" s="338">
        <v>3</v>
      </c>
      <c r="F92" s="339">
        <f t="shared" si="4"/>
        <v>29</v>
      </c>
      <c r="G92" s="339">
        <f t="shared" si="7"/>
        <v>99</v>
      </c>
      <c r="H92" s="339">
        <f t="shared" si="5"/>
        <v>35</v>
      </c>
      <c r="I92" s="340">
        <f t="shared" si="6"/>
        <v>64</v>
      </c>
    </row>
    <row r="93" spans="2:9" ht="13.5">
      <c r="B93" s="337">
        <v>100</v>
      </c>
      <c r="C93" s="338">
        <v>32</v>
      </c>
      <c r="D93" s="338">
        <v>4</v>
      </c>
      <c r="E93" s="338">
        <v>4</v>
      </c>
      <c r="F93" s="339">
        <f t="shared" si="4"/>
        <v>28</v>
      </c>
      <c r="G93" s="339">
        <f t="shared" si="7"/>
        <v>100</v>
      </c>
      <c r="H93" s="339">
        <f t="shared" si="5"/>
        <v>36</v>
      </c>
      <c r="I93" s="340">
        <f t="shared" si="6"/>
        <v>64</v>
      </c>
    </row>
    <row r="94" spans="2:9" ht="13.5">
      <c r="B94" s="337">
        <v>101</v>
      </c>
      <c r="C94" s="338">
        <v>32</v>
      </c>
      <c r="D94" s="338">
        <v>4</v>
      </c>
      <c r="E94" s="338">
        <v>5</v>
      </c>
      <c r="F94" s="339">
        <f t="shared" si="4"/>
        <v>27</v>
      </c>
      <c r="G94" s="339">
        <f t="shared" si="7"/>
        <v>101</v>
      </c>
      <c r="H94" s="339">
        <f t="shared" si="5"/>
        <v>37</v>
      </c>
      <c r="I94" s="340">
        <f t="shared" si="6"/>
        <v>64</v>
      </c>
    </row>
    <row r="95" spans="2:9" ht="13.5">
      <c r="B95" s="337">
        <v>102</v>
      </c>
      <c r="C95" s="338">
        <v>32</v>
      </c>
      <c r="D95" s="338">
        <v>4</v>
      </c>
      <c r="E95" s="338">
        <v>6</v>
      </c>
      <c r="F95" s="339">
        <f t="shared" si="4"/>
        <v>26</v>
      </c>
      <c r="G95" s="339">
        <f t="shared" si="7"/>
        <v>102</v>
      </c>
      <c r="H95" s="339">
        <f t="shared" si="5"/>
        <v>38</v>
      </c>
      <c r="I95" s="340">
        <f t="shared" si="6"/>
        <v>64</v>
      </c>
    </row>
    <row r="96" spans="2:9" ht="13.5">
      <c r="B96" s="337">
        <v>103</v>
      </c>
      <c r="C96" s="338">
        <v>32</v>
      </c>
      <c r="D96" s="338">
        <v>4</v>
      </c>
      <c r="E96" s="338">
        <v>7</v>
      </c>
      <c r="F96" s="339">
        <f t="shared" si="4"/>
        <v>25</v>
      </c>
      <c r="G96" s="339">
        <f t="shared" si="7"/>
        <v>103</v>
      </c>
      <c r="H96" s="339">
        <f t="shared" si="5"/>
        <v>39</v>
      </c>
      <c r="I96" s="340">
        <f t="shared" si="6"/>
        <v>64</v>
      </c>
    </row>
    <row r="97" spans="2:9" ht="13.5">
      <c r="B97" s="337">
        <v>104</v>
      </c>
      <c r="C97" s="338">
        <v>32</v>
      </c>
      <c r="D97" s="338">
        <v>4</v>
      </c>
      <c r="E97" s="338">
        <v>8</v>
      </c>
      <c r="F97" s="339">
        <f t="shared" si="4"/>
        <v>24</v>
      </c>
      <c r="G97" s="339">
        <f t="shared" si="7"/>
        <v>104</v>
      </c>
      <c r="H97" s="339">
        <f t="shared" si="5"/>
        <v>40</v>
      </c>
      <c r="I97" s="340">
        <f t="shared" si="6"/>
        <v>64</v>
      </c>
    </row>
    <row r="98" spans="2:9" ht="13.5">
      <c r="B98" s="337">
        <v>105</v>
      </c>
      <c r="C98" s="338">
        <v>32</v>
      </c>
      <c r="D98" s="338">
        <v>4</v>
      </c>
      <c r="E98" s="338">
        <v>9</v>
      </c>
      <c r="F98" s="339">
        <f t="shared" si="4"/>
        <v>23</v>
      </c>
      <c r="G98" s="339">
        <f t="shared" si="7"/>
        <v>105</v>
      </c>
      <c r="H98" s="339">
        <f t="shared" si="5"/>
        <v>41</v>
      </c>
      <c r="I98" s="340">
        <f t="shared" si="6"/>
        <v>64</v>
      </c>
    </row>
    <row r="99" spans="2:9" ht="13.5">
      <c r="B99" s="337">
        <v>106</v>
      </c>
      <c r="C99" s="338">
        <v>32</v>
      </c>
      <c r="D99" s="338">
        <v>4</v>
      </c>
      <c r="E99" s="338">
        <v>10</v>
      </c>
      <c r="F99" s="339">
        <f t="shared" si="4"/>
        <v>22</v>
      </c>
      <c r="G99" s="339">
        <f t="shared" si="7"/>
        <v>106</v>
      </c>
      <c r="H99" s="339">
        <f t="shared" si="5"/>
        <v>42</v>
      </c>
      <c r="I99" s="340">
        <f t="shared" si="6"/>
        <v>64</v>
      </c>
    </row>
    <row r="100" spans="2:9" ht="13.5">
      <c r="B100" s="337">
        <v>107</v>
      </c>
      <c r="C100" s="338">
        <v>32</v>
      </c>
      <c r="D100" s="338">
        <v>4</v>
      </c>
      <c r="E100" s="338">
        <v>11</v>
      </c>
      <c r="F100" s="339">
        <f t="shared" si="4"/>
        <v>21</v>
      </c>
      <c r="G100" s="339">
        <f t="shared" si="7"/>
        <v>107</v>
      </c>
      <c r="H100" s="339">
        <f t="shared" si="5"/>
        <v>43</v>
      </c>
      <c r="I100" s="340">
        <f t="shared" si="6"/>
        <v>64</v>
      </c>
    </row>
    <row r="101" spans="2:9" ht="13.5">
      <c r="B101" s="337">
        <v>108</v>
      </c>
      <c r="C101" s="338">
        <v>32</v>
      </c>
      <c r="D101" s="338">
        <v>4</v>
      </c>
      <c r="E101" s="338">
        <v>12</v>
      </c>
      <c r="F101" s="339">
        <f t="shared" si="4"/>
        <v>20</v>
      </c>
      <c r="G101" s="339">
        <f t="shared" si="7"/>
        <v>108</v>
      </c>
      <c r="H101" s="339">
        <f t="shared" si="5"/>
        <v>44</v>
      </c>
      <c r="I101" s="340">
        <f t="shared" si="6"/>
        <v>64</v>
      </c>
    </row>
    <row r="102" spans="2:9" ht="13.5">
      <c r="B102" s="337">
        <v>109</v>
      </c>
      <c r="C102" s="338">
        <v>32</v>
      </c>
      <c r="D102" s="338">
        <v>4</v>
      </c>
      <c r="E102" s="338">
        <v>13</v>
      </c>
      <c r="F102" s="339">
        <f t="shared" si="4"/>
        <v>19</v>
      </c>
      <c r="G102" s="339">
        <f t="shared" si="7"/>
        <v>109</v>
      </c>
      <c r="H102" s="339">
        <f t="shared" si="5"/>
        <v>45</v>
      </c>
      <c r="I102" s="340">
        <f t="shared" si="6"/>
        <v>64</v>
      </c>
    </row>
    <row r="103" spans="2:9" ht="13.5">
      <c r="B103" s="337">
        <v>110</v>
      </c>
      <c r="C103" s="338">
        <v>32</v>
      </c>
      <c r="D103" s="338">
        <v>4</v>
      </c>
      <c r="E103" s="338">
        <v>14</v>
      </c>
      <c r="F103" s="339">
        <f t="shared" si="4"/>
        <v>18</v>
      </c>
      <c r="G103" s="339">
        <f t="shared" si="7"/>
        <v>110</v>
      </c>
      <c r="H103" s="339">
        <f t="shared" si="5"/>
        <v>46</v>
      </c>
      <c r="I103" s="340">
        <f t="shared" si="6"/>
        <v>64</v>
      </c>
    </row>
    <row r="104" spans="2:9" ht="13.5">
      <c r="B104" s="337">
        <v>111</v>
      </c>
      <c r="C104" s="338">
        <v>32</v>
      </c>
      <c r="D104" s="338">
        <v>4</v>
      </c>
      <c r="E104" s="338">
        <v>15</v>
      </c>
      <c r="F104" s="339">
        <f t="shared" si="4"/>
        <v>17</v>
      </c>
      <c r="G104" s="339">
        <f t="shared" si="7"/>
        <v>111</v>
      </c>
      <c r="H104" s="339">
        <f t="shared" si="5"/>
        <v>47</v>
      </c>
      <c r="I104" s="340">
        <f t="shared" si="6"/>
        <v>64</v>
      </c>
    </row>
    <row r="105" spans="2:9" ht="13.5">
      <c r="B105" s="337">
        <v>112</v>
      </c>
      <c r="C105" s="338">
        <v>32</v>
      </c>
      <c r="D105" s="338">
        <v>4</v>
      </c>
      <c r="E105" s="338">
        <v>16</v>
      </c>
      <c r="F105" s="339">
        <f t="shared" si="4"/>
        <v>16</v>
      </c>
      <c r="G105" s="339">
        <f t="shared" si="7"/>
        <v>112</v>
      </c>
      <c r="H105" s="339">
        <f t="shared" si="5"/>
        <v>48</v>
      </c>
      <c r="I105" s="340">
        <f t="shared" si="6"/>
        <v>64</v>
      </c>
    </row>
    <row r="106" spans="2:9" ht="13.5">
      <c r="B106" s="337">
        <v>113</v>
      </c>
      <c r="C106" s="338">
        <v>32</v>
      </c>
      <c r="D106" s="338">
        <v>4</v>
      </c>
      <c r="E106" s="338">
        <v>17</v>
      </c>
      <c r="F106" s="339">
        <f t="shared" si="4"/>
        <v>15</v>
      </c>
      <c r="G106" s="339">
        <f t="shared" si="7"/>
        <v>113</v>
      </c>
      <c r="H106" s="339">
        <f t="shared" si="5"/>
        <v>49</v>
      </c>
      <c r="I106" s="340">
        <f t="shared" si="6"/>
        <v>64</v>
      </c>
    </row>
    <row r="107" spans="2:9" ht="13.5">
      <c r="B107" s="337">
        <v>114</v>
      </c>
      <c r="C107" s="338">
        <v>32</v>
      </c>
      <c r="D107" s="338">
        <v>4</v>
      </c>
      <c r="E107" s="338">
        <v>18</v>
      </c>
      <c r="F107" s="339">
        <f t="shared" si="4"/>
        <v>14</v>
      </c>
      <c r="G107" s="339">
        <f t="shared" si="7"/>
        <v>114</v>
      </c>
      <c r="H107" s="339">
        <f t="shared" si="5"/>
        <v>50</v>
      </c>
      <c r="I107" s="340">
        <f t="shared" si="6"/>
        <v>64</v>
      </c>
    </row>
    <row r="108" spans="2:9" ht="13.5">
      <c r="B108" s="337">
        <v>115</v>
      </c>
      <c r="C108" s="338">
        <v>32</v>
      </c>
      <c r="D108" s="338">
        <v>4</v>
      </c>
      <c r="E108" s="338">
        <v>19</v>
      </c>
      <c r="F108" s="339">
        <f t="shared" si="4"/>
        <v>13</v>
      </c>
      <c r="G108" s="339">
        <f t="shared" si="7"/>
        <v>115</v>
      </c>
      <c r="H108" s="339">
        <f t="shared" si="5"/>
        <v>51</v>
      </c>
      <c r="I108" s="340">
        <f t="shared" si="6"/>
        <v>64</v>
      </c>
    </row>
    <row r="109" spans="2:9" ht="13.5">
      <c r="B109" s="337">
        <v>116</v>
      </c>
      <c r="C109" s="338">
        <v>32</v>
      </c>
      <c r="D109" s="338">
        <v>4</v>
      </c>
      <c r="E109" s="338">
        <v>20</v>
      </c>
      <c r="F109" s="339">
        <f t="shared" si="4"/>
        <v>12</v>
      </c>
      <c r="G109" s="339">
        <f t="shared" si="7"/>
        <v>116</v>
      </c>
      <c r="H109" s="339">
        <f t="shared" si="5"/>
        <v>52</v>
      </c>
      <c r="I109" s="340">
        <f t="shared" si="6"/>
        <v>64</v>
      </c>
    </row>
    <row r="110" spans="2:9" ht="13.5">
      <c r="B110" s="337">
        <v>117</v>
      </c>
      <c r="C110" s="338">
        <v>32</v>
      </c>
      <c r="D110" s="338">
        <v>4</v>
      </c>
      <c r="E110" s="338">
        <v>21</v>
      </c>
      <c r="F110" s="339">
        <f t="shared" si="4"/>
        <v>11</v>
      </c>
      <c r="G110" s="339">
        <f t="shared" si="7"/>
        <v>117</v>
      </c>
      <c r="H110" s="339">
        <f t="shared" si="5"/>
        <v>53</v>
      </c>
      <c r="I110" s="340">
        <f t="shared" si="6"/>
        <v>64</v>
      </c>
    </row>
    <row r="111" spans="2:9" ht="13.5">
      <c r="B111" s="337">
        <v>118</v>
      </c>
      <c r="C111" s="338">
        <v>32</v>
      </c>
      <c r="D111" s="338">
        <v>4</v>
      </c>
      <c r="E111" s="338">
        <v>22</v>
      </c>
      <c r="F111" s="339">
        <f t="shared" si="4"/>
        <v>10</v>
      </c>
      <c r="G111" s="339">
        <f t="shared" si="7"/>
        <v>118</v>
      </c>
      <c r="H111" s="339">
        <f t="shared" si="5"/>
        <v>54</v>
      </c>
      <c r="I111" s="340">
        <f t="shared" si="6"/>
        <v>64</v>
      </c>
    </row>
    <row r="112" spans="2:9" ht="13.5">
      <c r="B112" s="337">
        <v>119</v>
      </c>
      <c r="C112" s="338">
        <v>32</v>
      </c>
      <c r="D112" s="338">
        <v>4</v>
      </c>
      <c r="E112" s="338">
        <v>23</v>
      </c>
      <c r="F112" s="339">
        <f t="shared" si="4"/>
        <v>9</v>
      </c>
      <c r="G112" s="339">
        <f t="shared" si="7"/>
        <v>119</v>
      </c>
      <c r="H112" s="339">
        <f t="shared" si="5"/>
        <v>55</v>
      </c>
      <c r="I112" s="340">
        <f t="shared" si="6"/>
        <v>64</v>
      </c>
    </row>
    <row r="113" spans="2:9" ht="13.5">
      <c r="B113" s="337">
        <v>120</v>
      </c>
      <c r="C113" s="338">
        <v>32</v>
      </c>
      <c r="D113" s="338">
        <v>4</v>
      </c>
      <c r="E113" s="338">
        <v>24</v>
      </c>
      <c r="F113" s="339">
        <f t="shared" si="4"/>
        <v>8</v>
      </c>
      <c r="G113" s="339">
        <f t="shared" si="7"/>
        <v>120</v>
      </c>
      <c r="H113" s="339">
        <f t="shared" si="5"/>
        <v>56</v>
      </c>
      <c r="I113" s="340">
        <f t="shared" si="6"/>
        <v>64</v>
      </c>
    </row>
    <row r="114" spans="2:9" ht="13.5">
      <c r="B114" s="337">
        <v>121</v>
      </c>
      <c r="C114" s="338">
        <v>32</v>
      </c>
      <c r="D114" s="338">
        <v>4</v>
      </c>
      <c r="E114" s="338">
        <v>25</v>
      </c>
      <c r="F114" s="339">
        <f t="shared" si="4"/>
        <v>7</v>
      </c>
      <c r="G114" s="339">
        <f t="shared" si="7"/>
        <v>121</v>
      </c>
      <c r="H114" s="339">
        <f t="shared" si="5"/>
        <v>57</v>
      </c>
      <c r="I114" s="340">
        <f t="shared" si="6"/>
        <v>64</v>
      </c>
    </row>
    <row r="115" spans="2:9" ht="13.5">
      <c r="B115" s="337">
        <v>122</v>
      </c>
      <c r="C115" s="338">
        <v>32</v>
      </c>
      <c r="D115" s="338">
        <v>4</v>
      </c>
      <c r="E115" s="338">
        <v>26</v>
      </c>
      <c r="F115" s="339">
        <f t="shared" si="4"/>
        <v>6</v>
      </c>
      <c r="G115" s="339">
        <f t="shared" si="7"/>
        <v>122</v>
      </c>
      <c r="H115" s="339">
        <f t="shared" si="5"/>
        <v>58</v>
      </c>
      <c r="I115" s="340">
        <f t="shared" si="6"/>
        <v>64</v>
      </c>
    </row>
    <row r="116" spans="2:9" ht="13.5">
      <c r="B116" s="337">
        <v>123</v>
      </c>
      <c r="C116" s="338">
        <v>32</v>
      </c>
      <c r="D116" s="338">
        <v>4</v>
      </c>
      <c r="E116" s="338">
        <v>27</v>
      </c>
      <c r="F116" s="339">
        <f t="shared" si="4"/>
        <v>5</v>
      </c>
      <c r="G116" s="339">
        <f t="shared" si="7"/>
        <v>123</v>
      </c>
      <c r="H116" s="339">
        <f t="shared" si="5"/>
        <v>59</v>
      </c>
      <c r="I116" s="340">
        <f t="shared" si="6"/>
        <v>64</v>
      </c>
    </row>
    <row r="117" spans="2:9" ht="13.5">
      <c r="B117" s="337">
        <v>124</v>
      </c>
      <c r="C117" s="338">
        <v>32</v>
      </c>
      <c r="D117" s="338">
        <v>4</v>
      </c>
      <c r="E117" s="338">
        <v>28</v>
      </c>
      <c r="F117" s="339">
        <f t="shared" si="4"/>
        <v>4</v>
      </c>
      <c r="G117" s="339">
        <f t="shared" si="7"/>
        <v>124</v>
      </c>
      <c r="H117" s="339">
        <f t="shared" si="5"/>
        <v>60</v>
      </c>
      <c r="I117" s="340">
        <f t="shared" si="6"/>
        <v>64</v>
      </c>
    </row>
    <row r="118" spans="2:9" ht="13.5">
      <c r="B118" s="337">
        <v>125</v>
      </c>
      <c r="C118" s="338">
        <v>32</v>
      </c>
      <c r="D118" s="338">
        <v>4</v>
      </c>
      <c r="E118" s="338">
        <v>29</v>
      </c>
      <c r="F118" s="339">
        <f t="shared" si="4"/>
        <v>3</v>
      </c>
      <c r="G118" s="339">
        <f t="shared" si="7"/>
        <v>125</v>
      </c>
      <c r="H118" s="339">
        <f t="shared" si="5"/>
        <v>61</v>
      </c>
      <c r="I118" s="340">
        <f t="shared" si="6"/>
        <v>64</v>
      </c>
    </row>
    <row r="119" spans="2:9" ht="13.5">
      <c r="B119" s="337">
        <v>126</v>
      </c>
      <c r="C119" s="338">
        <v>32</v>
      </c>
      <c r="D119" s="338">
        <v>4</v>
      </c>
      <c r="E119" s="338">
        <v>30</v>
      </c>
      <c r="F119" s="339">
        <f t="shared" si="4"/>
        <v>2</v>
      </c>
      <c r="G119" s="339">
        <f t="shared" si="7"/>
        <v>126</v>
      </c>
      <c r="H119" s="339">
        <f t="shared" si="5"/>
        <v>62</v>
      </c>
      <c r="I119" s="340">
        <f t="shared" si="6"/>
        <v>64</v>
      </c>
    </row>
    <row r="120" spans="2:9" ht="13.5">
      <c r="B120" s="337">
        <v>127</v>
      </c>
      <c r="C120" s="338">
        <v>32</v>
      </c>
      <c r="D120" s="338">
        <v>4</v>
      </c>
      <c r="E120" s="338">
        <v>31</v>
      </c>
      <c r="F120" s="339">
        <f t="shared" si="4"/>
        <v>1</v>
      </c>
      <c r="G120" s="339">
        <f t="shared" si="7"/>
        <v>127</v>
      </c>
      <c r="H120" s="339">
        <f t="shared" si="5"/>
        <v>63</v>
      </c>
      <c r="I120" s="340">
        <f t="shared" si="6"/>
        <v>64</v>
      </c>
    </row>
    <row r="121" spans="2:9" ht="13.5">
      <c r="B121" s="337">
        <v>128</v>
      </c>
      <c r="C121" s="338">
        <v>32</v>
      </c>
      <c r="D121" s="338">
        <v>4</v>
      </c>
      <c r="E121" s="338">
        <v>32</v>
      </c>
      <c r="F121" s="339">
        <f t="shared" si="4"/>
        <v>0</v>
      </c>
      <c r="G121" s="339">
        <f t="shared" si="7"/>
        <v>128</v>
      </c>
      <c r="H121" s="339">
        <f t="shared" si="5"/>
        <v>64</v>
      </c>
      <c r="I121" s="340">
        <f t="shared" si="6"/>
        <v>64</v>
      </c>
    </row>
    <row r="122" spans="2:9" ht="13.5">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5">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5">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5">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5">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5">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5">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5">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5">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5">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5">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5">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5">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5">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5">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5">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5">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5">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5">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5">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5">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5">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5">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5">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5">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5">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5">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5">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5">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5">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5">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5">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5">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5">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5">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5">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5">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5">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5">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5">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5">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5">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5">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5">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5">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5">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5">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5">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5">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5">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5">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5">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5">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5">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5">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5">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5">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5">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5">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5">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5">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5">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5">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5">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5">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5">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5">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5">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5">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5">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5">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5">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5">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5">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5">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5">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5">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5">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5">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5">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5">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5">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5">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5">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5">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5">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5">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5">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5">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5">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5">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5">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5">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5">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5">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5">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5">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5">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5">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5">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5">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5">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5">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5">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5">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5">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5">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5">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5">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5">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5">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5">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5">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5">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5">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5">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5">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5">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5">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5">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5">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5">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5">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5">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5">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5">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5">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5">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6"/>
      <c r="E1" s="97"/>
      <c r="F1" s="7"/>
      <c r="G1" s="113">
        <f ca="1">'Kvalita turnaje'!$F$1</f>
        <v>44.175812499999999</v>
      </c>
      <c r="H1" s="125" t="s">
        <v>307</v>
      </c>
      <c r="I1" s="7"/>
    </row>
    <row r="2" spans="1:9" ht="27.75" customHeight="1" thickBot="1">
      <c r="A2" s="98">
        <f>Start.listina!$K$2</f>
        <v>20035</v>
      </c>
      <c r="B2" s="99" t="str">
        <f>Start.listina!$K$4</f>
        <v>MČR 1x1</v>
      </c>
      <c r="C2" s="100"/>
      <c r="D2" s="101"/>
      <c r="E2" s="12" t="str">
        <f>Start.listina!$K$3</f>
        <v>12.09.2020</v>
      </c>
      <c r="G2" s="165">
        <f ca="1">Start.listina!$K$7</f>
        <v>143</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Start.listina!AH11</f>
        <v>32</v>
      </c>
      <c r="B5" s="14">
        <f ca="1">Start.listina!I11</f>
        <v>99532</v>
      </c>
      <c r="C5" s="14" t="str">
        <f ca="1">Start.listina!J11</f>
        <v>Michálek</v>
      </c>
      <c r="D5" s="14" t="str">
        <f ca="1">Start.listina!K11</f>
        <v>Ivo</v>
      </c>
      <c r="E5" s="14" t="str">
        <f ca="1">Start.listina!L11</f>
        <v>Carreau Brno</v>
      </c>
      <c r="F5" s="14"/>
      <c r="G5" s="122">
        <f ca="1">IF(N(A5)&gt;0,VLOOKUP(A5,Body!$A$4:$F$259,5,0),"")</f>
        <v>332.52743750000002</v>
      </c>
      <c r="H5" s="7">
        <f ca="1">IF(N(A5)&gt;0,VLOOKUP(A5,Body!$A$4:$F$259,6,0),"")</f>
        <v>200</v>
      </c>
      <c r="I5" s="7">
        <f ca="1">IF(N(A5)&gt;0,VLOOKUP(A5,Body!$A$4:$F$259,2,0),"")</f>
        <v>3</v>
      </c>
    </row>
    <row r="6" spans="1:9">
      <c r="A6" s="14"/>
      <c r="B6" s="14" t="str">
        <f ca="1">Start.listina!O11</f>
        <v/>
      </c>
      <c r="C6" s="14" t="str">
        <f ca="1">Start.listina!P11</f>
        <v xml:space="preserve"> </v>
      </c>
      <c r="D6" s="14" t="str">
        <f ca="1">Start.listina!Q11</f>
        <v xml:space="preserve"> </v>
      </c>
      <c r="E6" s="14" t="str">
        <f ca="1">Start.listina!R11</f>
        <v xml:space="preserve"> </v>
      </c>
      <c r="F6" s="14"/>
      <c r="G6" s="122"/>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2"/>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2"/>
      <c r="H8" s="7"/>
      <c r="I8" s="7"/>
    </row>
    <row r="9" spans="1:9">
      <c r="A9" s="14">
        <f>Start.listina!AH12</f>
        <v>3</v>
      </c>
      <c r="B9" s="14">
        <f ca="1">Start.listina!I12</f>
        <v>29062</v>
      </c>
      <c r="C9" s="14" t="str">
        <f ca="1">Start.listina!J12</f>
        <v>Vavrovič</v>
      </c>
      <c r="D9" s="14" t="str">
        <f ca="1">Start.listina!K12</f>
        <v>Petr ml.</v>
      </c>
      <c r="E9" s="14" t="str">
        <f ca="1">Start.listina!L12</f>
        <v>PC Sokol Lipník</v>
      </c>
      <c r="F9" s="14"/>
      <c r="G9" s="122">
        <f ca="1">IF(N(A9)&gt;0,VLOOKUP(A9,Body!$A$4:$F$259,5,0),"")</f>
        <v>487.14278124999998</v>
      </c>
      <c r="H9" s="7">
        <f ca="1">IF(N(A9)&gt;0,VLOOKUP(A9,Body!$A$4:$F$259,6,0),"")</f>
        <v>200</v>
      </c>
      <c r="I9" s="7">
        <f ca="1">IF(N(A9)&gt;0,VLOOKUP(A9,Body!$A$4:$F$259,2,0),"")</f>
        <v>6.5</v>
      </c>
    </row>
    <row r="10" spans="1:9">
      <c r="A10" s="14"/>
      <c r="B10" s="14" t="str">
        <f ca="1">Start.listina!O12</f>
        <v/>
      </c>
      <c r="C10" s="14" t="str">
        <f ca="1">Start.listina!P12</f>
        <v xml:space="preserve"> </v>
      </c>
      <c r="D10" s="14" t="str">
        <f ca="1">Start.listina!Q12</f>
        <v xml:space="preserve"> </v>
      </c>
      <c r="E10" s="14" t="str">
        <f ca="1">Start.listina!R12</f>
        <v xml:space="preserve"> </v>
      </c>
      <c r="F10" s="14"/>
      <c r="G10" s="122"/>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2"/>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2"/>
      <c r="H12" s="7"/>
      <c r="I12" s="7"/>
    </row>
    <row r="13" spans="1:9">
      <c r="A13" s="14">
        <f>Start.listina!AH13</f>
        <v>1</v>
      </c>
      <c r="B13" s="14">
        <f ca="1">Start.listina!I13</f>
        <v>21774</v>
      </c>
      <c r="C13" s="14" t="str">
        <f ca="1">Start.listina!J13</f>
        <v>Michálek</v>
      </c>
      <c r="D13" s="14" t="str">
        <f ca="1">Start.listina!K13</f>
        <v>Tomáš</v>
      </c>
      <c r="E13" s="14" t="str">
        <f ca="1">Start.listina!L13</f>
        <v>Carreau Brno</v>
      </c>
      <c r="F13" s="14"/>
      <c r="G13" s="122">
        <f ca="1">IF(N(A13)&gt;0,VLOOKUP(A13,Body!$A$4:$F$259,5,0),"")</f>
        <v>553.40650000000005</v>
      </c>
      <c r="H13" s="7">
        <f ca="1">IF(N(A13)&gt;0,VLOOKUP(A13,Body!$A$4:$F$259,6,0),"")</f>
        <v>200</v>
      </c>
      <c r="I13" s="7">
        <f ca="1">IF(N(A13)&gt;0,VLOOKUP(A13,Body!$A$4:$F$259,2,0),"")</f>
        <v>8</v>
      </c>
    </row>
    <row r="14" spans="1:9">
      <c r="A14" s="14"/>
      <c r="B14" s="14" t="str">
        <f ca="1">Start.listina!O13</f>
        <v/>
      </c>
      <c r="C14" s="14" t="str">
        <f ca="1">Start.listina!P13</f>
        <v xml:space="preserve"> </v>
      </c>
      <c r="D14" s="14" t="str">
        <f ca="1">Start.listina!Q13</f>
        <v xml:space="preserve"> </v>
      </c>
      <c r="E14" s="14" t="str">
        <f ca="1">Start.listina!R13</f>
        <v xml:space="preserve"> </v>
      </c>
      <c r="F14" s="14"/>
      <c r="G14" s="122"/>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2"/>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2"/>
      <c r="H16" s="7"/>
      <c r="I16" s="7"/>
    </row>
    <row r="17" spans="1:9">
      <c r="A17" s="14">
        <f>Start.listina!AH14</f>
        <v>15</v>
      </c>
      <c r="B17" s="14">
        <f ca="1">Start.listina!I14</f>
        <v>27039</v>
      </c>
      <c r="C17" s="14" t="str">
        <f ca="1">Start.listina!J14</f>
        <v>Kauca</v>
      </c>
      <c r="D17" s="14" t="str">
        <f ca="1">Start.listina!K14</f>
        <v>Jindřich</v>
      </c>
      <c r="E17" s="14" t="str">
        <f ca="1">Start.listina!L14</f>
        <v>PC Kolová</v>
      </c>
      <c r="F17" s="14"/>
      <c r="G17" s="122">
        <f ca="1">IF(N(A17)&gt;0,VLOOKUP(A17,Body!$A$4:$F$259,5,0),"")</f>
        <v>382.22522656249998</v>
      </c>
      <c r="H17" s="7">
        <f ca="1">IF(N(A17)&gt;0,VLOOKUP(A17,Body!$A$4:$F$259,6,0),"")</f>
        <v>200</v>
      </c>
      <c r="I17" s="7">
        <f ca="1">IF(N(A17)&gt;0,VLOOKUP(A17,Body!$A$4:$F$259,2,0),"")</f>
        <v>4.125</v>
      </c>
    </row>
    <row r="18" spans="1:9">
      <c r="A18" s="14"/>
      <c r="B18" s="14" t="str">
        <f ca="1">Start.listina!O14</f>
        <v/>
      </c>
      <c r="C18" s="14" t="str">
        <f ca="1">Start.listina!P14</f>
        <v xml:space="preserve"> </v>
      </c>
      <c r="D18" s="14" t="str">
        <f ca="1">Start.listina!Q14</f>
        <v xml:space="preserve"> </v>
      </c>
      <c r="E18" s="14" t="str">
        <f ca="1">Start.listina!R14</f>
        <v xml:space="preserve"> </v>
      </c>
      <c r="F18" s="14"/>
      <c r="G18" s="122"/>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2"/>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2"/>
      <c r="H20" s="7"/>
      <c r="I20" s="7"/>
    </row>
    <row r="21" spans="1:9">
      <c r="A21" s="14">
        <f>Start.listina!AH15</f>
        <v>10</v>
      </c>
      <c r="B21" s="14">
        <f ca="1">Start.listina!I15</f>
        <v>12022</v>
      </c>
      <c r="C21" s="14" t="str">
        <f ca="1">Start.listina!J15</f>
        <v>Slobodová</v>
      </c>
      <c r="D21" s="14" t="str">
        <f ca="1">Start.listina!K15</f>
        <v>Veronika</v>
      </c>
      <c r="E21" s="14" t="str">
        <f ca="1">Start.listina!L15</f>
        <v>Carreau Brno</v>
      </c>
      <c r="F21" s="14"/>
      <c r="G21" s="122">
        <f ca="1">IF(N(A21)&gt;0,VLOOKUP(A21,Body!$A$4:$F$259,5,0),"")</f>
        <v>409.835109375</v>
      </c>
      <c r="H21" s="7">
        <f ca="1">IF(N(A21)&gt;0,VLOOKUP(A21,Body!$A$4:$F$259,6,0),"")</f>
        <v>200</v>
      </c>
      <c r="I21" s="7">
        <f ca="1">IF(N(A21)&gt;0,VLOOKUP(A21,Body!$A$4:$F$259,2,0),"")</f>
        <v>4.75</v>
      </c>
    </row>
    <row r="22" spans="1:9">
      <c r="A22" s="14"/>
      <c r="B22" s="14" t="str">
        <f ca="1">Start.listina!O15</f>
        <v/>
      </c>
      <c r="C22" s="14" t="str">
        <f ca="1">Start.listina!P15</f>
        <v xml:space="preserve"> </v>
      </c>
      <c r="D22" s="14" t="str">
        <f ca="1">Start.listina!Q15</f>
        <v xml:space="preserve"> </v>
      </c>
      <c r="E22" s="14" t="str">
        <f ca="1">Start.listina!R15</f>
        <v xml:space="preserve"> </v>
      </c>
      <c r="F22" s="14"/>
      <c r="G22" s="122"/>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2"/>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2"/>
      <c r="H24" s="7"/>
      <c r="I24" s="7"/>
    </row>
    <row r="25" spans="1:9">
      <c r="A25" s="14">
        <f>Start.listina!AH16</f>
        <v>32</v>
      </c>
      <c r="B25" s="14">
        <f ca="1">Start.listina!I16</f>
        <v>14075</v>
      </c>
      <c r="C25" s="14" t="str">
        <f ca="1">Start.listina!J16</f>
        <v>Froňková</v>
      </c>
      <c r="D25" s="14" t="str">
        <f ca="1">Start.listina!K16</f>
        <v>Kateřina</v>
      </c>
      <c r="E25" s="14" t="str">
        <f ca="1">Start.listina!L16</f>
        <v>PC Sokol Lipník</v>
      </c>
      <c r="F25" s="14"/>
      <c r="G25" s="122">
        <f ca="1">IF(N(A25)&gt;0,VLOOKUP(A25,Body!$A$4:$F$259,5,0),"")</f>
        <v>332.52743750000002</v>
      </c>
      <c r="H25" s="7">
        <f ca="1">IF(N(A25)&gt;0,VLOOKUP(A25,Body!$A$4:$F$259,6,0),"")</f>
        <v>200</v>
      </c>
      <c r="I25" s="7">
        <f ca="1">IF(N(A25)&gt;0,VLOOKUP(A25,Body!$A$4:$F$259,2,0),"")</f>
        <v>3</v>
      </c>
    </row>
    <row r="26" spans="1:9">
      <c r="A26" s="14"/>
      <c r="B26" s="14" t="str">
        <f ca="1">Start.listina!O16</f>
        <v/>
      </c>
      <c r="C26" s="14" t="str">
        <f ca="1">Start.listina!P16</f>
        <v xml:space="preserve"> </v>
      </c>
      <c r="D26" s="14" t="str">
        <f ca="1">Start.listina!Q16</f>
        <v xml:space="preserve"> </v>
      </c>
      <c r="E26" s="14" t="str">
        <f ca="1">Start.listina!R16</f>
        <v xml:space="preserve"> </v>
      </c>
      <c r="F26" s="14"/>
      <c r="G26" s="122"/>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2"/>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2"/>
      <c r="H28" s="7"/>
      <c r="I28" s="7"/>
    </row>
    <row r="29" spans="1:9">
      <c r="A29" s="14">
        <f>Start.listina!AH17</f>
        <v>5</v>
      </c>
      <c r="B29" s="14">
        <f ca="1">Start.listina!I17</f>
        <v>11039</v>
      </c>
      <c r="C29" s="14" t="str">
        <f ca="1">Start.listina!J17</f>
        <v>Lukáš</v>
      </c>
      <c r="D29" s="14" t="str">
        <f ca="1">Start.listina!K17</f>
        <v>Vojtěch</v>
      </c>
      <c r="E29" s="14" t="str">
        <f ca="1">Start.listina!L17</f>
        <v>PLUK Jablonec</v>
      </c>
      <c r="F29" s="14"/>
      <c r="G29" s="122">
        <f ca="1">IF(N(A29)&gt;0,VLOOKUP(A29,Body!$A$4:$F$259,5,0),"")</f>
        <v>454.01092187500001</v>
      </c>
      <c r="H29" s="7">
        <f ca="1">IF(N(A29)&gt;0,VLOOKUP(A29,Body!$A$4:$F$259,6,0),"")</f>
        <v>200</v>
      </c>
      <c r="I29" s="7">
        <f ca="1">IF(N(A29)&gt;0,VLOOKUP(A29,Body!$A$4:$F$259,2,0),"")</f>
        <v>5.75</v>
      </c>
    </row>
    <row r="30" spans="1:9">
      <c r="A30" s="14"/>
      <c r="B30" s="14" t="str">
        <f ca="1">Start.listina!O17</f>
        <v/>
      </c>
      <c r="C30" s="14" t="str">
        <f ca="1">Start.listina!P17</f>
        <v xml:space="preserve"> </v>
      </c>
      <c r="D30" s="14" t="str">
        <f ca="1">Start.listina!Q17</f>
        <v xml:space="preserve"> </v>
      </c>
      <c r="E30" s="14" t="str">
        <f ca="1">Start.listina!R17</f>
        <v xml:space="preserve"> </v>
      </c>
      <c r="F30" s="14"/>
      <c r="G30" s="122"/>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2"/>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2"/>
      <c r="H32" s="7"/>
      <c r="I32" s="7"/>
    </row>
    <row r="33" spans="1:9">
      <c r="A33" s="14">
        <f>Start.listina!AH18</f>
        <v>32</v>
      </c>
      <c r="B33" s="14">
        <f ca="1">Start.listina!I18</f>
        <v>13040</v>
      </c>
      <c r="C33" s="14" t="str">
        <f ca="1">Start.listina!J18</f>
        <v>Bílek</v>
      </c>
      <c r="D33" s="14" t="str">
        <f ca="1">Start.listina!K18</f>
        <v>Vojtěch</v>
      </c>
      <c r="E33" s="14" t="str">
        <f ca="1">Start.listina!L18</f>
        <v>1. KPK Vrchlabí</v>
      </c>
      <c r="F33" s="14"/>
      <c r="G33" s="122">
        <f ca="1">IF(N(A33)&gt;0,VLOOKUP(A33,Body!$A$4:$F$259,5,0),"")</f>
        <v>332.52743750000002</v>
      </c>
      <c r="H33" s="7">
        <f ca="1">IF(N(A33)&gt;0,VLOOKUP(A33,Body!$A$4:$F$259,6,0),"")</f>
        <v>200</v>
      </c>
      <c r="I33" s="7">
        <f ca="1">IF(N(A33)&gt;0,VLOOKUP(A33,Body!$A$4:$F$259,2,0),"")</f>
        <v>3</v>
      </c>
    </row>
    <row r="34" spans="1:9">
      <c r="A34" s="14"/>
      <c r="B34" s="14" t="str">
        <f ca="1">Start.listina!O18</f>
        <v/>
      </c>
      <c r="C34" s="14" t="str">
        <f ca="1">Start.listina!P18</f>
        <v xml:space="preserve"> </v>
      </c>
      <c r="D34" s="14" t="str">
        <f ca="1">Start.listina!Q18</f>
        <v xml:space="preserve"> </v>
      </c>
      <c r="E34" s="14" t="str">
        <f ca="1">Start.listina!R18</f>
        <v xml:space="preserve"> </v>
      </c>
      <c r="F34" s="14"/>
      <c r="G34" s="122"/>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2"/>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2"/>
      <c r="H36" s="7"/>
      <c r="I36" s="7"/>
    </row>
    <row r="37" spans="1:9">
      <c r="A37" s="14">
        <f>Start.listina!AH19</f>
        <v>6</v>
      </c>
      <c r="B37" s="14">
        <f ca="1">Start.listina!I19</f>
        <v>21755</v>
      </c>
      <c r="C37" s="14" t="str">
        <f ca="1">Start.listina!J19</f>
        <v>Valenz</v>
      </c>
      <c r="D37" s="14" t="str">
        <f ca="1">Start.listina!K19</f>
        <v>Lukáš</v>
      </c>
      <c r="E37" s="14" t="str">
        <f ca="1">Start.listina!L19</f>
        <v>VARAN</v>
      </c>
      <c r="F37" s="14"/>
      <c r="G37" s="122">
        <f ca="1">IF(N(A37)&gt;0,VLOOKUP(A37,Body!$A$4:$F$259,5,0),"")</f>
        <v>442.96696874999998</v>
      </c>
      <c r="H37" s="7">
        <f ca="1">IF(N(A37)&gt;0,VLOOKUP(A37,Body!$A$4:$F$259,6,0),"")</f>
        <v>200</v>
      </c>
      <c r="I37" s="7">
        <f ca="1">IF(N(A37)&gt;0,VLOOKUP(A37,Body!$A$4:$F$259,2,0),"")</f>
        <v>5.5</v>
      </c>
    </row>
    <row r="38" spans="1:9">
      <c r="A38" s="14"/>
      <c r="B38" s="14" t="str">
        <f ca="1">Start.listina!O19</f>
        <v/>
      </c>
      <c r="C38" s="14" t="str">
        <f ca="1">Start.listina!P19</f>
        <v xml:space="preserve"> </v>
      </c>
      <c r="D38" s="14" t="str">
        <f ca="1">Start.listina!Q19</f>
        <v xml:space="preserve"> </v>
      </c>
      <c r="E38" s="14" t="str">
        <f ca="1">Start.listina!R19</f>
        <v xml:space="preserve"> </v>
      </c>
      <c r="F38" s="14"/>
      <c r="G38" s="122"/>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2"/>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2"/>
      <c r="H40" s="7"/>
      <c r="I40" s="7"/>
    </row>
    <row r="41" spans="1:9">
      <c r="A41" s="14">
        <f>Start.listina!AH20</f>
        <v>16</v>
      </c>
      <c r="B41" s="14">
        <f ca="1">Start.listina!I20</f>
        <v>14008</v>
      </c>
      <c r="C41" s="14" t="str">
        <f ca="1">Start.listina!J20</f>
        <v>Bačo</v>
      </c>
      <c r="D41" s="14" t="str">
        <f ca="1">Start.listina!K20</f>
        <v>David</v>
      </c>
      <c r="E41" s="14" t="str">
        <f ca="1">Start.listina!L20</f>
        <v>TOP - ORLOVÁ</v>
      </c>
      <c r="F41" s="14"/>
      <c r="G41" s="122">
        <f ca="1">IF(N(A41)&gt;0,VLOOKUP(A41,Body!$A$4:$F$259,5,0),"")</f>
        <v>376.70325000000003</v>
      </c>
      <c r="H41" s="7">
        <f ca="1">IF(N(A41)&gt;0,VLOOKUP(A41,Body!$A$4:$F$259,6,0),"")</f>
        <v>200</v>
      </c>
      <c r="I41" s="7">
        <f ca="1">IF(N(A41)&gt;0,VLOOKUP(A41,Body!$A$4:$F$259,2,0),"")</f>
        <v>4</v>
      </c>
    </row>
    <row r="42" spans="1:9">
      <c r="A42" s="14"/>
      <c r="B42" s="14" t="str">
        <f ca="1">Start.listina!O20</f>
        <v/>
      </c>
      <c r="C42" s="14" t="str">
        <f ca="1">Start.listina!P20</f>
        <v xml:space="preserve"> </v>
      </c>
      <c r="D42" s="14" t="str">
        <f ca="1">Start.listina!Q20</f>
        <v xml:space="preserve"> </v>
      </c>
      <c r="E42" s="14" t="str">
        <f ca="1">Start.listina!R20</f>
        <v xml:space="preserve"> </v>
      </c>
      <c r="F42" s="14"/>
      <c r="G42" s="122"/>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2"/>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2"/>
      <c r="H44" s="7"/>
      <c r="I44" s="7"/>
    </row>
    <row r="45" spans="1:9">
      <c r="A45" s="14">
        <f>Start.listina!AH21</f>
        <v>129</v>
      </c>
      <c r="B45" s="14">
        <f ca="1">Start.listina!I21</f>
        <v>98446</v>
      </c>
      <c r="C45" s="14" t="str">
        <f ca="1">Start.listina!J21</f>
        <v>Morávek</v>
      </c>
      <c r="D45" s="14" t="str">
        <f ca="1">Start.listina!K21</f>
        <v>Petr</v>
      </c>
      <c r="E45" s="14" t="str">
        <f ca="1">Start.listina!L21</f>
        <v>PC Sokol Lipník</v>
      </c>
      <c r="F45" s="14"/>
      <c r="G45" s="122">
        <f ca="1">IF(N(A45)&gt;0,VLOOKUP(A45,Body!$A$4:$F$259,5,0),"")</f>
        <v>553.40650000000005</v>
      </c>
      <c r="H45" s="7">
        <f ca="1">IF(N(A45)&gt;0,VLOOKUP(A45,Body!$A$4:$F$259,6,0),"")</f>
        <v>200</v>
      </c>
      <c r="I45" s="7">
        <f ca="1">IF(N(A45)&gt;0,VLOOKUP(A45,Body!$A$4:$F$259,2,0),"")</f>
        <v>8</v>
      </c>
    </row>
    <row r="46" spans="1:9">
      <c r="A46" s="14"/>
      <c r="B46" s="14" t="str">
        <f ca="1">Start.listina!O21</f>
        <v/>
      </c>
      <c r="C46" s="14" t="str">
        <f ca="1">Start.listina!P21</f>
        <v xml:space="preserve"> </v>
      </c>
      <c r="D46" s="14" t="str">
        <f ca="1">Start.listina!Q21</f>
        <v xml:space="preserve"> </v>
      </c>
      <c r="E46" s="14" t="str">
        <f ca="1">Start.listina!R21</f>
        <v xml:space="preserve"> </v>
      </c>
      <c r="F46" s="14"/>
      <c r="G46" s="122"/>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2"/>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2"/>
      <c r="H48" s="7"/>
      <c r="I48" s="7"/>
    </row>
    <row r="49" spans="1:9">
      <c r="A49" s="14">
        <f ca="1">Start.listina!AH22</f>
        <v>64</v>
      </c>
      <c r="B49" s="14">
        <f ca="1">Start.listina!I22</f>
        <v>23086</v>
      </c>
      <c r="C49" s="14" t="str">
        <f ca="1">Start.listina!J22</f>
        <v>Řehoř</v>
      </c>
      <c r="D49" s="14" t="str">
        <f ca="1">Start.listina!K22</f>
        <v>Miroslav</v>
      </c>
      <c r="E49" s="14" t="str">
        <f ca="1">Start.listina!L22</f>
        <v>FRAPECO</v>
      </c>
      <c r="F49" s="14"/>
      <c r="G49" s="122">
        <f ca="1">IF(N(A49)&gt;0,VLOOKUP(A49,Body!$A$4:$F$259,5,0),"")</f>
        <v>288.35162500000001</v>
      </c>
      <c r="H49" s="7">
        <f ca="1">IF(N(A49)&gt;0,VLOOKUP(A49,Body!$A$4:$F$259,6,0),"")</f>
        <v>200</v>
      </c>
      <c r="I49" s="7">
        <f ca="1">IF(N(A49)&gt;0,VLOOKUP(A49,Body!$A$4:$F$259,2,0),"")</f>
        <v>2</v>
      </c>
    </row>
    <row r="50" spans="1:9">
      <c r="A50" s="14"/>
      <c r="B50" s="14" t="str">
        <f ca="1">Start.listina!O22</f>
        <v/>
      </c>
      <c r="C50" s="14" t="str">
        <f ca="1">Start.listina!P22</f>
        <v xml:space="preserve"> </v>
      </c>
      <c r="D50" s="14" t="str">
        <f ca="1">Start.listina!Q22</f>
        <v xml:space="preserve"> </v>
      </c>
      <c r="E50" s="14" t="str">
        <f ca="1">Start.listina!R22</f>
        <v xml:space="preserve"> </v>
      </c>
      <c r="F50" s="14"/>
      <c r="G50" s="122"/>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2"/>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2"/>
      <c r="H52" s="7"/>
      <c r="I52" s="7"/>
    </row>
    <row r="53" spans="1:9">
      <c r="A53" s="14">
        <f>Start.listina!AH23</f>
        <v>64</v>
      </c>
      <c r="B53" s="14">
        <f ca="1">Start.listina!I23</f>
        <v>15058</v>
      </c>
      <c r="C53" s="14" t="str">
        <f ca="1">Start.listina!J23</f>
        <v>Zdobinský</v>
      </c>
      <c r="D53" s="14" t="str">
        <f ca="1">Start.listina!K23</f>
        <v>Michal ml.</v>
      </c>
      <c r="E53" s="14" t="str">
        <f ca="1">Start.listina!L23</f>
        <v>PC Sokol Lipník</v>
      </c>
      <c r="F53" s="14"/>
      <c r="G53" s="122">
        <f ca="1">IF(N(A53)&gt;0,VLOOKUP(A53,Body!$A$4:$F$259,5,0),"")</f>
        <v>288.35162500000001</v>
      </c>
      <c r="H53" s="7">
        <f ca="1">IF(N(A53)&gt;0,VLOOKUP(A53,Body!$A$4:$F$259,6,0),"")</f>
        <v>200</v>
      </c>
      <c r="I53" s="7">
        <f ca="1">IF(N(A53)&gt;0,VLOOKUP(A53,Body!$A$4:$F$259,2,0),"")</f>
        <v>2</v>
      </c>
    </row>
    <row r="54" spans="1:9">
      <c r="A54" s="14"/>
      <c r="B54" s="14" t="str">
        <f ca="1">Start.listina!O23</f>
        <v/>
      </c>
      <c r="C54" s="14" t="str">
        <f ca="1">Start.listina!P23</f>
        <v xml:space="preserve"> </v>
      </c>
      <c r="D54" s="14" t="str">
        <f ca="1">Start.listina!Q23</f>
        <v xml:space="preserve"> </v>
      </c>
      <c r="E54" s="14" t="str">
        <f ca="1">Start.listina!R23</f>
        <v xml:space="preserve"> </v>
      </c>
      <c r="F54" s="14"/>
      <c r="G54" s="122"/>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2"/>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2"/>
      <c r="H56" s="7"/>
      <c r="I56" s="7"/>
    </row>
    <row r="57" spans="1:9">
      <c r="A57" s="14">
        <f>Start.listina!AH24</f>
        <v>32</v>
      </c>
      <c r="B57" s="14">
        <f ca="1">Start.listina!I24</f>
        <v>23021</v>
      </c>
      <c r="C57" s="14" t="str">
        <f ca="1">Start.listina!J24</f>
        <v>Ondryáš</v>
      </c>
      <c r="D57" s="14" t="str">
        <f ca="1">Start.listina!K24</f>
        <v>Jiří</v>
      </c>
      <c r="E57" s="14" t="str">
        <f ca="1">Start.listina!L24</f>
        <v>FRAPECO</v>
      </c>
      <c r="F57" s="14"/>
      <c r="G57" s="122">
        <f ca="1">IF(N(A57)&gt;0,VLOOKUP(A57,Body!$A$4:$F$259,5,0),"")</f>
        <v>332.52743750000002</v>
      </c>
      <c r="H57" s="7">
        <f ca="1">IF(N(A57)&gt;0,VLOOKUP(A57,Body!$A$4:$F$259,6,0),"")</f>
        <v>200</v>
      </c>
      <c r="I57" s="7">
        <f ca="1">IF(N(A57)&gt;0,VLOOKUP(A57,Body!$A$4:$F$259,2,0),"")</f>
        <v>3</v>
      </c>
    </row>
    <row r="58" spans="1:9">
      <c r="A58" s="14"/>
      <c r="B58" s="14" t="str">
        <f ca="1">Start.listina!O24</f>
        <v/>
      </c>
      <c r="C58" s="14" t="str">
        <f ca="1">Start.listina!P24</f>
        <v xml:space="preserve"> </v>
      </c>
      <c r="D58" s="14" t="str">
        <f ca="1">Start.listina!Q24</f>
        <v xml:space="preserve"> </v>
      </c>
      <c r="E58" s="14" t="str">
        <f ca="1">Start.listina!R24</f>
        <v xml:space="preserve"> </v>
      </c>
      <c r="F58" s="14"/>
      <c r="G58" s="122"/>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2"/>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2"/>
      <c r="H60" s="7"/>
      <c r="I60" s="7"/>
    </row>
    <row r="61" spans="1:9">
      <c r="A61" s="14">
        <f ca="1">Start.listina!AH25</f>
        <v>64</v>
      </c>
      <c r="B61" s="14">
        <f ca="1">Start.listina!I25</f>
        <v>14024</v>
      </c>
      <c r="C61" s="14" t="str">
        <f ca="1">Start.listina!J25</f>
        <v>Palicová</v>
      </c>
      <c r="D61" s="14" t="str">
        <f ca="1">Start.listina!K25</f>
        <v>Markéta</v>
      </c>
      <c r="E61" s="14" t="str">
        <f ca="1">Start.listina!L25</f>
        <v>PLUK Jablonec</v>
      </c>
      <c r="F61" s="14"/>
      <c r="G61" s="122">
        <f ca="1">IF(N(A61)&gt;0,VLOOKUP(A61,Body!$A$4:$F$259,5,0),"")</f>
        <v>288.35162500000001</v>
      </c>
      <c r="H61" s="7">
        <f ca="1">IF(N(A61)&gt;0,VLOOKUP(A61,Body!$A$4:$F$259,6,0),"")</f>
        <v>200</v>
      </c>
      <c r="I61" s="7">
        <f ca="1">IF(N(A61)&gt;0,VLOOKUP(A61,Body!$A$4:$F$259,2,0),"")</f>
        <v>2</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2"/>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2"/>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2"/>
      <c r="H64" s="7"/>
      <c r="I64" s="7"/>
    </row>
    <row r="65" spans="1:9">
      <c r="A65" s="14">
        <f>Start.listina!AH26</f>
        <v>129</v>
      </c>
      <c r="B65" s="14">
        <f ca="1">Start.listina!I26</f>
        <v>26075</v>
      </c>
      <c r="C65" s="14" t="str">
        <f ca="1">Start.listina!J26</f>
        <v>Konšel</v>
      </c>
      <c r="D65" s="14" t="str">
        <f ca="1">Start.listina!K26</f>
        <v>Jakub</v>
      </c>
      <c r="E65" s="14" t="str">
        <f ca="1">Start.listina!L26</f>
        <v>POP Praha</v>
      </c>
      <c r="F65" s="14"/>
      <c r="G65" s="122">
        <f ca="1">IF(N(A65)&gt;0,VLOOKUP(A65,Body!$A$4:$F$259,5,0),"")</f>
        <v>553.40650000000005</v>
      </c>
      <c r="H65" s="7">
        <f ca="1">IF(N(A65)&gt;0,VLOOKUP(A65,Body!$A$4:$F$259,6,0),"")</f>
        <v>200</v>
      </c>
      <c r="I65" s="7">
        <f ca="1">IF(N(A65)&gt;0,VLOOKUP(A65,Body!$A$4:$F$259,2,0),"")</f>
        <v>8</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2"/>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2"/>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2"/>
      <c r="H68" s="7"/>
      <c r="I68" s="7"/>
    </row>
    <row r="69" spans="1:9">
      <c r="A69" s="14">
        <f>Start.listina!AH27</f>
        <v>64</v>
      </c>
      <c r="B69" s="14">
        <f ca="1">Start.listina!I27</f>
        <v>99574</v>
      </c>
      <c r="C69" s="14" t="str">
        <f ca="1">Start.listina!J27</f>
        <v>Demčíková</v>
      </c>
      <c r="D69" s="14" t="str">
        <f ca="1">Start.listina!K27</f>
        <v>Jiřina</v>
      </c>
      <c r="E69" s="14" t="str">
        <f ca="1">Start.listina!L27</f>
        <v>SK Sahara Vědomice</v>
      </c>
      <c r="F69" s="14"/>
      <c r="G69" s="122">
        <f ca="1">IF(N(A69)&gt;0,VLOOKUP(A69,Body!$A$4:$F$259,5,0),"")</f>
        <v>288.35162500000001</v>
      </c>
      <c r="H69" s="7">
        <f ca="1">IF(N(A69)&gt;0,VLOOKUP(A69,Body!$A$4:$F$259,6,0),"")</f>
        <v>200</v>
      </c>
      <c r="I69" s="7">
        <f ca="1">IF(N(A69)&gt;0,VLOOKUP(A69,Body!$A$4:$F$259,2,0),"")</f>
        <v>2</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2"/>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2"/>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2"/>
      <c r="H72" s="7"/>
      <c r="I72" s="7"/>
    </row>
    <row r="73" spans="1:9">
      <c r="A73" s="14">
        <f>Start.listina!AH28</f>
        <v>86</v>
      </c>
      <c r="B73" s="14">
        <f ca="1">Start.listina!I28</f>
        <v>13064</v>
      </c>
      <c r="C73" s="14" t="str">
        <f ca="1">Start.listina!J28</f>
        <v>Michalička</v>
      </c>
      <c r="D73" s="14" t="str">
        <f ca="1">Start.listina!K28</f>
        <v>Lukáš</v>
      </c>
      <c r="E73" s="14" t="str">
        <f ca="1">Start.listina!L28</f>
        <v>1. KPK Vrchlabí</v>
      </c>
      <c r="F73" s="14"/>
      <c r="G73" s="122">
        <f ca="1">IF(N(A73)&gt;0,VLOOKUP(A73,Body!$A$4:$F$259,5,0),"")</f>
        <v>553.40650000000005</v>
      </c>
      <c r="H73" s="7">
        <f ca="1">IF(N(A73)&gt;0,VLOOKUP(A73,Body!$A$4:$F$259,6,0),"")</f>
        <v>200</v>
      </c>
      <c r="I73" s="7">
        <f ca="1">IF(N(A73)&gt;0,VLOOKUP(A73,Body!$A$4:$F$259,2,0),"")</f>
        <v>8</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2"/>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2"/>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2"/>
      <c r="H76" s="7"/>
      <c r="I76" s="7"/>
    </row>
    <row r="77" spans="1:9">
      <c r="A77" s="14">
        <f>Start.listina!AH29</f>
        <v>9</v>
      </c>
      <c r="B77" s="14">
        <f ca="1">Start.listina!I29</f>
        <v>27015</v>
      </c>
      <c r="C77" s="14" t="str">
        <f ca="1">Start.listina!J29</f>
        <v>Srnský</v>
      </c>
      <c r="D77" s="14" t="str">
        <f ca="1">Start.listina!K29</f>
        <v>Lubomír</v>
      </c>
      <c r="E77" s="14" t="str">
        <f ca="1">Start.listina!L29</f>
        <v>1. KPK Vrchlabí</v>
      </c>
      <c r="F77" s="14"/>
      <c r="G77" s="122">
        <f ca="1">IF(N(A77)&gt;0,VLOOKUP(A77,Body!$A$4:$F$259,5,0),"")</f>
        <v>415.35708593749996</v>
      </c>
      <c r="H77" s="7">
        <f ca="1">IF(N(A77)&gt;0,VLOOKUP(A77,Body!$A$4:$F$259,6,0),"")</f>
        <v>200</v>
      </c>
      <c r="I77" s="7">
        <f ca="1">IF(N(A77)&gt;0,VLOOKUP(A77,Body!$A$4:$F$259,2,0),"")</f>
        <v>4.875</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2"/>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2"/>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2"/>
      <c r="H80" s="7"/>
      <c r="I80" s="7"/>
    </row>
    <row r="81" spans="1:9">
      <c r="A81" s="14">
        <f ca="1">Start.listina!AH30</f>
        <v>64</v>
      </c>
      <c r="B81" s="14">
        <f ca="1">Start.listina!I30</f>
        <v>25055</v>
      </c>
      <c r="C81" s="14" t="str">
        <f ca="1">Start.listina!J30</f>
        <v>Jakeš</v>
      </c>
      <c r="D81" s="14" t="str">
        <f ca="1">Start.listina!K30</f>
        <v>Zbyněk</v>
      </c>
      <c r="E81" s="14" t="str">
        <f ca="1">Start.listina!L30</f>
        <v>SKP Hranice VI-Valšovice</v>
      </c>
      <c r="F81" s="14"/>
      <c r="G81" s="122">
        <f ca="1">IF(N(A81)&gt;0,VLOOKUP(A81,Body!$A$4:$F$259,5,0),"")</f>
        <v>288.35162500000001</v>
      </c>
      <c r="H81" s="7">
        <f ca="1">IF(N(A81)&gt;0,VLOOKUP(A81,Body!$A$4:$F$259,6,0),"")</f>
        <v>200</v>
      </c>
      <c r="I81" s="7">
        <f ca="1">IF(N(A81)&gt;0,VLOOKUP(A81,Body!$A$4:$F$259,2,0),"")</f>
        <v>2</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2"/>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2"/>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2"/>
      <c r="H84" s="7"/>
      <c r="I84" s="7"/>
    </row>
    <row r="85" spans="1:9">
      <c r="A85" s="14">
        <f>Start.listina!AH31</f>
        <v>86</v>
      </c>
      <c r="B85" s="14">
        <f ca="1">Start.listina!I31</f>
        <v>11002</v>
      </c>
      <c r="C85" s="14" t="str">
        <f ca="1">Start.listina!J31</f>
        <v>Lukášová</v>
      </c>
      <c r="D85" s="14" t="str">
        <f ca="1">Start.listina!K31</f>
        <v>Jana</v>
      </c>
      <c r="E85" s="14" t="str">
        <f ca="1">Start.listina!L31</f>
        <v>PLUK Jablonec</v>
      </c>
      <c r="F85" s="14"/>
      <c r="G85" s="122">
        <f ca="1">IF(N(A85)&gt;0,VLOOKUP(A85,Body!$A$4:$F$259,5,0),"")</f>
        <v>553.40650000000005</v>
      </c>
      <c r="H85" s="7">
        <f ca="1">IF(N(A85)&gt;0,VLOOKUP(A85,Body!$A$4:$F$259,6,0),"")</f>
        <v>200</v>
      </c>
      <c r="I85" s="7">
        <f ca="1">IF(N(A85)&gt;0,VLOOKUP(A85,Body!$A$4:$F$259,2,0),"")</f>
        <v>8</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2"/>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2"/>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2"/>
      <c r="H88" s="7"/>
      <c r="I88" s="7"/>
    </row>
    <row r="89" spans="1:9">
      <c r="A89" s="14">
        <f>Start.listina!AH32</f>
        <v>64</v>
      </c>
      <c r="B89" s="14">
        <f ca="1">Start.listina!I32</f>
        <v>24218</v>
      </c>
      <c r="C89" s="14" t="str">
        <f ca="1">Start.listina!J32</f>
        <v>Fuksa</v>
      </c>
      <c r="D89" s="14" t="str">
        <f ca="1">Start.listina!K32</f>
        <v>Petr</v>
      </c>
      <c r="E89" s="14" t="str">
        <f ca="1">Start.listina!L32</f>
        <v>UBU Únětice</v>
      </c>
      <c r="F89" s="14"/>
      <c r="G89" s="122">
        <f ca="1">IF(N(A89)&gt;0,VLOOKUP(A89,Body!$A$4:$F$259,5,0),"")</f>
        <v>288.35162500000001</v>
      </c>
      <c r="H89" s="7">
        <f ca="1">IF(N(A89)&gt;0,VLOOKUP(A89,Body!$A$4:$F$259,6,0),"")</f>
        <v>200</v>
      </c>
      <c r="I89" s="7">
        <f ca="1">IF(N(A89)&gt;0,VLOOKUP(A89,Body!$A$4:$F$259,2,0),"")</f>
        <v>2</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2"/>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2"/>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2"/>
      <c r="H92" s="7"/>
      <c r="I92" s="7"/>
    </row>
    <row r="93" spans="1:9">
      <c r="A93" s="14">
        <f ca="1">Start.listina!AH33</f>
        <v>64</v>
      </c>
      <c r="B93" s="14">
        <f ca="1">Start.listina!I33</f>
        <v>24235</v>
      </c>
      <c r="C93" s="14" t="str">
        <f ca="1">Start.listina!J33</f>
        <v>Konečná</v>
      </c>
      <c r="D93" s="14" t="str">
        <f ca="1">Start.listina!K33</f>
        <v>Jana</v>
      </c>
      <c r="E93" s="14" t="str">
        <f ca="1">Start.listina!L33</f>
        <v>Kulový blesk Olomouc</v>
      </c>
      <c r="F93" s="14"/>
      <c r="G93" s="122">
        <f ca="1">IF(N(A93)&gt;0,VLOOKUP(A93,Body!$A$4:$F$259,5,0),"")</f>
        <v>288.35162500000001</v>
      </c>
      <c r="H93" s="7">
        <f ca="1">IF(N(A93)&gt;0,VLOOKUP(A93,Body!$A$4:$F$259,6,0),"")</f>
        <v>200</v>
      </c>
      <c r="I93" s="7">
        <f ca="1">IF(N(A93)&gt;0,VLOOKUP(A93,Body!$A$4:$F$259,2,0),"")</f>
        <v>2</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2"/>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2"/>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2"/>
      <c r="H96" s="7"/>
      <c r="I96" s="7"/>
    </row>
    <row r="97" spans="1:9">
      <c r="A97" s="14">
        <f ca="1">Start.listina!AH34</f>
        <v>64</v>
      </c>
      <c r="B97" s="14">
        <f ca="1">Start.listina!I34</f>
        <v>15001</v>
      </c>
      <c r="C97" s="14" t="str">
        <f ca="1">Start.listina!J34</f>
        <v>Ulmann</v>
      </c>
      <c r="D97" s="14" t="str">
        <f ca="1">Start.listina!K34</f>
        <v>Jiří</v>
      </c>
      <c r="E97" s="14" t="str">
        <f ca="1">Start.listina!L34</f>
        <v>TOP - ORLOVÁ</v>
      </c>
      <c r="F97" s="14"/>
      <c r="G97" s="122">
        <f ca="1">IF(N(A97)&gt;0,VLOOKUP(A97,Body!$A$4:$F$259,5,0),"")</f>
        <v>288.35162500000001</v>
      </c>
      <c r="H97" s="7">
        <f ca="1">IF(N(A97)&gt;0,VLOOKUP(A97,Body!$A$4:$F$259,6,0),"")</f>
        <v>200</v>
      </c>
      <c r="I97" s="7">
        <f ca="1">IF(N(A97)&gt;0,VLOOKUP(A97,Body!$A$4:$F$259,2,0),"")</f>
        <v>2</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2"/>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2"/>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2"/>
      <c r="H100" s="7"/>
      <c r="I100" s="7"/>
    </row>
    <row r="101" spans="1:9">
      <c r="A101" s="14">
        <f>Start.listina!AH35</f>
        <v>86</v>
      </c>
      <c r="B101" s="14">
        <f ca="1">Start.listina!I35</f>
        <v>13027</v>
      </c>
      <c r="C101" s="14" t="str">
        <f ca="1">Start.listina!J35</f>
        <v>Dlouhá</v>
      </c>
      <c r="D101" s="14" t="str">
        <f ca="1">Start.listina!K35</f>
        <v>Ivana</v>
      </c>
      <c r="E101" s="14" t="str">
        <f ca="1">Start.listina!L35</f>
        <v>Club Rodamiento</v>
      </c>
      <c r="F101" s="14"/>
      <c r="G101" s="122">
        <f ca="1">IF(N(A101)&gt;0,VLOOKUP(A101,Body!$A$4:$F$259,5,0),"")</f>
        <v>553.40650000000005</v>
      </c>
      <c r="H101" s="7">
        <f ca="1">IF(N(A101)&gt;0,VLOOKUP(A101,Body!$A$4:$F$259,6,0),"")</f>
        <v>200</v>
      </c>
      <c r="I101" s="7">
        <f ca="1">IF(N(A101)&gt;0,VLOOKUP(A101,Body!$A$4:$F$259,2,0),"")</f>
        <v>8</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2"/>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2"/>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2"/>
      <c r="H104" s="7"/>
      <c r="I104" s="7"/>
    </row>
    <row r="105" spans="1:9">
      <c r="A105" s="14">
        <f>Start.listina!AH36</f>
        <v>86</v>
      </c>
      <c r="B105" s="14">
        <f ca="1">Start.listina!I36</f>
        <v>16077</v>
      </c>
      <c r="C105" s="14" t="str">
        <f ca="1">Start.listina!J36</f>
        <v>Holoubek</v>
      </c>
      <c r="D105" s="14" t="str">
        <f ca="1">Start.listina!K36</f>
        <v>Pavel</v>
      </c>
      <c r="E105" s="14" t="str">
        <f ca="1">Start.listina!L36</f>
        <v>SK Pétanque Řepy</v>
      </c>
      <c r="F105" s="14"/>
      <c r="G105" s="122">
        <f ca="1">IF(N(A105)&gt;0,VLOOKUP(A105,Body!$A$4:$F$259,5,0),"")</f>
        <v>553.40650000000005</v>
      </c>
      <c r="H105" s="7">
        <f ca="1">IF(N(A105)&gt;0,VLOOKUP(A105,Body!$A$4:$F$259,6,0),"")</f>
        <v>200</v>
      </c>
      <c r="I105" s="7">
        <f ca="1">IF(N(A105)&gt;0,VLOOKUP(A105,Body!$A$4:$F$259,2,0),"")</f>
        <v>8</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2"/>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2"/>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2"/>
      <c r="H108" s="7"/>
      <c r="I108" s="7"/>
    </row>
    <row r="109" spans="1:9">
      <c r="A109" s="14">
        <f>Start.listina!AH37</f>
        <v>13</v>
      </c>
      <c r="B109" s="14">
        <f ca="1">Start.listina!I37</f>
        <v>19001</v>
      </c>
      <c r="C109" s="14" t="str">
        <f ca="1">Start.listina!J37</f>
        <v>Vlach</v>
      </c>
      <c r="D109" s="14" t="str">
        <f ca="1">Start.listina!K37</f>
        <v>Jaromír</v>
      </c>
      <c r="E109" s="14" t="str">
        <f ca="1">Start.listina!L37</f>
        <v>Sokol Kostomlaty</v>
      </c>
      <c r="F109" s="14"/>
      <c r="G109" s="122">
        <f ca="1">IF(N(A109)&gt;0,VLOOKUP(A109,Body!$A$4:$F$259,5,0),"")</f>
        <v>393.26917968750001</v>
      </c>
      <c r="H109" s="7">
        <f ca="1">IF(N(A109)&gt;0,VLOOKUP(A109,Body!$A$4:$F$259,6,0),"")</f>
        <v>200</v>
      </c>
      <c r="I109" s="7">
        <f ca="1">IF(N(A109)&gt;0,VLOOKUP(A109,Body!$A$4:$F$259,2,0),"")</f>
        <v>4.375</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2"/>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2"/>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2"/>
      <c r="H112" s="7"/>
      <c r="I112" s="7"/>
    </row>
    <row r="113" spans="1:9">
      <c r="A113" s="14">
        <f ca="1">Start.listina!AH38</f>
        <v>64</v>
      </c>
      <c r="B113" s="14">
        <f ca="1">Start.listina!I38</f>
        <v>16082</v>
      </c>
      <c r="C113" s="14" t="str">
        <f ca="1">Start.listina!J38</f>
        <v>Pastorek</v>
      </c>
      <c r="D113" s="14" t="str">
        <f ca="1">Start.listina!K38</f>
        <v>Jaroslav</v>
      </c>
      <c r="E113" s="14" t="str">
        <f ca="1">Start.listina!L38</f>
        <v>SK Pétanque Řepy</v>
      </c>
      <c r="F113" s="14"/>
      <c r="G113" s="122">
        <f ca="1">IF(N(A113)&gt;0,VLOOKUP(A113,Body!$A$4:$F$259,5,0),"")</f>
        <v>288.35162500000001</v>
      </c>
      <c r="H113" s="7">
        <f ca="1">IF(N(A113)&gt;0,VLOOKUP(A113,Body!$A$4:$F$259,6,0),"")</f>
        <v>200</v>
      </c>
      <c r="I113" s="7">
        <f ca="1">IF(N(A113)&gt;0,VLOOKUP(A113,Body!$A$4:$F$259,2,0),"")</f>
        <v>2</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2"/>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2"/>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2"/>
      <c r="H116" s="7"/>
      <c r="I116" s="7"/>
    </row>
    <row r="117" spans="1:9">
      <c r="A117" s="14">
        <f ca="1">Start.listina!AH39</f>
        <v>64</v>
      </c>
      <c r="B117" s="14">
        <f ca="1">Start.listina!I39</f>
        <v>14074</v>
      </c>
      <c r="C117" s="230" t="str">
        <f ca="1">Start.listina!J39</f>
        <v>Froňková</v>
      </c>
      <c r="D117" s="14" t="str">
        <f ca="1">Start.listina!K39</f>
        <v>Blanka</v>
      </c>
      <c r="E117" s="14" t="str">
        <f ca="1">Start.listina!L39</f>
        <v>PC Sokol Lipník</v>
      </c>
      <c r="F117" s="14"/>
      <c r="G117" s="122">
        <f ca="1">IF(N(A117)&gt;0,VLOOKUP(A117,Body!$A$4:$F$259,5,0),"")</f>
        <v>288.35162500000001</v>
      </c>
      <c r="H117" s="7">
        <f ca="1">IF(N(A117)&gt;0,VLOOKUP(A117,Body!$A$4:$F$259,6,0),"")</f>
        <v>200</v>
      </c>
      <c r="I117" s="7">
        <f ca="1">IF(N(A117)&gt;0,VLOOKUP(A117,Body!$A$4:$F$259,2,0),"")</f>
        <v>2</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2"/>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2"/>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2"/>
      <c r="H120" s="7"/>
      <c r="I120" s="7"/>
    </row>
    <row r="121" spans="1:9">
      <c r="A121" s="14">
        <f>Start.listina!AH40</f>
        <v>32</v>
      </c>
      <c r="B121" s="14">
        <f ca="1">Start.listina!I40</f>
        <v>22007</v>
      </c>
      <c r="C121" s="230" t="str">
        <f ca="1">Start.listina!J40</f>
        <v>Resl</v>
      </c>
      <c r="D121" s="14" t="str">
        <f ca="1">Start.listina!K40</f>
        <v>Jan</v>
      </c>
      <c r="E121" s="14" t="str">
        <f ca="1">Start.listina!L40</f>
        <v>POP Praha</v>
      </c>
      <c r="F121" s="14"/>
      <c r="G121" s="122">
        <f ca="1">IF(N(A121)&gt;0,VLOOKUP(A121,Body!$A$4:$F$259,5,0),"")</f>
        <v>332.52743750000002</v>
      </c>
      <c r="H121" s="7">
        <f ca="1">IF(N(A121)&gt;0,VLOOKUP(A121,Body!$A$4:$F$259,6,0),"")</f>
        <v>200</v>
      </c>
      <c r="I121" s="7">
        <f ca="1">IF(N(A121)&gt;0,VLOOKUP(A121,Body!$A$4:$F$259,2,0),"")</f>
        <v>3</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2"/>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2"/>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2"/>
      <c r="H124" s="7"/>
      <c r="I124" s="7"/>
    </row>
    <row r="125" spans="1:9">
      <c r="A125" s="14">
        <f>Start.listina!AH41</f>
        <v>32</v>
      </c>
      <c r="B125" s="14">
        <f ca="1">Start.listina!I41</f>
        <v>11001</v>
      </c>
      <c r="C125" s="230" t="str">
        <f ca="1">Start.listina!J41</f>
        <v>Lukáš</v>
      </c>
      <c r="D125" s="14" t="str">
        <f ca="1">Start.listina!K41</f>
        <v>Petr</v>
      </c>
      <c r="E125" s="14" t="str">
        <f ca="1">Start.listina!L41</f>
        <v>PLUK Jablonec</v>
      </c>
      <c r="F125" s="14"/>
      <c r="G125" s="122">
        <f ca="1">IF(N(A125)&gt;0,VLOOKUP(A125,Body!$A$4:$F$259,5,0),"")</f>
        <v>332.52743750000002</v>
      </c>
      <c r="H125" s="7">
        <f ca="1">IF(N(A125)&gt;0,VLOOKUP(A125,Body!$A$4:$F$259,6,0),"")</f>
        <v>200</v>
      </c>
      <c r="I125" s="7">
        <f ca="1">IF(N(A125)&gt;0,VLOOKUP(A125,Body!$A$4:$F$259,2,0),"")</f>
        <v>3</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2"/>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2"/>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2"/>
      <c r="H128" s="7"/>
      <c r="I128" s="7"/>
    </row>
    <row r="129" spans="1:9">
      <c r="A129" s="14">
        <f ca="1">Start.listina!AH42</f>
        <v>64</v>
      </c>
      <c r="B129" s="14">
        <f ca="1">Start.listina!I42</f>
        <v>13029</v>
      </c>
      <c r="C129" s="230" t="str">
        <f ca="1">Start.listina!J42</f>
        <v>Kamaryt</v>
      </c>
      <c r="D129" s="14" t="str">
        <f ca="1">Start.listina!K42</f>
        <v>Josef</v>
      </c>
      <c r="E129" s="14" t="str">
        <f ca="1">Start.listina!L42</f>
        <v>Club Rodamiento</v>
      </c>
      <c r="F129" s="14"/>
      <c r="G129" s="122">
        <f ca="1">IF(N(A129)&gt;0,VLOOKUP(A129,Body!$A$4:$F$259,5,0),"")</f>
        <v>288.35162500000001</v>
      </c>
      <c r="H129" s="7">
        <f ca="1">IF(N(A129)&gt;0,VLOOKUP(A129,Body!$A$4:$F$259,6,0),"")</f>
        <v>200</v>
      </c>
      <c r="I129" s="7">
        <f ca="1">IF(N(A129)&gt;0,VLOOKUP(A129,Body!$A$4:$F$259,2,0),"")</f>
        <v>2</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2"/>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2"/>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2"/>
      <c r="H132" s="7"/>
      <c r="I132" s="7"/>
    </row>
    <row r="133" spans="1:9">
      <c r="A133" s="14">
        <f>Start.listina!AH43</f>
        <v>4</v>
      </c>
      <c r="B133" s="14">
        <f ca="1">Start.listina!I43</f>
        <v>26011</v>
      </c>
      <c r="C133" s="230" t="str">
        <f ca="1">Start.listina!J43</f>
        <v>Brázda</v>
      </c>
      <c r="D133" s="14" t="str">
        <f ca="1">Start.listina!K43</f>
        <v>Vladimír</v>
      </c>
      <c r="E133" s="14" t="str">
        <f ca="1">Start.listina!L43</f>
        <v>1. KPK Vrchlabí</v>
      </c>
      <c r="F133" s="14"/>
      <c r="G133" s="122">
        <f ca="1">IF(N(A133)&gt;0,VLOOKUP(A133,Body!$A$4:$F$259,5,0),"")</f>
        <v>465.05487499999998</v>
      </c>
      <c r="H133" s="7">
        <f ca="1">IF(N(A133)&gt;0,VLOOKUP(A133,Body!$A$4:$F$259,6,0),"")</f>
        <v>200</v>
      </c>
      <c r="I133" s="7">
        <f ca="1">IF(N(A133)&gt;0,VLOOKUP(A133,Body!$A$4:$F$259,2,0),"")</f>
        <v>6</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2"/>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2"/>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2"/>
      <c r="H136" s="7"/>
      <c r="I136" s="7"/>
    </row>
    <row r="137" spans="1:9">
      <c r="A137" s="14">
        <f>Start.listina!AH44</f>
        <v>129</v>
      </c>
      <c r="B137" s="14">
        <f ca="1">Start.listina!I44</f>
        <v>12017</v>
      </c>
      <c r="C137" s="230" t="str">
        <f ca="1">Start.listina!J44</f>
        <v>Tomášková</v>
      </c>
      <c r="D137" s="14" t="str">
        <f ca="1">Start.listina!K44</f>
        <v>Dana</v>
      </c>
      <c r="E137" s="14" t="str">
        <f ca="1">Start.listina!L44</f>
        <v>UBU Únětice</v>
      </c>
      <c r="F137" s="14"/>
      <c r="G137" s="122">
        <f ca="1">IF(N(A137)&gt;0,VLOOKUP(A137,Body!$A$4:$F$259,5,0),"")</f>
        <v>553.40650000000005</v>
      </c>
      <c r="H137" s="7">
        <f ca="1">IF(N(A137)&gt;0,VLOOKUP(A137,Body!$A$4:$F$259,6,0),"")</f>
        <v>200</v>
      </c>
      <c r="I137" s="7">
        <f ca="1">IF(N(A137)&gt;0,VLOOKUP(A137,Body!$A$4:$F$259,2,0),"")</f>
        <v>8</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2"/>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2"/>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2"/>
      <c r="H140" s="7"/>
      <c r="I140" s="7"/>
    </row>
    <row r="141" spans="1:9">
      <c r="A141" s="14">
        <f>Start.listina!AH45</f>
        <v>86</v>
      </c>
      <c r="B141" s="14">
        <f ca="1">Start.listina!I45</f>
        <v>99510</v>
      </c>
      <c r="C141" s="230" t="str">
        <f ca="1">Start.listina!J45</f>
        <v>Demčík</v>
      </c>
      <c r="D141" s="14" t="str">
        <f ca="1">Start.listina!K45</f>
        <v>Milan St.</v>
      </c>
      <c r="E141" s="14" t="str">
        <f ca="1">Start.listina!L45</f>
        <v>SK Sahara Vědomice</v>
      </c>
      <c r="F141" s="14"/>
      <c r="G141" s="122">
        <f ca="1">IF(N(A141)&gt;0,VLOOKUP(A141,Body!$A$4:$F$259,5,0),"")</f>
        <v>553.40650000000005</v>
      </c>
      <c r="H141" s="7">
        <f ca="1">IF(N(A141)&gt;0,VLOOKUP(A141,Body!$A$4:$F$259,6,0),"")</f>
        <v>200</v>
      </c>
      <c r="I141" s="7">
        <f ca="1">IF(N(A141)&gt;0,VLOOKUP(A141,Body!$A$4:$F$259,2,0),"")</f>
        <v>8</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2"/>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2"/>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2"/>
      <c r="H144" s="7"/>
      <c r="I144" s="7"/>
    </row>
    <row r="145" spans="1:9">
      <c r="A145" s="14">
        <f>Start.listina!AH46</f>
        <v>86</v>
      </c>
      <c r="B145" s="14">
        <f ca="1">Start.listina!I46</f>
        <v>99555</v>
      </c>
      <c r="C145" s="230" t="str">
        <f ca="1">Start.listina!J46</f>
        <v>Pírek</v>
      </c>
      <c r="D145" s="14" t="str">
        <f ca="1">Start.listina!K46</f>
        <v>Martin</v>
      </c>
      <c r="E145" s="14" t="str">
        <f ca="1">Start.listina!L46</f>
        <v>HRODE KRUMSÍN</v>
      </c>
      <c r="F145" s="14"/>
      <c r="G145" s="122">
        <f ca="1">IF(N(A145)&gt;0,VLOOKUP(A145,Body!$A$4:$F$259,5,0),"")</f>
        <v>553.40650000000005</v>
      </c>
      <c r="H145" s="7">
        <f ca="1">IF(N(A145)&gt;0,VLOOKUP(A145,Body!$A$4:$F$259,6,0),"")</f>
        <v>200</v>
      </c>
      <c r="I145" s="7">
        <f ca="1">IF(N(A145)&gt;0,VLOOKUP(A145,Body!$A$4:$F$259,2,0),"")</f>
        <v>8</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2"/>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2"/>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2"/>
      <c r="H148" s="7"/>
      <c r="I148" s="7"/>
    </row>
    <row r="149" spans="1:9">
      <c r="A149" s="14">
        <f>Start.listina!AH47</f>
        <v>32</v>
      </c>
      <c r="B149" s="14">
        <f ca="1">Start.listina!I47</f>
        <v>26010</v>
      </c>
      <c r="C149" s="230" t="str">
        <f ca="1">Start.listina!J47</f>
        <v>Řezníček</v>
      </c>
      <c r="D149" s="14" t="str">
        <f ca="1">Start.listina!K47</f>
        <v>Jiří</v>
      </c>
      <c r="E149" s="14" t="str">
        <f ca="1">Start.listina!L47</f>
        <v>1. KPK Vrchlabí</v>
      </c>
      <c r="F149" s="14"/>
      <c r="G149" s="122">
        <f ca="1">IF(N(A149)&gt;0,VLOOKUP(A149,Body!$A$4:$F$259,5,0),"")</f>
        <v>332.52743750000002</v>
      </c>
      <c r="H149" s="7">
        <f ca="1">IF(N(A149)&gt;0,VLOOKUP(A149,Body!$A$4:$F$259,6,0),"")</f>
        <v>200</v>
      </c>
      <c r="I149" s="7">
        <f ca="1">IF(N(A149)&gt;0,VLOOKUP(A149,Body!$A$4:$F$259,2,0),"")</f>
        <v>3</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2"/>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2"/>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2"/>
      <c r="H152" s="7"/>
      <c r="I152" s="7"/>
    </row>
    <row r="153" spans="1:9">
      <c r="A153" s="14">
        <f ca="1">Start.listina!AH48</f>
        <v>64</v>
      </c>
      <c r="B153" s="14">
        <f ca="1">Start.listina!I48</f>
        <v>26043</v>
      </c>
      <c r="C153" s="230" t="str">
        <f ca="1">Start.listina!J48</f>
        <v>Král</v>
      </c>
      <c r="D153" s="14" t="str">
        <f ca="1">Start.listina!K48</f>
        <v>Pavel</v>
      </c>
      <c r="E153" s="14" t="str">
        <f ca="1">Start.listina!L48</f>
        <v>FENYX Adamov</v>
      </c>
      <c r="F153" s="14"/>
      <c r="G153" s="122">
        <f ca="1">IF(N(A153)&gt;0,VLOOKUP(A153,Body!$A$4:$F$259,5,0),"")</f>
        <v>288.35162500000001</v>
      </c>
      <c r="H153" s="7">
        <f ca="1">IF(N(A153)&gt;0,VLOOKUP(A153,Body!$A$4:$F$259,6,0),"")</f>
        <v>200</v>
      </c>
      <c r="I153" s="7">
        <f ca="1">IF(N(A153)&gt;0,VLOOKUP(A153,Body!$A$4:$F$259,2,0),"")</f>
        <v>2</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2"/>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2"/>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2"/>
      <c r="H156" s="7"/>
      <c r="I156" s="7"/>
    </row>
    <row r="157" spans="1:9">
      <c r="A157" s="14">
        <f>Start.listina!AH49</f>
        <v>86</v>
      </c>
      <c r="B157" s="14">
        <f ca="1">Start.listina!I49</f>
        <v>23131</v>
      </c>
      <c r="C157" s="230" t="str">
        <f ca="1">Start.listina!J49</f>
        <v>Felčárek</v>
      </c>
      <c r="D157" s="14" t="str">
        <f ca="1">Start.listina!K49</f>
        <v>Jaroslav</v>
      </c>
      <c r="E157" s="14" t="str">
        <f ca="1">Start.listina!L49</f>
        <v>FRAPECO</v>
      </c>
      <c r="F157" s="14"/>
      <c r="G157" s="122">
        <f ca="1">IF(N(A157)&gt;0,VLOOKUP(A157,Body!$A$4:$F$259,5,0),"")</f>
        <v>553.40650000000005</v>
      </c>
      <c r="H157" s="7">
        <f ca="1">IF(N(A157)&gt;0,VLOOKUP(A157,Body!$A$4:$F$259,6,0),"")</f>
        <v>200</v>
      </c>
      <c r="I157" s="7">
        <f ca="1">IF(N(A157)&gt;0,VLOOKUP(A157,Body!$A$4:$F$259,2,0),"")</f>
        <v>8</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2"/>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2"/>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2"/>
      <c r="H160" s="7"/>
      <c r="I160" s="7"/>
    </row>
    <row r="161" spans="1:9">
      <c r="A161" s="14">
        <f ca="1">Start.listina!AH50</f>
        <v>64</v>
      </c>
      <c r="B161" s="14">
        <f ca="1">Start.listina!I50</f>
        <v>13005</v>
      </c>
      <c r="C161" s="230" t="str">
        <f ca="1">Start.listina!J50</f>
        <v>Bureš</v>
      </c>
      <c r="D161" s="14" t="str">
        <f ca="1">Start.listina!K50</f>
        <v>Pavel st.</v>
      </c>
      <c r="E161" s="14" t="str">
        <f ca="1">Start.listina!L50</f>
        <v>HAPEK</v>
      </c>
      <c r="F161" s="14"/>
      <c r="G161" s="122">
        <f ca="1">IF(N(A161)&gt;0,VLOOKUP(A161,Body!$A$4:$F$259,5,0),"")</f>
        <v>288.35162500000001</v>
      </c>
      <c r="H161" s="7">
        <f ca="1">IF(N(A161)&gt;0,VLOOKUP(A161,Body!$A$4:$F$259,6,0),"")</f>
        <v>200</v>
      </c>
      <c r="I161" s="7">
        <f ca="1">IF(N(A161)&gt;0,VLOOKUP(A161,Body!$A$4:$F$259,2,0),"")</f>
        <v>2</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2"/>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2"/>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2"/>
      <c r="H164" s="7"/>
      <c r="I164" s="7"/>
    </row>
    <row r="165" spans="1:9">
      <c r="A165" s="14">
        <f ca="1">Start.listina!AH51</f>
        <v>64</v>
      </c>
      <c r="B165" s="14">
        <f ca="1">Start.listina!I51</f>
        <v>12042</v>
      </c>
      <c r="C165" s="230" t="str">
        <f ca="1">Start.listina!J51</f>
        <v>Pilát</v>
      </c>
      <c r="D165" s="14" t="str">
        <f ca="1">Start.listina!K51</f>
        <v>Petr</v>
      </c>
      <c r="E165" s="14" t="str">
        <f ca="1">Start.listina!L51</f>
        <v>SKP Kulová osma</v>
      </c>
      <c r="F165" s="14"/>
      <c r="G165" s="122">
        <f ca="1">IF(N(A165)&gt;0,VLOOKUP(A165,Body!$A$4:$F$259,5,0),"")</f>
        <v>288.35162500000001</v>
      </c>
      <c r="H165" s="7">
        <f ca="1">IF(N(A165)&gt;0,VLOOKUP(A165,Body!$A$4:$F$259,6,0),"")</f>
        <v>200</v>
      </c>
      <c r="I165" s="7">
        <f ca="1">IF(N(A165)&gt;0,VLOOKUP(A165,Body!$A$4:$F$259,2,0),"")</f>
        <v>2</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2"/>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2"/>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2"/>
      <c r="H168" s="7"/>
      <c r="I168" s="7"/>
    </row>
    <row r="169" spans="1:9">
      <c r="A169" s="14">
        <f>Start.listina!AH52</f>
        <v>129</v>
      </c>
      <c r="B169" s="14">
        <f ca="1">Start.listina!I52</f>
        <v>14094</v>
      </c>
      <c r="C169" s="230" t="str">
        <f ca="1">Start.listina!J52</f>
        <v>Šedivý</v>
      </c>
      <c r="D169" s="14" t="str">
        <f ca="1">Start.listina!K52</f>
        <v>Zdeněk</v>
      </c>
      <c r="E169" s="14" t="str">
        <f ca="1">Start.listina!L52</f>
        <v>FRAPECO</v>
      </c>
      <c r="F169" s="14"/>
      <c r="G169" s="122">
        <f ca="1">IF(N(A169)&gt;0,VLOOKUP(A169,Body!$A$4:$F$259,5,0),"")</f>
        <v>553.40650000000005</v>
      </c>
      <c r="H169" s="7">
        <f ca="1">IF(N(A169)&gt;0,VLOOKUP(A169,Body!$A$4:$F$259,6,0),"")</f>
        <v>200</v>
      </c>
      <c r="I169" s="7">
        <f ca="1">IF(N(A169)&gt;0,VLOOKUP(A169,Body!$A$4:$F$259,2,0),"")</f>
        <v>8</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2"/>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2"/>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2"/>
      <c r="H172" s="7"/>
      <c r="I172" s="7"/>
    </row>
    <row r="173" spans="1:9">
      <c r="A173" s="14">
        <f ca="1">Start.listina!AH53</f>
        <v>64</v>
      </c>
      <c r="B173" s="14">
        <f ca="1">Start.listina!I53</f>
        <v>15023</v>
      </c>
      <c r="C173" s="230" t="str">
        <f ca="1">Start.listina!J53</f>
        <v>Přibyl</v>
      </c>
      <c r="D173" s="14" t="str">
        <f ca="1">Start.listina!K53</f>
        <v>Miloš</v>
      </c>
      <c r="E173" s="14" t="str">
        <f ca="1">Start.listina!L53</f>
        <v>SK Sahara Vědomice</v>
      </c>
      <c r="F173" s="14"/>
      <c r="G173" s="122">
        <f ca="1">IF(N(A173)&gt;0,VLOOKUP(A173,Body!$A$4:$F$259,5,0),"")</f>
        <v>288.35162500000001</v>
      </c>
      <c r="H173" s="7">
        <f ca="1">IF(N(A173)&gt;0,VLOOKUP(A173,Body!$A$4:$F$259,6,0),"")</f>
        <v>200</v>
      </c>
      <c r="I173" s="7">
        <f ca="1">IF(N(A173)&gt;0,VLOOKUP(A173,Body!$A$4:$F$259,2,0),"")</f>
        <v>2</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2"/>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2"/>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2"/>
      <c r="H176" s="7"/>
      <c r="I176" s="7"/>
    </row>
    <row r="177" spans="1:9">
      <c r="A177" s="14">
        <f ca="1">Start.listina!AH54</f>
        <v>64</v>
      </c>
      <c r="B177" s="14">
        <f ca="1">Start.listina!I54</f>
        <v>14079</v>
      </c>
      <c r="C177" s="230" t="str">
        <f ca="1">Start.listina!J54</f>
        <v>Vorel</v>
      </c>
      <c r="D177" s="14" t="str">
        <f ca="1">Start.listina!K54</f>
        <v>Jan</v>
      </c>
      <c r="E177" s="14" t="str">
        <f ca="1">Start.listina!L54</f>
        <v>Petank Club Praha</v>
      </c>
      <c r="F177" s="14"/>
      <c r="G177" s="122">
        <f ca="1">IF(N(A177)&gt;0,VLOOKUP(A177,Body!$A$4:$F$259,5,0),"")</f>
        <v>288.35162500000001</v>
      </c>
      <c r="H177" s="7">
        <f ca="1">IF(N(A177)&gt;0,VLOOKUP(A177,Body!$A$4:$F$259,6,0),"")</f>
        <v>200</v>
      </c>
      <c r="I177" s="7">
        <f ca="1">IF(N(A177)&gt;0,VLOOKUP(A177,Body!$A$4:$F$259,2,0),"")</f>
        <v>2</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2"/>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2"/>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2"/>
      <c r="H180" s="7"/>
      <c r="I180" s="7"/>
    </row>
    <row r="181" spans="1:9">
      <c r="A181" s="14">
        <f>Start.listina!AH55</f>
        <v>7</v>
      </c>
      <c r="B181" s="14">
        <f ca="1">Start.listina!I55</f>
        <v>28004</v>
      </c>
      <c r="C181" s="230" t="str">
        <f ca="1">Start.listina!J55</f>
        <v>Tománek</v>
      </c>
      <c r="D181" s="14" t="str">
        <f ca="1">Start.listina!K55</f>
        <v>Petr</v>
      </c>
      <c r="E181" s="14" t="str">
        <f ca="1">Start.listina!L55</f>
        <v>SKP Hranice VI-Valšovice</v>
      </c>
      <c r="F181" s="14"/>
      <c r="G181" s="122">
        <f ca="1">IF(N(A181)&gt;0,VLOOKUP(A181,Body!$A$4:$F$259,5,0),"")</f>
        <v>431.92301562500001</v>
      </c>
      <c r="H181" s="7">
        <f ca="1">IF(N(A181)&gt;0,VLOOKUP(A181,Body!$A$4:$F$259,6,0),"")</f>
        <v>200</v>
      </c>
      <c r="I181" s="7">
        <f ca="1">IF(N(A181)&gt;0,VLOOKUP(A181,Body!$A$4:$F$259,2,0),"")</f>
        <v>5.25</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2"/>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2"/>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2"/>
      <c r="H184" s="7"/>
      <c r="I184" s="7"/>
    </row>
    <row r="185" spans="1:9">
      <c r="A185" s="14">
        <f>Start.listina!AH56</f>
        <v>129</v>
      </c>
      <c r="B185" s="14">
        <f ca="1">Start.listina!I56</f>
        <v>25017</v>
      </c>
      <c r="C185" s="230" t="str">
        <f ca="1">Start.listina!J56</f>
        <v>Radoušová</v>
      </c>
      <c r="D185" s="14" t="str">
        <f ca="1">Start.listina!K56</f>
        <v>Jana</v>
      </c>
      <c r="E185" s="14" t="str">
        <f ca="1">Start.listina!L56</f>
        <v>PK Osika Plzeň</v>
      </c>
      <c r="F185" s="14"/>
      <c r="G185" s="122">
        <f ca="1">IF(N(A185)&gt;0,VLOOKUP(A185,Body!$A$4:$F$259,5,0),"")</f>
        <v>553.40650000000005</v>
      </c>
      <c r="H185" s="7">
        <f ca="1">IF(N(A185)&gt;0,VLOOKUP(A185,Body!$A$4:$F$259,6,0),"")</f>
        <v>200</v>
      </c>
      <c r="I185" s="7">
        <f ca="1">IF(N(A185)&gt;0,VLOOKUP(A185,Body!$A$4:$F$259,2,0),"")</f>
        <v>8</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2"/>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2"/>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2"/>
      <c r="H188" s="7"/>
      <c r="I188" s="7"/>
    </row>
    <row r="189" spans="1:9">
      <c r="A189" s="14">
        <f ca="1">Start.listina!AH57</f>
        <v>143</v>
      </c>
      <c r="B189" s="14">
        <f ca="1">Start.listina!I57</f>
        <v>11006</v>
      </c>
      <c r="C189" s="230" t="str">
        <f ca="1">Start.listina!J57</f>
        <v>Kulhánek</v>
      </c>
      <c r="D189" s="14" t="str">
        <f ca="1">Start.listina!K57</f>
        <v>Milan</v>
      </c>
      <c r="E189" s="14" t="str">
        <f ca="1">Start.listina!L57</f>
        <v>SK Sahara Vědomice</v>
      </c>
      <c r="F189" s="14"/>
      <c r="G189" s="122">
        <f ca="1">IF(N(A189)&gt;0,VLOOKUP(A189,Body!$A$4:$F$259,5,0),"")</f>
        <v>20</v>
      </c>
      <c r="H189" s="7">
        <f ca="1">IF(N(A189)&gt;0,VLOOKUP(A189,Body!$A$4:$F$259,6,0),"")</f>
        <v>0</v>
      </c>
      <c r="I189" s="7">
        <f ca="1">IF(N(A189)&gt;0,VLOOKUP(A189,Body!$A$4:$F$259,2,0),"")</f>
        <v>0</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2"/>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2"/>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2"/>
      <c r="H192" s="7"/>
      <c r="I192" s="7"/>
    </row>
    <row r="193" spans="1:9">
      <c r="A193" s="14">
        <f>Start.listina!AH58</f>
        <v>32</v>
      </c>
      <c r="B193" s="14">
        <f ca="1">Start.listina!I58</f>
        <v>15065</v>
      </c>
      <c r="C193" s="230" t="str">
        <f ca="1">Start.listina!J58</f>
        <v>Palas</v>
      </c>
      <c r="D193" s="14" t="str">
        <f ca="1">Start.listina!K58</f>
        <v>Pavel</v>
      </c>
      <c r="E193" s="14" t="str">
        <f ca="1">Start.listina!L58</f>
        <v>UBU Únětice</v>
      </c>
      <c r="F193" s="14"/>
      <c r="G193" s="122">
        <f ca="1">IF(N(A193)&gt;0,VLOOKUP(A193,Body!$A$4:$F$259,5,0),"")</f>
        <v>332.52743750000002</v>
      </c>
      <c r="H193" s="7">
        <f ca="1">IF(N(A193)&gt;0,VLOOKUP(A193,Body!$A$4:$F$259,6,0),"")</f>
        <v>200</v>
      </c>
      <c r="I193" s="7">
        <f ca="1">IF(N(A193)&gt;0,VLOOKUP(A193,Body!$A$4:$F$259,2,0),"")</f>
        <v>3</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2"/>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2"/>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2"/>
      <c r="H196" s="7"/>
      <c r="I196" s="7"/>
    </row>
    <row r="197" spans="1:9">
      <c r="A197" s="14">
        <f ca="1">Start.listina!AH59</f>
        <v>143</v>
      </c>
      <c r="B197" s="14">
        <f ca="1">Start.listina!I59</f>
        <v>96059</v>
      </c>
      <c r="C197" s="230" t="str">
        <f ca="1">Start.listina!J59</f>
        <v>Hančová</v>
      </c>
      <c r="D197" s="14" t="str">
        <f ca="1">Start.listina!K59</f>
        <v>Alice</v>
      </c>
      <c r="E197" s="14" t="str">
        <f ca="1">Start.listina!L59</f>
        <v>1. KPK Vrchlabí</v>
      </c>
      <c r="F197" s="14"/>
      <c r="G197" s="122">
        <f ca="1">IF(N(A197)&gt;0,VLOOKUP(A197,Body!$A$4:$F$259,5,0),"")</f>
        <v>20</v>
      </c>
      <c r="H197" s="7">
        <f ca="1">IF(N(A197)&gt;0,VLOOKUP(A197,Body!$A$4:$F$259,6,0),"")</f>
        <v>0</v>
      </c>
      <c r="I197" s="7">
        <f ca="1">IF(N(A197)&gt;0,VLOOKUP(A197,Body!$A$4:$F$259,2,0),"")</f>
        <v>0</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2"/>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2"/>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2"/>
      <c r="H200" s="7"/>
      <c r="I200" s="7"/>
    </row>
    <row r="201" spans="1:9">
      <c r="A201" s="14">
        <f>Start.listina!AH60</f>
        <v>32</v>
      </c>
      <c r="B201" s="14">
        <f ca="1">Start.listina!I60</f>
        <v>12038</v>
      </c>
      <c r="C201" s="230" t="str">
        <f ca="1">Start.listina!J60</f>
        <v>Krejčín</v>
      </c>
      <c r="D201" s="14" t="str">
        <f ca="1">Start.listina!K60</f>
        <v>Leoš</v>
      </c>
      <c r="E201" s="14" t="str">
        <f ca="1">Start.listina!L60</f>
        <v>SKP Kulová osma</v>
      </c>
      <c r="F201" s="14"/>
      <c r="G201" s="122">
        <f ca="1">IF(N(A201)&gt;0,VLOOKUP(A201,Body!$A$4:$F$259,5,0),"")</f>
        <v>332.52743750000002</v>
      </c>
      <c r="H201" s="7">
        <f ca="1">IF(N(A201)&gt;0,VLOOKUP(A201,Body!$A$4:$F$259,6,0),"")</f>
        <v>200</v>
      </c>
      <c r="I201" s="7">
        <f ca="1">IF(N(A201)&gt;0,VLOOKUP(A201,Body!$A$4:$F$259,2,0),"")</f>
        <v>3</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2"/>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2"/>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2"/>
      <c r="H204" s="7"/>
      <c r="I204" s="7"/>
    </row>
    <row r="205" spans="1:9">
      <c r="A205" s="14">
        <f>Start.listina!AH61</f>
        <v>32</v>
      </c>
      <c r="B205" s="14">
        <f ca="1">Start.listina!I61</f>
        <v>17062</v>
      </c>
      <c r="C205" s="230" t="str">
        <f ca="1">Start.listina!J61</f>
        <v>Hanák</v>
      </c>
      <c r="D205" s="14" t="str">
        <f ca="1">Start.listina!K61</f>
        <v>David</v>
      </c>
      <c r="E205" s="14" t="str">
        <f ca="1">Start.listina!L61</f>
        <v>Orel Řečkovice</v>
      </c>
      <c r="F205" s="14"/>
      <c r="G205" s="122">
        <f ca="1">IF(N(A205)&gt;0,VLOOKUP(A205,Body!$A$4:$F$259,5,0),"")</f>
        <v>332.52743750000002</v>
      </c>
      <c r="H205" s="7">
        <f ca="1">IF(N(A205)&gt;0,VLOOKUP(A205,Body!$A$4:$F$259,6,0),"")</f>
        <v>200</v>
      </c>
      <c r="I205" s="7">
        <f ca="1">IF(N(A205)&gt;0,VLOOKUP(A205,Body!$A$4:$F$259,2,0),"")</f>
        <v>3</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2"/>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2"/>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2"/>
      <c r="H208" s="7"/>
      <c r="I208" s="7"/>
    </row>
    <row r="209" spans="1:9">
      <c r="A209" s="14">
        <f>Start.listina!AH62</f>
        <v>129</v>
      </c>
      <c r="B209" s="14">
        <f ca="1">Start.listina!I62</f>
        <v>15010</v>
      </c>
      <c r="C209" s="230" t="str">
        <f ca="1">Start.listina!J62</f>
        <v>Chmelařová</v>
      </c>
      <c r="D209" s="14" t="str">
        <f ca="1">Start.listina!K62</f>
        <v>Yvetta</v>
      </c>
      <c r="E209" s="14" t="str">
        <f ca="1">Start.listina!L62</f>
        <v>SKP Kulová osma</v>
      </c>
      <c r="F209" s="14"/>
      <c r="G209" s="122">
        <f ca="1">IF(N(A209)&gt;0,VLOOKUP(A209,Body!$A$4:$F$259,5,0),"")</f>
        <v>553.40650000000005</v>
      </c>
      <c r="H209" s="7">
        <f ca="1">IF(N(A209)&gt;0,VLOOKUP(A209,Body!$A$4:$F$259,6,0),"")</f>
        <v>200</v>
      </c>
      <c r="I209" s="7">
        <f ca="1">IF(N(A209)&gt;0,VLOOKUP(A209,Body!$A$4:$F$259,2,0),"")</f>
        <v>8</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2"/>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2"/>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2"/>
      <c r="H212" s="7"/>
      <c r="I212" s="7"/>
    </row>
    <row r="213" spans="1:9">
      <c r="A213" s="14">
        <f ca="1">Start.listina!AH63</f>
        <v>143</v>
      </c>
      <c r="B213" s="14">
        <f ca="1">Start.listina!I63</f>
        <v>12037</v>
      </c>
      <c r="C213" s="230" t="str">
        <f ca="1">Start.listina!J63</f>
        <v>Krejčínová</v>
      </c>
      <c r="D213" s="14" t="str">
        <f ca="1">Start.listina!K63</f>
        <v>Lenka</v>
      </c>
      <c r="E213" s="14" t="str">
        <f ca="1">Start.listina!L63</f>
        <v>SKP Kulová osma</v>
      </c>
      <c r="F213" s="14"/>
      <c r="G213" s="122">
        <f ca="1">IF(N(A213)&gt;0,VLOOKUP(A213,Body!$A$4:$F$259,5,0),"")</f>
        <v>20</v>
      </c>
      <c r="H213" s="7">
        <f ca="1">IF(N(A213)&gt;0,VLOOKUP(A213,Body!$A$4:$F$259,6,0),"")</f>
        <v>0</v>
      </c>
      <c r="I213" s="7">
        <f ca="1">IF(N(A213)&gt;0,VLOOKUP(A213,Body!$A$4:$F$259,2,0),"")</f>
        <v>0</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2"/>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2"/>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2"/>
      <c r="H216" s="7"/>
      <c r="I216" s="7"/>
    </row>
    <row r="217" spans="1:9">
      <c r="A217" s="14">
        <f ca="1">Start.listina!AH64</f>
        <v>64</v>
      </c>
      <c r="B217" s="14">
        <f ca="1">Start.listina!I64</f>
        <v>25003</v>
      </c>
      <c r="C217" s="230" t="str">
        <f ca="1">Start.listina!J64</f>
        <v>Horáčková</v>
      </c>
      <c r="D217" s="14" t="str">
        <f ca="1">Start.listina!K64</f>
        <v>Simona</v>
      </c>
      <c r="E217" s="14" t="str">
        <f ca="1">Start.listina!L64</f>
        <v>SK Sahara Vědomice</v>
      </c>
      <c r="F217" s="14"/>
      <c r="G217" s="122">
        <f ca="1">IF(N(A217)&gt;0,VLOOKUP(A217,Body!$A$4:$F$259,5,0),"")</f>
        <v>288.35162500000001</v>
      </c>
      <c r="H217" s="7">
        <f ca="1">IF(N(A217)&gt;0,VLOOKUP(A217,Body!$A$4:$F$259,6,0),"")</f>
        <v>200</v>
      </c>
      <c r="I217" s="7">
        <f ca="1">IF(N(A217)&gt;0,VLOOKUP(A217,Body!$A$4:$F$259,2,0),"")</f>
        <v>2</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2"/>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2"/>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2"/>
      <c r="H220" s="7"/>
      <c r="I220" s="7"/>
    </row>
    <row r="221" spans="1:9">
      <c r="A221" s="14">
        <f>Start.listina!AH65</f>
        <v>129</v>
      </c>
      <c r="B221" s="14">
        <f ca="1">Start.listina!I65</f>
        <v>13041</v>
      </c>
      <c r="C221" s="230" t="str">
        <f ca="1">Start.listina!J65</f>
        <v>Sládková</v>
      </c>
      <c r="D221" s="14" t="str">
        <f ca="1">Start.listina!K65</f>
        <v>Hana</v>
      </c>
      <c r="E221" s="14" t="str">
        <f ca="1">Start.listina!L65</f>
        <v>1. KPK Vrchlabí</v>
      </c>
      <c r="F221" s="14"/>
      <c r="G221" s="122">
        <f ca="1">IF(N(A221)&gt;0,VLOOKUP(A221,Body!$A$4:$F$259,5,0),"")</f>
        <v>553.40650000000005</v>
      </c>
      <c r="H221" s="7">
        <f ca="1">IF(N(A221)&gt;0,VLOOKUP(A221,Body!$A$4:$F$259,6,0),"")</f>
        <v>200</v>
      </c>
      <c r="I221" s="7">
        <f ca="1">IF(N(A221)&gt;0,VLOOKUP(A221,Body!$A$4:$F$259,2,0),"")</f>
        <v>8</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2"/>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2"/>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2"/>
      <c r="H224" s="7"/>
      <c r="I224" s="7"/>
    </row>
    <row r="225" spans="1:9">
      <c r="A225" s="14">
        <f>Start.listina!AH66</f>
        <v>86</v>
      </c>
      <c r="B225" s="14">
        <f ca="1">Start.listina!I66</f>
        <v>16075</v>
      </c>
      <c r="C225" s="230" t="str">
        <f ca="1">Start.listina!J66</f>
        <v>Hladík</v>
      </c>
      <c r="D225" s="14" t="str">
        <f ca="1">Start.listina!K66</f>
        <v>Jaroslav</v>
      </c>
      <c r="E225" s="14" t="str">
        <f ca="1">Start.listina!L66</f>
        <v>SK Pétanque Řepy</v>
      </c>
      <c r="F225" s="14"/>
      <c r="G225" s="122">
        <f ca="1">IF(N(A225)&gt;0,VLOOKUP(A225,Body!$A$4:$F$259,5,0),"")</f>
        <v>553.40650000000005</v>
      </c>
      <c r="H225" s="7">
        <f ca="1">IF(N(A225)&gt;0,VLOOKUP(A225,Body!$A$4:$F$259,6,0),"")</f>
        <v>200</v>
      </c>
      <c r="I225" s="7">
        <f ca="1">IF(N(A225)&gt;0,VLOOKUP(A225,Body!$A$4:$F$259,2,0),"")</f>
        <v>8</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2"/>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2"/>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2"/>
      <c r="H228" s="7"/>
      <c r="I228" s="7"/>
    </row>
    <row r="229" spans="1:9">
      <c r="A229" s="14">
        <f ca="1">Start.listina!AH67</f>
        <v>64</v>
      </c>
      <c r="B229" s="14">
        <f ca="1">Start.listina!I67</f>
        <v>27030</v>
      </c>
      <c r="C229" s="230" t="str">
        <f ca="1">Start.listina!J67</f>
        <v>Kutá</v>
      </c>
      <c r="D229" s="14" t="str">
        <f ca="1">Start.listina!K67</f>
        <v>Miloslava</v>
      </c>
      <c r="E229" s="14" t="str">
        <f ca="1">Start.listina!L67</f>
        <v>SKP Hranice VI-Valšovice</v>
      </c>
      <c r="F229" s="14"/>
      <c r="G229" s="122">
        <f ca="1">IF(N(A229)&gt;0,VLOOKUP(A229,Body!$A$4:$F$259,5,0),"")</f>
        <v>288.35162500000001</v>
      </c>
      <c r="H229" s="7">
        <f ca="1">IF(N(A229)&gt;0,VLOOKUP(A229,Body!$A$4:$F$259,6,0),"")</f>
        <v>200</v>
      </c>
      <c r="I229" s="7">
        <f ca="1">IF(N(A229)&gt;0,VLOOKUP(A229,Body!$A$4:$F$259,2,0),"")</f>
        <v>2</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2"/>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2"/>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2"/>
      <c r="H232" s="7"/>
      <c r="I232" s="7"/>
    </row>
    <row r="233" spans="1:9">
      <c r="A233" s="14">
        <f ca="1">Start.listina!AH68</f>
        <v>64</v>
      </c>
      <c r="B233" s="14">
        <f ca="1">Start.listina!I68</f>
        <v>12020</v>
      </c>
      <c r="C233" s="230" t="str">
        <f ca="1">Start.listina!J68</f>
        <v>Fafek</v>
      </c>
      <c r="D233" s="14" t="str">
        <f ca="1">Start.listina!K68</f>
        <v>Petr</v>
      </c>
      <c r="E233" s="14" t="str">
        <f ca="1">Start.listina!L68</f>
        <v>PC Sokol Lipník</v>
      </c>
      <c r="F233" s="14"/>
      <c r="G233" s="122">
        <f ca="1">IF(N(A233)&gt;0,VLOOKUP(A233,Body!$A$4:$F$259,5,0),"")</f>
        <v>288.35162500000001</v>
      </c>
      <c r="H233" s="7">
        <f ca="1">IF(N(A233)&gt;0,VLOOKUP(A233,Body!$A$4:$F$259,6,0),"")</f>
        <v>200</v>
      </c>
      <c r="I233" s="7">
        <f ca="1">IF(N(A233)&gt;0,VLOOKUP(A233,Body!$A$4:$F$259,2,0),"")</f>
        <v>2</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2"/>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2"/>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2"/>
      <c r="H236" s="7"/>
      <c r="I236" s="7"/>
    </row>
    <row r="237" spans="1:9">
      <c r="A237" s="14">
        <f>Start.listina!AH69</f>
        <v>129</v>
      </c>
      <c r="B237" s="14">
        <f ca="1">Start.listina!I69</f>
        <v>15011</v>
      </c>
      <c r="C237" s="230" t="str">
        <f ca="1">Start.listina!J69</f>
        <v>Chmelař</v>
      </c>
      <c r="D237" s="14" t="str">
        <f ca="1">Start.listina!K69</f>
        <v>Ivo</v>
      </c>
      <c r="E237" s="14" t="str">
        <f ca="1">Start.listina!L69</f>
        <v>SKP Kulová osma</v>
      </c>
      <c r="F237" s="14"/>
      <c r="G237" s="122">
        <f ca="1">IF(N(A237)&gt;0,VLOOKUP(A237,Body!$A$4:$F$259,5,0),"")</f>
        <v>553.40650000000005</v>
      </c>
      <c r="H237" s="7">
        <f ca="1">IF(N(A237)&gt;0,VLOOKUP(A237,Body!$A$4:$F$259,6,0),"")</f>
        <v>200</v>
      </c>
      <c r="I237" s="7">
        <f ca="1">IF(N(A237)&gt;0,VLOOKUP(A237,Body!$A$4:$F$259,2,0),"")</f>
        <v>8</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2"/>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2"/>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2"/>
      <c r="H240" s="7"/>
      <c r="I240" s="7"/>
    </row>
    <row r="241" spans="1:9">
      <c r="A241" s="14">
        <f ca="1">Start.listina!AH70</f>
        <v>64</v>
      </c>
      <c r="B241" s="14">
        <f ca="1">Start.listina!I70</f>
        <v>28055</v>
      </c>
      <c r="C241" s="230" t="str">
        <f ca="1">Start.listina!J70</f>
        <v>Svobodová</v>
      </c>
      <c r="D241" s="14" t="str">
        <f ca="1">Start.listina!K70</f>
        <v>Lenka</v>
      </c>
      <c r="E241" s="14" t="str">
        <f ca="1">Start.listina!L70</f>
        <v>SKP Hranice VI-Valšovice</v>
      </c>
      <c r="F241" s="14"/>
      <c r="G241" s="122">
        <f ca="1">IF(N(A241)&gt;0,VLOOKUP(A241,Body!$A$4:$F$259,5,0),"")</f>
        <v>288.35162500000001</v>
      </c>
      <c r="H241" s="7">
        <f ca="1">IF(N(A241)&gt;0,VLOOKUP(A241,Body!$A$4:$F$259,6,0),"")</f>
        <v>200</v>
      </c>
      <c r="I241" s="7">
        <f ca="1">IF(N(A241)&gt;0,VLOOKUP(A241,Body!$A$4:$F$259,2,0),"")</f>
        <v>2</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2"/>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2"/>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2"/>
      <c r="H244" s="7"/>
      <c r="I244" s="7"/>
    </row>
    <row r="245" spans="1:9">
      <c r="A245" s="14">
        <f>Start.listina!AH71</f>
        <v>129</v>
      </c>
      <c r="B245" s="14">
        <f ca="1">Start.listina!I71</f>
        <v>16151</v>
      </c>
      <c r="C245" s="230" t="str">
        <f ca="1">Start.listina!J71</f>
        <v>Kára</v>
      </c>
      <c r="D245" s="14" t="str">
        <f ca="1">Start.listina!K71</f>
        <v>Jan</v>
      </c>
      <c r="E245" s="14" t="str">
        <f ca="1">Start.listina!L71</f>
        <v>PC Mimo Done</v>
      </c>
      <c r="F245" s="14"/>
      <c r="G245" s="122">
        <f ca="1">IF(N(A245)&gt;0,VLOOKUP(A245,Body!$A$4:$F$259,5,0),"")</f>
        <v>553.40650000000005</v>
      </c>
      <c r="H245" s="7">
        <f ca="1">IF(N(A245)&gt;0,VLOOKUP(A245,Body!$A$4:$F$259,6,0),"")</f>
        <v>200</v>
      </c>
      <c r="I245" s="7">
        <f ca="1">IF(N(A245)&gt;0,VLOOKUP(A245,Body!$A$4:$F$259,2,0),"")</f>
        <v>8</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2"/>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2"/>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2"/>
      <c r="H248" s="7"/>
      <c r="I248" s="7"/>
    </row>
    <row r="249" spans="1:9">
      <c r="A249" s="14">
        <f>Start.listina!AH72</f>
        <v>11</v>
      </c>
      <c r="B249" s="14">
        <f ca="1">Start.listina!I72</f>
        <v>28006</v>
      </c>
      <c r="C249" s="230" t="str">
        <f ca="1">Start.listina!J72</f>
        <v>Grepl</v>
      </c>
      <c r="D249" s="14" t="str">
        <f ca="1">Start.listina!K72</f>
        <v>Jiří</v>
      </c>
      <c r="E249" s="14" t="str">
        <f ca="1">Start.listina!L72</f>
        <v>Carreau Brno</v>
      </c>
      <c r="F249" s="14"/>
      <c r="G249" s="122">
        <f ca="1">IF(N(A249)&gt;0,VLOOKUP(A249,Body!$A$4:$F$259,5,0),"")</f>
        <v>404.31313281249999</v>
      </c>
      <c r="H249" s="7">
        <f ca="1">IF(N(A249)&gt;0,VLOOKUP(A249,Body!$A$4:$F$259,6,0),"")</f>
        <v>200</v>
      </c>
      <c r="I249" s="7">
        <f ca="1">IF(N(A249)&gt;0,VLOOKUP(A249,Body!$A$4:$F$259,2,0),"")</f>
        <v>4.625</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2"/>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2"/>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2"/>
      <c r="H252" s="7"/>
      <c r="I252" s="7"/>
    </row>
    <row r="253" spans="1:9">
      <c r="A253" s="14">
        <f>Start.listina!AH73</f>
        <v>129</v>
      </c>
      <c r="B253" s="14">
        <f ca="1">Start.listina!I73</f>
        <v>10139</v>
      </c>
      <c r="C253" s="230" t="str">
        <f ca="1">Start.listina!J73</f>
        <v>Karásek</v>
      </c>
      <c r="D253" s="14" t="str">
        <f ca="1">Start.listina!K73</f>
        <v>Jiří</v>
      </c>
      <c r="E253" s="14" t="str">
        <f ca="1">Start.listina!L73</f>
        <v>HRODE KRUMSÍN</v>
      </c>
      <c r="F253" s="14"/>
      <c r="G253" s="122">
        <f ca="1">IF(N(A253)&gt;0,VLOOKUP(A253,Body!$A$4:$F$259,5,0),"")</f>
        <v>553.40650000000005</v>
      </c>
      <c r="H253" s="7">
        <f ca="1">IF(N(A253)&gt;0,VLOOKUP(A253,Body!$A$4:$F$259,6,0),"")</f>
        <v>200</v>
      </c>
      <c r="I253" s="7">
        <f ca="1">IF(N(A253)&gt;0,VLOOKUP(A253,Body!$A$4:$F$259,2,0),"")</f>
        <v>8</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2"/>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2"/>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2"/>
      <c r="H256" s="7"/>
      <c r="I256" s="7"/>
    </row>
    <row r="257" spans="1:9">
      <c r="A257" s="14">
        <f>Start.listina!AH74</f>
        <v>129</v>
      </c>
      <c r="B257" s="14">
        <f ca="1">Start.listina!I74</f>
        <v>16086</v>
      </c>
      <c r="C257" s="230" t="str">
        <f ca="1">Start.listina!J74</f>
        <v>Ptáček</v>
      </c>
      <c r="D257" s="14" t="str">
        <f ca="1">Start.listina!K74</f>
        <v>Miroslav</v>
      </c>
      <c r="E257" s="14" t="str">
        <f ca="1">Start.listina!L74</f>
        <v>SK Pétanque Řepy</v>
      </c>
      <c r="F257" s="14"/>
      <c r="G257" s="122">
        <f ca="1">IF(N(A257)&gt;0,VLOOKUP(A257,Body!$A$4:$F$259,5,0),"")</f>
        <v>553.40650000000005</v>
      </c>
      <c r="H257" s="7">
        <f ca="1">IF(N(A257)&gt;0,VLOOKUP(A257,Body!$A$4:$F$259,6,0),"")</f>
        <v>200</v>
      </c>
      <c r="I257" s="7">
        <f ca="1">IF(N(A257)&gt;0,VLOOKUP(A257,Body!$A$4:$F$259,2,0),"")</f>
        <v>8</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2"/>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2"/>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2"/>
      <c r="H260" s="7"/>
      <c r="I260" s="7"/>
    </row>
    <row r="261" spans="1:9">
      <c r="A261" s="14">
        <f>Start.listina!AH75</f>
        <v>8</v>
      </c>
      <c r="B261" s="14">
        <f ca="1">Start.listina!I75</f>
        <v>10163</v>
      </c>
      <c r="C261" s="230" t="str">
        <f ca="1">Start.listina!J75</f>
        <v>Vaníčková</v>
      </c>
      <c r="D261" s="14" t="str">
        <f ca="1">Start.listina!K75</f>
        <v>Alena</v>
      </c>
      <c r="E261" s="14" t="str">
        <f ca="1">Start.listina!L75</f>
        <v>Sokol Kostomlaty</v>
      </c>
      <c r="F261" s="14"/>
      <c r="G261" s="122">
        <f ca="1">IF(N(A261)&gt;0,VLOOKUP(A261,Body!$A$4:$F$259,5,0),"")</f>
        <v>420.87906250000003</v>
      </c>
      <c r="H261" s="7">
        <f ca="1">IF(N(A261)&gt;0,VLOOKUP(A261,Body!$A$4:$F$259,6,0),"")</f>
        <v>200</v>
      </c>
      <c r="I261" s="7">
        <f ca="1">IF(N(A261)&gt;0,VLOOKUP(A261,Body!$A$4:$F$259,2,0),"")</f>
        <v>5</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2"/>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2"/>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2"/>
      <c r="H264" s="7"/>
      <c r="I264" s="7"/>
    </row>
    <row r="265" spans="1:9">
      <c r="A265" s="14">
        <f>Start.listina!AH76</f>
        <v>2</v>
      </c>
      <c r="B265" s="14">
        <f ca="1">Start.listina!I76</f>
        <v>11009</v>
      </c>
      <c r="C265" s="230" t="str">
        <f ca="1">Start.listina!J76</f>
        <v>Fereš</v>
      </c>
      <c r="D265" s="14" t="str">
        <f ca="1">Start.listina!K76</f>
        <v>Pavel</v>
      </c>
      <c r="E265" s="14" t="str">
        <f ca="1">Start.listina!L76</f>
        <v>PK 1293 Vojnův Městec</v>
      </c>
      <c r="F265" s="14"/>
      <c r="G265" s="122">
        <f ca="1">IF(N(A265)&gt;0,VLOOKUP(A265,Body!$A$4:$F$259,5,0),"")</f>
        <v>509.23068749999999</v>
      </c>
      <c r="H265" s="7">
        <f ca="1">IF(N(A265)&gt;0,VLOOKUP(A265,Body!$A$4:$F$259,6,0),"")</f>
        <v>200</v>
      </c>
      <c r="I265" s="7">
        <f ca="1">IF(N(A265)&gt;0,VLOOKUP(A265,Body!$A$4:$F$259,2,0),"")</f>
        <v>7</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2"/>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2"/>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2"/>
      <c r="H268" s="7"/>
      <c r="I268" s="7"/>
    </row>
    <row r="269" spans="1:9">
      <c r="A269" s="14">
        <f>Start.listina!AH77</f>
        <v>64</v>
      </c>
      <c r="B269" s="14">
        <f ca="1">Start.listina!I77</f>
        <v>15068</v>
      </c>
      <c r="C269" s="230" t="str">
        <f ca="1">Start.listina!J77</f>
        <v>Žárský</v>
      </c>
      <c r="D269" s="14" t="str">
        <f ca="1">Start.listina!K77</f>
        <v>Kamil</v>
      </c>
      <c r="E269" s="14" t="str">
        <f ca="1">Start.listina!L77</f>
        <v>POP Praha</v>
      </c>
      <c r="F269" s="14"/>
      <c r="G269" s="122">
        <f ca="1">IF(N(A269)&gt;0,VLOOKUP(A269,Body!$A$4:$F$259,5,0),"")</f>
        <v>288.35162500000001</v>
      </c>
      <c r="H269" s="7">
        <f ca="1">IF(N(A269)&gt;0,VLOOKUP(A269,Body!$A$4:$F$259,6,0),"")</f>
        <v>200</v>
      </c>
      <c r="I269" s="7">
        <f ca="1">IF(N(A269)&gt;0,VLOOKUP(A269,Body!$A$4:$F$259,2,0),"")</f>
        <v>2</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2"/>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2"/>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2"/>
      <c r="H272" s="7"/>
      <c r="I272" s="7"/>
    </row>
    <row r="273" spans="1:9">
      <c r="A273" s="14">
        <f>Start.listina!AH78</f>
        <v>129</v>
      </c>
      <c r="B273" s="14">
        <f ca="1">Start.listina!I78</f>
        <v>13007</v>
      </c>
      <c r="C273" s="230" t="str">
        <f ca="1">Start.listina!J78</f>
        <v>Burešová</v>
      </c>
      <c r="D273" s="14" t="str">
        <f ca="1">Start.listina!K78</f>
        <v>Jana</v>
      </c>
      <c r="E273" s="14" t="str">
        <f ca="1">Start.listina!L78</f>
        <v>HAPEK</v>
      </c>
      <c r="F273" s="14"/>
      <c r="G273" s="122">
        <f ca="1">IF(N(A273)&gt;0,VLOOKUP(A273,Body!$A$4:$F$259,5,0),"")</f>
        <v>553.40650000000005</v>
      </c>
      <c r="H273" s="7">
        <f ca="1">IF(N(A273)&gt;0,VLOOKUP(A273,Body!$A$4:$F$259,6,0),"")</f>
        <v>200</v>
      </c>
      <c r="I273" s="7">
        <f ca="1">IF(N(A273)&gt;0,VLOOKUP(A273,Body!$A$4:$F$259,2,0),"")</f>
        <v>8</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2"/>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2"/>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2"/>
      <c r="H276" s="7"/>
      <c r="I276" s="7"/>
    </row>
    <row r="277" spans="1:9">
      <c r="A277" s="14">
        <f>Start.listina!AH79</f>
        <v>129</v>
      </c>
      <c r="B277" s="14">
        <f ca="1">Start.listina!I79</f>
        <v>17086</v>
      </c>
      <c r="C277" s="230" t="str">
        <f ca="1">Start.listina!J79</f>
        <v>Radechovský</v>
      </c>
      <c r="D277" s="14" t="str">
        <f ca="1">Start.listina!K79</f>
        <v>Milan</v>
      </c>
      <c r="E277" s="14" t="str">
        <f ca="1">Start.listina!L79</f>
        <v>PC Mimo Done</v>
      </c>
      <c r="F277" s="14"/>
      <c r="G277" s="122">
        <f ca="1">IF(N(A277)&gt;0,VLOOKUP(A277,Body!$A$4:$F$259,5,0),"")</f>
        <v>553.40650000000005</v>
      </c>
      <c r="H277" s="7">
        <f ca="1">IF(N(A277)&gt;0,VLOOKUP(A277,Body!$A$4:$F$259,6,0),"")</f>
        <v>200</v>
      </c>
      <c r="I277" s="7">
        <f ca="1">IF(N(A277)&gt;0,VLOOKUP(A277,Body!$A$4:$F$259,2,0),"")</f>
        <v>8</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2"/>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2"/>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2"/>
      <c r="H280" s="7"/>
      <c r="I280" s="7"/>
    </row>
    <row r="281" spans="1:9">
      <c r="A281" s="14">
        <f>Start.listina!AH80</f>
        <v>32</v>
      </c>
      <c r="B281" s="14">
        <f ca="1">Start.listina!I80</f>
        <v>18136</v>
      </c>
      <c r="C281" s="230" t="str">
        <f ca="1">Start.listina!J80</f>
        <v>Hanák</v>
      </c>
      <c r="D281" s="14" t="str">
        <f ca="1">Start.listina!K80</f>
        <v>Pavel</v>
      </c>
      <c r="E281" s="14" t="str">
        <f ca="1">Start.listina!L80</f>
        <v>Orel Řečkovice</v>
      </c>
      <c r="F281" s="14"/>
      <c r="G281" s="122">
        <f ca="1">IF(N(A281)&gt;0,VLOOKUP(A281,Body!$A$4:$F$259,5,0),"")</f>
        <v>332.52743750000002</v>
      </c>
      <c r="H281" s="7">
        <f ca="1">IF(N(A281)&gt;0,VLOOKUP(A281,Body!$A$4:$F$259,6,0),"")</f>
        <v>200</v>
      </c>
      <c r="I281" s="7">
        <f ca="1">IF(N(A281)&gt;0,VLOOKUP(A281,Body!$A$4:$F$259,2,0),"")</f>
        <v>3</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2"/>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2"/>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2"/>
      <c r="H284" s="7"/>
      <c r="I284" s="7"/>
    </row>
    <row r="285" spans="1:9">
      <c r="A285" s="14">
        <f ca="1">Start.listina!AH81</f>
        <v>64</v>
      </c>
      <c r="B285" s="14">
        <f ca="1">Start.listina!I81</f>
        <v>18058</v>
      </c>
      <c r="C285" s="230" t="str">
        <f ca="1">Start.listina!J81</f>
        <v>Hulec</v>
      </c>
      <c r="D285" s="14" t="str">
        <f ca="1">Start.listina!K81</f>
        <v>Zdeněk</v>
      </c>
      <c r="E285" s="14" t="str">
        <f ca="1">Start.listina!L81</f>
        <v>Bowle 09 Klatovy</v>
      </c>
      <c r="F285" s="14"/>
      <c r="G285" s="122">
        <f ca="1">IF(N(A285)&gt;0,VLOOKUP(A285,Body!$A$4:$F$259,5,0),"")</f>
        <v>288.35162500000001</v>
      </c>
      <c r="H285" s="7">
        <f ca="1">IF(N(A285)&gt;0,VLOOKUP(A285,Body!$A$4:$F$259,6,0),"")</f>
        <v>200</v>
      </c>
      <c r="I285" s="7">
        <f ca="1">IF(N(A285)&gt;0,VLOOKUP(A285,Body!$A$4:$F$259,2,0),"")</f>
        <v>2</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2"/>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2"/>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2"/>
      <c r="H288" s="7"/>
      <c r="I288" s="7"/>
    </row>
    <row r="289" spans="1:9">
      <c r="A289" s="14">
        <f>Start.listina!AH82</f>
        <v>86</v>
      </c>
      <c r="B289" s="14">
        <f ca="1">Start.listina!I82</f>
        <v>10048</v>
      </c>
      <c r="C289" s="230" t="str">
        <f ca="1">Start.listina!J82</f>
        <v>Valík</v>
      </c>
      <c r="D289" s="14" t="str">
        <f ca="1">Start.listina!K82</f>
        <v>Václav</v>
      </c>
      <c r="E289" s="14" t="str">
        <f ca="1">Start.listina!L82</f>
        <v>PAK Albrechtice</v>
      </c>
      <c r="F289" s="14"/>
      <c r="G289" s="122">
        <f ca="1">IF(N(A289)&gt;0,VLOOKUP(A289,Body!$A$4:$F$259,5,0),"")</f>
        <v>553.40650000000005</v>
      </c>
      <c r="H289" s="7">
        <f ca="1">IF(N(A289)&gt;0,VLOOKUP(A289,Body!$A$4:$F$259,6,0),"")</f>
        <v>200</v>
      </c>
      <c r="I289" s="7">
        <f ca="1">IF(N(A289)&gt;0,VLOOKUP(A289,Body!$A$4:$F$259,2,0),"")</f>
        <v>8</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2"/>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2"/>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2"/>
      <c r="H292" s="7"/>
      <c r="I292" s="7"/>
    </row>
    <row r="293" spans="1:9">
      <c r="A293" s="14">
        <f>Start.listina!AH83</f>
        <v>129</v>
      </c>
      <c r="B293" s="14">
        <f ca="1">Start.listina!I83</f>
        <v>16109</v>
      </c>
      <c r="C293" s="230" t="str">
        <f ca="1">Start.listina!J83</f>
        <v>Sjögren</v>
      </c>
      <c r="D293" s="14" t="str">
        <f ca="1">Start.listina!K83</f>
        <v>Magda</v>
      </c>
      <c r="E293" s="14" t="str">
        <f ca="1">Start.listina!L83</f>
        <v>SKP Kulová osma</v>
      </c>
      <c r="F293" s="14"/>
      <c r="G293" s="122">
        <f ca="1">IF(N(A293)&gt;0,VLOOKUP(A293,Body!$A$4:$F$259,5,0),"")</f>
        <v>553.40650000000005</v>
      </c>
      <c r="H293" s="7">
        <f ca="1">IF(N(A293)&gt;0,VLOOKUP(A293,Body!$A$4:$F$259,6,0),"")</f>
        <v>200</v>
      </c>
      <c r="I293" s="7">
        <f ca="1">IF(N(A293)&gt;0,VLOOKUP(A293,Body!$A$4:$F$259,2,0),"")</f>
        <v>8</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2"/>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2"/>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2"/>
      <c r="H296" s="7"/>
      <c r="I296" s="7"/>
    </row>
    <row r="297" spans="1:9">
      <c r="A297" s="14">
        <f>Start.listina!AH84</f>
        <v>129</v>
      </c>
      <c r="B297" s="14">
        <f ca="1">Start.listina!I84</f>
        <v>25011</v>
      </c>
      <c r="C297" s="230" t="str">
        <f ca="1">Start.listina!J84</f>
        <v>Jirkovský</v>
      </c>
      <c r="D297" s="14" t="str">
        <f ca="1">Start.listina!K84</f>
        <v>Tomáš</v>
      </c>
      <c r="E297" s="14" t="str">
        <f ca="1">Start.listina!L84</f>
        <v>PK Osika Plzeň</v>
      </c>
      <c r="F297" s="14"/>
      <c r="G297" s="122">
        <f ca="1">IF(N(A297)&gt;0,VLOOKUP(A297,Body!$A$4:$F$259,5,0),"")</f>
        <v>553.40650000000005</v>
      </c>
      <c r="H297" s="7">
        <f ca="1">IF(N(A297)&gt;0,VLOOKUP(A297,Body!$A$4:$F$259,6,0),"")</f>
        <v>200</v>
      </c>
      <c r="I297" s="7">
        <f ca="1">IF(N(A297)&gt;0,VLOOKUP(A297,Body!$A$4:$F$259,2,0),"")</f>
        <v>8</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2"/>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2"/>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2"/>
      <c r="H300" s="7"/>
      <c r="I300" s="7"/>
    </row>
    <row r="301" spans="1:9">
      <c r="A301" s="14">
        <f>Start.listina!AH85</f>
        <v>129</v>
      </c>
      <c r="B301" s="14">
        <f ca="1">Start.listina!I85</f>
        <v>19025</v>
      </c>
      <c r="C301" s="230" t="str">
        <f ca="1">Start.listina!J85</f>
        <v>Maňák</v>
      </c>
      <c r="D301" s="14" t="str">
        <f ca="1">Start.listina!K85</f>
        <v>Jan</v>
      </c>
      <c r="E301" s="14" t="str">
        <f ca="1">Start.listina!L85</f>
        <v>Petank Club Praha</v>
      </c>
      <c r="F301" s="14"/>
      <c r="G301" s="122">
        <f ca="1">IF(N(A301)&gt;0,VLOOKUP(A301,Body!$A$4:$F$259,5,0),"")</f>
        <v>553.40650000000005</v>
      </c>
      <c r="H301" s="7">
        <f ca="1">IF(N(A301)&gt;0,VLOOKUP(A301,Body!$A$4:$F$259,6,0),"")</f>
        <v>200</v>
      </c>
      <c r="I301" s="7">
        <f ca="1">IF(N(A301)&gt;0,VLOOKUP(A301,Body!$A$4:$F$259,2,0),"")</f>
        <v>8</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2"/>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2"/>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2"/>
      <c r="H304" s="7"/>
      <c r="I304" s="7"/>
    </row>
    <row r="305" spans="1:9">
      <c r="A305" s="14">
        <f>Start.listina!AH86</f>
        <v>32</v>
      </c>
      <c r="B305" s="14">
        <f ca="1">Start.listina!I86</f>
        <v>28051</v>
      </c>
      <c r="C305" s="230" t="str">
        <f ca="1">Start.listina!J86</f>
        <v>Horáček</v>
      </c>
      <c r="D305" s="14" t="str">
        <f ca="1">Start.listina!K86</f>
        <v>Jindřich</v>
      </c>
      <c r="E305" s="14" t="str">
        <f ca="1">Start.listina!L86</f>
        <v>PC Kolová</v>
      </c>
      <c r="F305" s="14"/>
      <c r="G305" s="122">
        <f ca="1">IF(N(A305)&gt;0,VLOOKUP(A305,Body!$A$4:$F$259,5,0),"")</f>
        <v>332.52743750000002</v>
      </c>
      <c r="H305" s="7">
        <f ca="1">IF(N(A305)&gt;0,VLOOKUP(A305,Body!$A$4:$F$259,6,0),"")</f>
        <v>200</v>
      </c>
      <c r="I305" s="7">
        <f ca="1">IF(N(A305)&gt;0,VLOOKUP(A305,Body!$A$4:$F$259,2,0),"")</f>
        <v>3</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2"/>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2"/>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2"/>
      <c r="H308" s="7"/>
      <c r="I308" s="7"/>
    </row>
    <row r="309" spans="1:9">
      <c r="A309" s="14">
        <f>Start.listina!AH87</f>
        <v>129</v>
      </c>
      <c r="B309" s="14">
        <f ca="1">Start.listina!I87</f>
        <v>96217</v>
      </c>
      <c r="C309" s="230" t="str">
        <f ca="1">Start.listina!J87</f>
        <v>Gorroňo López</v>
      </c>
      <c r="D309" s="14" t="str">
        <f ca="1">Start.listina!K87</f>
        <v>Rubi</v>
      </c>
      <c r="E309" s="14" t="str">
        <f ca="1">Start.listina!L87</f>
        <v>CdP Loděnice</v>
      </c>
      <c r="F309" s="14"/>
      <c r="G309" s="122">
        <f ca="1">IF(N(A309)&gt;0,VLOOKUP(A309,Body!$A$4:$F$259,5,0),"")</f>
        <v>553.40650000000005</v>
      </c>
      <c r="H309" s="7">
        <f ca="1">IF(N(A309)&gt;0,VLOOKUP(A309,Body!$A$4:$F$259,6,0),"")</f>
        <v>200</v>
      </c>
      <c r="I309" s="7">
        <f ca="1">IF(N(A309)&gt;0,VLOOKUP(A309,Body!$A$4:$F$259,2,0),"")</f>
        <v>8</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2"/>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2"/>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2"/>
      <c r="H312" s="7"/>
      <c r="I312" s="7"/>
    </row>
    <row r="313" spans="1:9">
      <c r="A313" s="14">
        <f>Start.listina!AH88</f>
        <v>129</v>
      </c>
      <c r="B313" s="14">
        <f ca="1">Start.listina!I88</f>
        <v>12047</v>
      </c>
      <c r="C313" s="230" t="str">
        <f ca="1">Start.listina!J88</f>
        <v>Karásková</v>
      </c>
      <c r="D313" s="14" t="str">
        <f ca="1">Start.listina!K88</f>
        <v>Františka</v>
      </c>
      <c r="E313" s="14" t="str">
        <f ca="1">Start.listina!L88</f>
        <v>HRODE KRUMSÍN</v>
      </c>
      <c r="F313" s="14"/>
      <c r="G313" s="122">
        <f ca="1">IF(N(A313)&gt;0,VLOOKUP(A313,Body!$A$4:$F$259,5,0),"")</f>
        <v>553.40650000000005</v>
      </c>
      <c r="H313" s="7">
        <f ca="1">IF(N(A313)&gt;0,VLOOKUP(A313,Body!$A$4:$F$259,6,0),"")</f>
        <v>200</v>
      </c>
      <c r="I313" s="7">
        <f ca="1">IF(N(A313)&gt;0,VLOOKUP(A313,Body!$A$4:$F$259,2,0),"")</f>
        <v>8</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2"/>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2"/>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2"/>
      <c r="H316" s="7"/>
      <c r="I316" s="7"/>
    </row>
    <row r="317" spans="1:9">
      <c r="A317" s="14">
        <f>Start.listina!AH89</f>
        <v>86</v>
      </c>
      <c r="B317" s="14">
        <f ca="1">Start.listina!I89</f>
        <v>12010</v>
      </c>
      <c r="C317" s="230" t="str">
        <f ca="1">Start.listina!J89</f>
        <v>Pachla</v>
      </c>
      <c r="D317" s="14" t="str">
        <f ca="1">Start.listina!K89</f>
        <v>Pavel</v>
      </c>
      <c r="E317" s="14" t="str">
        <f ca="1">Start.listina!L89</f>
        <v>PO Chotěboř</v>
      </c>
      <c r="F317" s="14"/>
      <c r="G317" s="122">
        <f ca="1">IF(N(A317)&gt;0,VLOOKUP(A317,Body!$A$4:$F$259,5,0),"")</f>
        <v>553.40650000000005</v>
      </c>
      <c r="H317" s="7">
        <f ca="1">IF(N(A317)&gt;0,VLOOKUP(A317,Body!$A$4:$F$259,6,0),"")</f>
        <v>200</v>
      </c>
      <c r="I317" s="7">
        <f ca="1">IF(N(A317)&gt;0,VLOOKUP(A317,Body!$A$4:$F$259,2,0),"")</f>
        <v>8</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2"/>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2"/>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2"/>
      <c r="H320" s="7"/>
      <c r="I320" s="7"/>
    </row>
    <row r="321" spans="1:9">
      <c r="A321" s="14">
        <f>Start.listina!AH90</f>
        <v>129</v>
      </c>
      <c r="B321" s="14">
        <f ca="1">Start.listina!I90</f>
        <v>17090</v>
      </c>
      <c r="C321" s="230" t="str">
        <f ca="1">Start.listina!J90</f>
        <v>Sedláčková</v>
      </c>
      <c r="D321" s="14" t="str">
        <f ca="1">Start.listina!K90</f>
        <v>Marie</v>
      </c>
      <c r="E321" s="14" t="str">
        <f ca="1">Start.listina!L90</f>
        <v>PKT Velký Šanc</v>
      </c>
      <c r="F321" s="14"/>
      <c r="G321" s="122">
        <f ca="1">IF(N(A321)&gt;0,VLOOKUP(A321,Body!$A$4:$F$259,5,0),"")</f>
        <v>553.40650000000005</v>
      </c>
      <c r="H321" s="7">
        <f ca="1">IF(N(A321)&gt;0,VLOOKUP(A321,Body!$A$4:$F$259,6,0),"")</f>
        <v>200</v>
      </c>
      <c r="I321" s="7">
        <f ca="1">IF(N(A321)&gt;0,VLOOKUP(A321,Body!$A$4:$F$259,2,0),"")</f>
        <v>8</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2"/>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2"/>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2"/>
      <c r="H324" s="7"/>
      <c r="I324" s="7"/>
    </row>
    <row r="325" spans="1:9">
      <c r="A325" s="14">
        <f>Start.listina!AH91</f>
        <v>129</v>
      </c>
      <c r="B325" s="14">
        <f ca="1">Start.listina!I91</f>
        <v>18130</v>
      </c>
      <c r="C325" s="230" t="str">
        <f ca="1">Start.listina!J91</f>
        <v>Semrád</v>
      </c>
      <c r="D325" s="14" t="str">
        <f ca="1">Start.listina!K91</f>
        <v>Oldřich</v>
      </c>
      <c r="E325" s="14" t="str">
        <f ca="1">Start.listina!L91</f>
        <v>PKT Velký Šanc</v>
      </c>
      <c r="F325" s="14"/>
      <c r="G325" s="122">
        <f ca="1">IF(N(A325)&gt;0,VLOOKUP(A325,Body!$A$4:$F$259,5,0),"")</f>
        <v>553.40650000000005</v>
      </c>
      <c r="H325" s="7">
        <f ca="1">IF(N(A325)&gt;0,VLOOKUP(A325,Body!$A$4:$F$259,6,0),"")</f>
        <v>200</v>
      </c>
      <c r="I325" s="7">
        <f ca="1">IF(N(A325)&gt;0,VLOOKUP(A325,Body!$A$4:$F$259,2,0),"")</f>
        <v>8</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2"/>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2"/>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2"/>
      <c r="H328" s="7"/>
      <c r="I328" s="7"/>
    </row>
    <row r="329" spans="1:9">
      <c r="A329" s="14">
        <f>Start.listina!AH92</f>
        <v>64</v>
      </c>
      <c r="B329" s="14">
        <f ca="1">Start.listina!I92</f>
        <v>16029</v>
      </c>
      <c r="C329" s="230" t="str">
        <f ca="1">Start.listina!J92</f>
        <v>Kašparová</v>
      </c>
      <c r="D329" s="14" t="str">
        <f ca="1">Start.listina!K92</f>
        <v>Barbora</v>
      </c>
      <c r="E329" s="14" t="str">
        <f ca="1">Start.listina!L92</f>
        <v>Petank Club Praha</v>
      </c>
      <c r="F329" s="14"/>
      <c r="G329" s="122">
        <f ca="1">IF(N(A329)&gt;0,VLOOKUP(A329,Body!$A$4:$F$259,5,0),"")</f>
        <v>288.35162500000001</v>
      </c>
      <c r="H329" s="7">
        <f ca="1">IF(N(A329)&gt;0,VLOOKUP(A329,Body!$A$4:$F$259,6,0),"")</f>
        <v>200</v>
      </c>
      <c r="I329" s="7">
        <f ca="1">IF(N(A329)&gt;0,VLOOKUP(A329,Body!$A$4:$F$259,2,0),"")</f>
        <v>2</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2"/>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2"/>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2"/>
      <c r="H332" s="7"/>
      <c r="I332" s="7"/>
    </row>
    <row r="333" spans="1:9">
      <c r="A333" s="14">
        <f>Start.listina!AH93</f>
        <v>64</v>
      </c>
      <c r="B333" s="14">
        <f ca="1">Start.listina!I93</f>
        <v>15060</v>
      </c>
      <c r="C333" s="230" t="str">
        <f ca="1">Start.listina!J93</f>
        <v>Horálek</v>
      </c>
      <c r="D333" s="14" t="str">
        <f ca="1">Start.listina!K93</f>
        <v>Jiří</v>
      </c>
      <c r="E333" s="14" t="str">
        <f ca="1">Start.listina!L93</f>
        <v>PKT Velký Šanc</v>
      </c>
      <c r="F333" s="14"/>
      <c r="G333" s="122">
        <f ca="1">IF(N(A333)&gt;0,VLOOKUP(A333,Body!$A$4:$F$259,5,0),"")</f>
        <v>288.35162500000001</v>
      </c>
      <c r="H333" s="7">
        <f ca="1">IF(N(A333)&gt;0,VLOOKUP(A333,Body!$A$4:$F$259,6,0),"")</f>
        <v>200</v>
      </c>
      <c r="I333" s="7">
        <f ca="1">IF(N(A333)&gt;0,VLOOKUP(A333,Body!$A$4:$F$259,2,0),"")</f>
        <v>2</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2"/>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2"/>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2"/>
      <c r="H336" s="7"/>
      <c r="I336" s="7"/>
    </row>
    <row r="337" spans="1:9">
      <c r="A337" s="14">
        <f>Start.listina!AH94</f>
        <v>129</v>
      </c>
      <c r="B337" s="14">
        <f ca="1">Start.listina!I94</f>
        <v>10011</v>
      </c>
      <c r="C337" s="230" t="str">
        <f ca="1">Start.listina!J94</f>
        <v>Melgr</v>
      </c>
      <c r="D337" s="14" t="str">
        <f ca="1">Start.listina!K94</f>
        <v>Pavel</v>
      </c>
      <c r="E337" s="14" t="str">
        <f ca="1">Start.listina!L94</f>
        <v>PC Sokol PP Hr. Králové</v>
      </c>
      <c r="F337" s="14"/>
      <c r="G337" s="122">
        <f ca="1">IF(N(A337)&gt;0,VLOOKUP(A337,Body!$A$4:$F$259,5,0),"")</f>
        <v>553.40650000000005</v>
      </c>
      <c r="H337" s="7">
        <f ca="1">IF(N(A337)&gt;0,VLOOKUP(A337,Body!$A$4:$F$259,6,0),"")</f>
        <v>200</v>
      </c>
      <c r="I337" s="7">
        <f ca="1">IF(N(A337)&gt;0,VLOOKUP(A337,Body!$A$4:$F$259,2,0),"")</f>
        <v>8</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2"/>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2"/>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2"/>
      <c r="H340" s="7"/>
      <c r="I340" s="7"/>
    </row>
    <row r="341" spans="1:9">
      <c r="A341" s="14">
        <f>Start.listina!AH95</f>
        <v>86</v>
      </c>
      <c r="B341" s="14">
        <f ca="1">Start.listina!I95</f>
        <v>16120</v>
      </c>
      <c r="C341" s="230" t="str">
        <f ca="1">Start.listina!J95</f>
        <v>Froněk</v>
      </c>
      <c r="D341" s="14" t="str">
        <f ca="1">Start.listina!K95</f>
        <v>Jiří ml.</v>
      </c>
      <c r="E341" s="14" t="str">
        <f ca="1">Start.listina!L95</f>
        <v>Petank Club Praha</v>
      </c>
      <c r="F341" s="14"/>
      <c r="G341" s="122">
        <f ca="1">IF(N(A341)&gt;0,VLOOKUP(A341,Body!$A$4:$F$259,5,0),"")</f>
        <v>553.40650000000005</v>
      </c>
      <c r="H341" s="7">
        <f ca="1">IF(N(A341)&gt;0,VLOOKUP(A341,Body!$A$4:$F$259,6,0),"")</f>
        <v>200</v>
      </c>
      <c r="I341" s="7">
        <f ca="1">IF(N(A341)&gt;0,VLOOKUP(A341,Body!$A$4:$F$259,2,0),"")</f>
        <v>8</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2"/>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2"/>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2"/>
      <c r="H344" s="7"/>
      <c r="I344" s="7"/>
    </row>
    <row r="345" spans="1:9">
      <c r="A345" s="14">
        <f>Start.listina!AH96</f>
        <v>129</v>
      </c>
      <c r="B345" s="14">
        <f ca="1">Start.listina!I96</f>
        <v>10012</v>
      </c>
      <c r="C345" s="230" t="str">
        <f ca="1">Start.listina!J96</f>
        <v>Melgr</v>
      </c>
      <c r="D345" s="14" t="str">
        <f ca="1">Start.listina!K96</f>
        <v>Jan</v>
      </c>
      <c r="E345" s="14" t="str">
        <f ca="1">Start.listina!L96</f>
        <v>PC Sokol PP Hr. Králové</v>
      </c>
      <c r="F345" s="14"/>
      <c r="G345" s="122">
        <f ca="1">IF(N(A345)&gt;0,VLOOKUP(A345,Body!$A$4:$F$259,5,0),"")</f>
        <v>553.40650000000005</v>
      </c>
      <c r="H345" s="7">
        <f ca="1">IF(N(A345)&gt;0,VLOOKUP(A345,Body!$A$4:$F$259,6,0),"")</f>
        <v>200</v>
      </c>
      <c r="I345" s="7">
        <f ca="1">IF(N(A345)&gt;0,VLOOKUP(A345,Body!$A$4:$F$259,2,0),"")</f>
        <v>8</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2"/>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2"/>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2"/>
      <c r="H348" s="7"/>
      <c r="I348" s="7"/>
    </row>
    <row r="349" spans="1:9">
      <c r="A349" s="14">
        <f>Start.listina!AH97</f>
        <v>86</v>
      </c>
      <c r="B349" s="14">
        <f ca="1">Start.listina!I97</f>
        <v>16117</v>
      </c>
      <c r="C349" s="230" t="str">
        <f ca="1">Start.listina!J97</f>
        <v>Stejskal</v>
      </c>
      <c r="D349" s="14" t="str">
        <f ca="1">Start.listina!K97</f>
        <v>Václav</v>
      </c>
      <c r="E349" s="14" t="str">
        <f ca="1">Start.listina!L97</f>
        <v>JAPKO</v>
      </c>
      <c r="F349" s="14"/>
      <c r="G349" s="122">
        <f ca="1">IF(N(A349)&gt;0,VLOOKUP(A349,Body!$A$4:$F$259,5,0),"")</f>
        <v>553.40650000000005</v>
      </c>
      <c r="H349" s="7">
        <f ca="1">IF(N(A349)&gt;0,VLOOKUP(A349,Body!$A$4:$F$259,6,0),"")</f>
        <v>200</v>
      </c>
      <c r="I349" s="7">
        <f ca="1">IF(N(A349)&gt;0,VLOOKUP(A349,Body!$A$4:$F$259,2,0),"")</f>
        <v>8</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2"/>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2"/>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2"/>
      <c r="H352" s="7"/>
      <c r="I352" s="7"/>
    </row>
    <row r="353" spans="1:9">
      <c r="A353" s="14">
        <f>Start.listina!AH98</f>
        <v>129</v>
      </c>
      <c r="B353" s="14">
        <f ca="1">Start.listina!I98</f>
        <v>96162</v>
      </c>
      <c r="C353" s="230" t="str">
        <f ca="1">Start.listina!J98</f>
        <v>Glaser</v>
      </c>
      <c r="D353" s="14" t="str">
        <f ca="1">Start.listina!K98</f>
        <v>Vladimír</v>
      </c>
      <c r="E353" s="14" t="str">
        <f ca="1">Start.listina!L98</f>
        <v>C.T.P. Club Ořech</v>
      </c>
      <c r="F353" s="14"/>
      <c r="G353" s="122">
        <f ca="1">IF(N(A353)&gt;0,VLOOKUP(A353,Body!$A$4:$F$259,5,0),"")</f>
        <v>553.40650000000005</v>
      </c>
      <c r="H353" s="7">
        <f ca="1">IF(N(A353)&gt;0,VLOOKUP(A353,Body!$A$4:$F$259,6,0),"")</f>
        <v>200</v>
      </c>
      <c r="I353" s="7">
        <f ca="1">IF(N(A353)&gt;0,VLOOKUP(A353,Body!$A$4:$F$259,2,0),"")</f>
        <v>8</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2"/>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2"/>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2"/>
      <c r="H356" s="7"/>
      <c r="I356" s="7"/>
    </row>
    <row r="357" spans="1:9">
      <c r="A357" s="14">
        <f>Start.listina!AH99</f>
        <v>86</v>
      </c>
      <c r="B357" s="14">
        <f ca="1">Start.listina!I99</f>
        <v>21836</v>
      </c>
      <c r="C357" s="230" t="str">
        <f ca="1">Start.listina!J99</f>
        <v>Piller</v>
      </c>
      <c r="D357" s="14" t="str">
        <f ca="1">Start.listina!K99</f>
        <v>Tomáš</v>
      </c>
      <c r="E357" s="14" t="str">
        <f ca="1">Start.listina!L99</f>
        <v>SK Sahara Vědomice</v>
      </c>
      <c r="F357" s="14"/>
      <c r="G357" s="122">
        <f ca="1">IF(N(A357)&gt;0,VLOOKUP(A357,Body!$A$4:$F$259,5,0),"")</f>
        <v>553.40650000000005</v>
      </c>
      <c r="H357" s="7">
        <f ca="1">IF(N(A357)&gt;0,VLOOKUP(A357,Body!$A$4:$F$259,6,0),"")</f>
        <v>200</v>
      </c>
      <c r="I357" s="7">
        <f ca="1">IF(N(A357)&gt;0,VLOOKUP(A357,Body!$A$4:$F$259,2,0),"")</f>
        <v>8</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2"/>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2"/>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2"/>
      <c r="H360" s="7"/>
      <c r="I360" s="7"/>
    </row>
    <row r="361" spans="1:9">
      <c r="A361" s="14">
        <f>Start.listina!AH100</f>
        <v>129</v>
      </c>
      <c r="B361" s="14">
        <f ca="1">Start.listina!I100</f>
        <v>25014</v>
      </c>
      <c r="C361" s="230" t="str">
        <f ca="1">Start.listina!J100</f>
        <v>Mráz</v>
      </c>
      <c r="D361" s="14" t="str">
        <f ca="1">Start.listina!K100</f>
        <v>Václav</v>
      </c>
      <c r="E361" s="14" t="str">
        <f ca="1">Start.listina!L100</f>
        <v>PK Osika Plzeň</v>
      </c>
      <c r="F361" s="14"/>
      <c r="G361" s="122">
        <f ca="1">IF(N(A361)&gt;0,VLOOKUP(A361,Body!$A$4:$F$259,5,0),"")</f>
        <v>553.40650000000005</v>
      </c>
      <c r="H361" s="7">
        <f ca="1">IF(N(A361)&gt;0,VLOOKUP(A361,Body!$A$4:$F$259,6,0),"")</f>
        <v>200</v>
      </c>
      <c r="I361" s="7">
        <f ca="1">IF(N(A361)&gt;0,VLOOKUP(A361,Body!$A$4:$F$259,2,0),"")</f>
        <v>8</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2"/>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2"/>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2"/>
      <c r="H364" s="7"/>
      <c r="I364" s="7"/>
    </row>
    <row r="365" spans="1:9">
      <c r="A365" s="14">
        <f>Start.listina!AH101</f>
        <v>129</v>
      </c>
      <c r="B365" s="14">
        <f ca="1">Start.listina!I101</f>
        <v>20504</v>
      </c>
      <c r="C365" s="230" t="str">
        <f ca="1">Start.listina!J101</f>
        <v>Bytešník</v>
      </c>
      <c r="D365" s="14" t="str">
        <f ca="1">Start.listina!K101</f>
        <v>Roman</v>
      </c>
      <c r="E365" s="14" t="str">
        <f ca="1">Start.listina!L101</f>
        <v>Carreau Brno</v>
      </c>
      <c r="F365" s="14"/>
      <c r="G365" s="122">
        <f ca="1">IF(N(A365)&gt;0,VLOOKUP(A365,Body!$A$4:$F$259,5,0),"")</f>
        <v>553.40650000000005</v>
      </c>
      <c r="H365" s="7">
        <f ca="1">IF(N(A365)&gt;0,VLOOKUP(A365,Body!$A$4:$F$259,6,0),"")</f>
        <v>200</v>
      </c>
      <c r="I365" s="7">
        <f ca="1">IF(N(A365)&gt;0,VLOOKUP(A365,Body!$A$4:$F$259,2,0),"")</f>
        <v>8</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2"/>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2"/>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2"/>
      <c r="H368" s="7"/>
      <c r="I368" s="7"/>
    </row>
    <row r="369" spans="1:9">
      <c r="A369" s="14">
        <f>Start.listina!AH102</f>
        <v>64</v>
      </c>
      <c r="B369" s="14">
        <f ca="1">Start.listina!I102</f>
        <v>17093</v>
      </c>
      <c r="C369" s="230" t="str">
        <f ca="1">Start.listina!J102</f>
        <v>Žiak</v>
      </c>
      <c r="D369" s="14" t="str">
        <f ca="1">Start.listina!K102</f>
        <v>Radomír</v>
      </c>
      <c r="E369" s="14" t="str">
        <f ca="1">Start.listina!L102</f>
        <v>PAK Albrechtice</v>
      </c>
      <c r="F369" s="14"/>
      <c r="G369" s="122">
        <f ca="1">IF(N(A369)&gt;0,VLOOKUP(A369,Body!$A$4:$F$259,5,0),"")</f>
        <v>288.35162500000001</v>
      </c>
      <c r="H369" s="7">
        <f ca="1">IF(N(A369)&gt;0,VLOOKUP(A369,Body!$A$4:$F$259,6,0),"")</f>
        <v>200</v>
      </c>
      <c r="I369" s="7">
        <f ca="1">IF(N(A369)&gt;0,VLOOKUP(A369,Body!$A$4:$F$259,2,0),"")</f>
        <v>2</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2"/>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2"/>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2"/>
      <c r="H372" s="7"/>
      <c r="I372" s="7"/>
    </row>
    <row r="373" spans="1:9">
      <c r="A373" s="14">
        <f>Start.listina!AH103</f>
        <v>86</v>
      </c>
      <c r="B373" s="14">
        <f ca="1">Start.listina!I103</f>
        <v>11049</v>
      </c>
      <c r="C373" s="230" t="str">
        <f ca="1">Start.listina!J103</f>
        <v>Bucek</v>
      </c>
      <c r="D373" s="14" t="str">
        <f ca="1">Start.listina!K103</f>
        <v>Zdeněk</v>
      </c>
      <c r="E373" s="14" t="str">
        <f ca="1">Start.listina!L103</f>
        <v>1. KPK Vrchlabí</v>
      </c>
      <c r="F373" s="14"/>
      <c r="G373" s="122">
        <f ca="1">IF(N(A373)&gt;0,VLOOKUP(A373,Body!$A$4:$F$259,5,0),"")</f>
        <v>553.40650000000005</v>
      </c>
      <c r="H373" s="7">
        <f ca="1">IF(N(A373)&gt;0,VLOOKUP(A373,Body!$A$4:$F$259,6,0),"")</f>
        <v>200</v>
      </c>
      <c r="I373" s="7">
        <f ca="1">IF(N(A373)&gt;0,VLOOKUP(A373,Body!$A$4:$F$259,2,0),"")</f>
        <v>8</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2"/>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2"/>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2"/>
      <c r="H376" s="7"/>
      <c r="I376" s="7"/>
    </row>
    <row r="377" spans="1:9">
      <c r="A377" s="14">
        <f>Start.listina!AH104</f>
        <v>129</v>
      </c>
      <c r="B377" s="14">
        <f ca="1">Start.listina!I104</f>
        <v>99496</v>
      </c>
      <c r="C377" s="230" t="str">
        <f ca="1">Start.listina!J104</f>
        <v>Drmola</v>
      </c>
      <c r="D377" s="14" t="str">
        <f ca="1">Start.listina!K104</f>
        <v>Michal</v>
      </c>
      <c r="E377" s="14" t="str">
        <f ca="1">Start.listina!L104</f>
        <v>HRODE KRUMSÍN</v>
      </c>
      <c r="F377" s="14"/>
      <c r="G377" s="122">
        <f ca="1">IF(N(A377)&gt;0,VLOOKUP(A377,Body!$A$4:$F$259,5,0),"")</f>
        <v>553.40650000000005</v>
      </c>
      <c r="H377" s="7">
        <f ca="1">IF(N(A377)&gt;0,VLOOKUP(A377,Body!$A$4:$F$259,6,0),"")</f>
        <v>200</v>
      </c>
      <c r="I377" s="7">
        <f ca="1">IF(N(A377)&gt;0,VLOOKUP(A377,Body!$A$4:$F$259,2,0),"")</f>
        <v>8</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2"/>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2"/>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2"/>
      <c r="H380" s="7"/>
      <c r="I380" s="7"/>
    </row>
    <row r="381" spans="1:9">
      <c r="A381" s="14">
        <f>Start.listina!AH105</f>
        <v>64</v>
      </c>
      <c r="B381" s="14">
        <f ca="1">Start.listina!I105</f>
        <v>28030</v>
      </c>
      <c r="C381" s="230" t="str">
        <f ca="1">Start.listina!J105</f>
        <v>Michovský</v>
      </c>
      <c r="D381" s="14" t="str">
        <f ca="1">Start.listina!K105</f>
        <v>Jiří</v>
      </c>
      <c r="E381" s="14" t="str">
        <f ca="1">Start.listina!L105</f>
        <v>PPA POZORKA</v>
      </c>
      <c r="F381" s="14"/>
      <c r="G381" s="122">
        <f ca="1">IF(N(A381)&gt;0,VLOOKUP(A381,Body!$A$4:$F$259,5,0),"")</f>
        <v>288.35162500000001</v>
      </c>
      <c r="H381" s="7">
        <f ca="1">IF(N(A381)&gt;0,VLOOKUP(A381,Body!$A$4:$F$259,6,0),"")</f>
        <v>200</v>
      </c>
      <c r="I381" s="7">
        <f ca="1">IF(N(A381)&gt;0,VLOOKUP(A381,Body!$A$4:$F$259,2,0),"")</f>
        <v>2</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2"/>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2"/>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2"/>
      <c r="H384" s="7"/>
      <c r="I384" s="7"/>
    </row>
    <row r="385" spans="1:9">
      <c r="A385" s="14">
        <f>Start.listina!AH106</f>
        <v>32</v>
      </c>
      <c r="B385" s="14">
        <f ca="1">Start.listina!I106</f>
        <v>11041</v>
      </c>
      <c r="C385" s="230" t="str">
        <f ca="1">Start.listina!J106</f>
        <v>Kadavá</v>
      </c>
      <c r="D385" s="14" t="str">
        <f ca="1">Start.listina!K106</f>
        <v>Petra</v>
      </c>
      <c r="E385" s="14" t="str">
        <f ca="1">Start.listina!L106</f>
        <v>1. KPK Vrchlabí</v>
      </c>
      <c r="F385" s="14"/>
      <c r="G385" s="122">
        <f ca="1">IF(N(A385)&gt;0,VLOOKUP(A385,Body!$A$4:$F$259,5,0),"")</f>
        <v>332.52743750000002</v>
      </c>
      <c r="H385" s="7">
        <f ca="1">IF(N(A385)&gt;0,VLOOKUP(A385,Body!$A$4:$F$259,6,0),"")</f>
        <v>200</v>
      </c>
      <c r="I385" s="7">
        <f ca="1">IF(N(A385)&gt;0,VLOOKUP(A385,Body!$A$4:$F$259,2,0),"")</f>
        <v>3</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2"/>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2"/>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2"/>
      <c r="H388" s="7"/>
      <c r="I388" s="7"/>
    </row>
    <row r="389" spans="1:9">
      <c r="A389" s="14">
        <f>Start.listina!AH107</f>
        <v>32</v>
      </c>
      <c r="B389" s="14">
        <f ca="1">Start.listina!I107</f>
        <v>25075</v>
      </c>
      <c r="C389" s="230" t="str">
        <f ca="1">Start.listina!J107</f>
        <v>Špitálský</v>
      </c>
      <c r="D389" s="14" t="str">
        <f ca="1">Start.listina!K107</f>
        <v>Milan</v>
      </c>
      <c r="E389" s="14" t="str">
        <f ca="1">Start.listina!L107</f>
        <v>PK Osika Plzeň</v>
      </c>
      <c r="F389" s="14"/>
      <c r="G389" s="122">
        <f ca="1">IF(N(A389)&gt;0,VLOOKUP(A389,Body!$A$4:$F$259,5,0),"")</f>
        <v>332.52743750000002</v>
      </c>
      <c r="H389" s="7">
        <f ca="1">IF(N(A389)&gt;0,VLOOKUP(A389,Body!$A$4:$F$259,6,0),"")</f>
        <v>200</v>
      </c>
      <c r="I389" s="7">
        <f ca="1">IF(N(A389)&gt;0,VLOOKUP(A389,Body!$A$4:$F$259,2,0),"")</f>
        <v>3</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2"/>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2"/>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2"/>
      <c r="H392" s="7"/>
      <c r="I392" s="7"/>
    </row>
    <row r="393" spans="1:9">
      <c r="A393" s="14">
        <f>Start.listina!AH108</f>
        <v>86</v>
      </c>
      <c r="B393" s="14">
        <f ca="1">Start.listina!I108</f>
        <v>96163</v>
      </c>
      <c r="C393" s="230" t="str">
        <f ca="1">Start.listina!J108</f>
        <v>Glaserová</v>
      </c>
      <c r="D393" s="14" t="str">
        <f ca="1">Start.listina!K108</f>
        <v>Dana</v>
      </c>
      <c r="E393" s="14" t="str">
        <f ca="1">Start.listina!L108</f>
        <v>C.T.P. Club Ořech</v>
      </c>
      <c r="F393" s="14"/>
      <c r="G393" s="122">
        <f ca="1">IF(N(A393)&gt;0,VLOOKUP(A393,Body!$A$4:$F$259,5,0),"")</f>
        <v>553.40650000000005</v>
      </c>
      <c r="H393" s="7">
        <f ca="1">IF(N(A393)&gt;0,VLOOKUP(A393,Body!$A$4:$F$259,6,0),"")</f>
        <v>200</v>
      </c>
      <c r="I393" s="7">
        <f ca="1">IF(N(A393)&gt;0,VLOOKUP(A393,Body!$A$4:$F$259,2,0),"")</f>
        <v>8</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2"/>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2"/>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2"/>
      <c r="H396" s="7"/>
      <c r="I396" s="7"/>
    </row>
    <row r="397" spans="1:9">
      <c r="A397" s="14">
        <f ca="1">Start.listina!AH109</f>
        <v>64</v>
      </c>
      <c r="B397" s="14">
        <f ca="1">Start.listina!I109</f>
        <v>99512</v>
      </c>
      <c r="C397" s="230" t="str">
        <f ca="1">Start.listina!J109</f>
        <v>Kocourek</v>
      </c>
      <c r="D397" s="14" t="str">
        <f ca="1">Start.listina!K109</f>
        <v>Pavel</v>
      </c>
      <c r="E397" s="14" t="str">
        <f ca="1">Start.listina!L109</f>
        <v>SK Sahara Vědomice</v>
      </c>
      <c r="F397" s="14"/>
      <c r="G397" s="122">
        <f ca="1">IF(N(A397)&gt;0,VLOOKUP(A397,Body!$A$4:$F$259,5,0),"")</f>
        <v>288.35162500000001</v>
      </c>
      <c r="H397" s="7">
        <f ca="1">IF(N(A397)&gt;0,VLOOKUP(A397,Body!$A$4:$F$259,6,0),"")</f>
        <v>200</v>
      </c>
      <c r="I397" s="7">
        <f ca="1">IF(N(A397)&gt;0,VLOOKUP(A397,Body!$A$4:$F$259,2,0),"")</f>
        <v>2</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2"/>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2"/>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2"/>
      <c r="H400" s="7"/>
      <c r="I400" s="7"/>
    </row>
    <row r="401" spans="1:9">
      <c r="A401" s="14">
        <f>Start.listina!AH110</f>
        <v>64</v>
      </c>
      <c r="B401" s="14">
        <f ca="1">Start.listina!I110</f>
        <v>28056</v>
      </c>
      <c r="C401" s="230" t="str">
        <f ca="1">Start.listina!J110</f>
        <v>Blažejová</v>
      </c>
      <c r="D401" s="14" t="str">
        <f ca="1">Start.listina!K110</f>
        <v>Eva</v>
      </c>
      <c r="E401" s="14" t="str">
        <f ca="1">Start.listina!L110</f>
        <v>1. Starobrněnský PK</v>
      </c>
      <c r="F401" s="14"/>
      <c r="G401" s="122">
        <f ca="1">IF(N(A401)&gt;0,VLOOKUP(A401,Body!$A$4:$F$259,5,0),"")</f>
        <v>288.35162500000001</v>
      </c>
      <c r="H401" s="7">
        <f ca="1">IF(N(A401)&gt;0,VLOOKUP(A401,Body!$A$4:$F$259,6,0),"")</f>
        <v>200</v>
      </c>
      <c r="I401" s="7">
        <f ca="1">IF(N(A401)&gt;0,VLOOKUP(A401,Body!$A$4:$F$259,2,0),"")</f>
        <v>2</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2"/>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2"/>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2"/>
      <c r="H404" s="7"/>
      <c r="I404" s="7"/>
    </row>
    <row r="405" spans="1:9">
      <c r="A405" s="14">
        <f>Start.listina!AH111</f>
        <v>129</v>
      </c>
      <c r="B405" s="14">
        <f ca="1">Start.listina!I111</f>
        <v>18065</v>
      </c>
      <c r="C405" s="230" t="str">
        <f ca="1">Start.listina!J111</f>
        <v>Valošek</v>
      </c>
      <c r="D405" s="14" t="str">
        <f ca="1">Start.listina!K111</f>
        <v>Radim</v>
      </c>
      <c r="E405" s="14" t="str">
        <f ca="1">Start.listina!L111</f>
        <v>PK Polouvsí</v>
      </c>
      <c r="F405" s="14"/>
      <c r="G405" s="122">
        <f ca="1">IF(N(A405)&gt;0,VLOOKUP(A405,Body!$A$4:$F$259,5,0),"")</f>
        <v>553.40650000000005</v>
      </c>
      <c r="H405" s="7">
        <f ca="1">IF(N(A405)&gt;0,VLOOKUP(A405,Body!$A$4:$F$259,6,0),"")</f>
        <v>200</v>
      </c>
      <c r="I405" s="7">
        <f ca="1">IF(N(A405)&gt;0,VLOOKUP(A405,Body!$A$4:$F$259,2,0),"")</f>
        <v>8</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2"/>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2"/>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2"/>
      <c r="H408" s="7"/>
      <c r="I408" s="7"/>
    </row>
    <row r="409" spans="1:9">
      <c r="A409" s="14">
        <f>Start.listina!AH112</f>
        <v>86</v>
      </c>
      <c r="B409" s="14">
        <f ca="1">Start.listina!I112</f>
        <v>10159</v>
      </c>
      <c r="C409" s="230" t="str">
        <f ca="1">Start.listina!J112</f>
        <v>Vaníček</v>
      </c>
      <c r="D409" s="14" t="str">
        <f ca="1">Start.listina!K112</f>
        <v>Rudolf</v>
      </c>
      <c r="E409" s="14" t="str">
        <f ca="1">Start.listina!L112</f>
        <v>Sokol Kostomlaty</v>
      </c>
      <c r="F409" s="14"/>
      <c r="G409" s="122">
        <f ca="1">IF(N(A409)&gt;0,VLOOKUP(A409,Body!$A$4:$F$259,5,0),"")</f>
        <v>553.40650000000005</v>
      </c>
      <c r="H409" s="7">
        <f ca="1">IF(N(A409)&gt;0,VLOOKUP(A409,Body!$A$4:$F$259,6,0),"")</f>
        <v>200</v>
      </c>
      <c r="I409" s="7">
        <f ca="1">IF(N(A409)&gt;0,VLOOKUP(A409,Body!$A$4:$F$259,2,0),"")</f>
        <v>8</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2"/>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2"/>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2"/>
      <c r="H412" s="7"/>
      <c r="I412" s="7"/>
    </row>
    <row r="413" spans="1:9">
      <c r="A413" s="14">
        <f>Start.listina!AH113</f>
        <v>129</v>
      </c>
      <c r="B413" s="14">
        <f ca="1">Start.listina!I113</f>
        <v>18064</v>
      </c>
      <c r="C413" s="230" t="str">
        <f ca="1">Start.listina!J113</f>
        <v>Rusek</v>
      </c>
      <c r="D413" s="14" t="str">
        <f ca="1">Start.listina!K113</f>
        <v>Luboš</v>
      </c>
      <c r="E413" s="14" t="str">
        <f ca="1">Start.listina!L113</f>
        <v>PK Polouvsí</v>
      </c>
      <c r="F413" s="14"/>
      <c r="G413" s="122">
        <f ca="1">IF(N(A413)&gt;0,VLOOKUP(A413,Body!$A$4:$F$259,5,0),"")</f>
        <v>553.40650000000005</v>
      </c>
      <c r="H413" s="7">
        <f ca="1">IF(N(A413)&gt;0,VLOOKUP(A413,Body!$A$4:$F$259,6,0),"")</f>
        <v>200</v>
      </c>
      <c r="I413" s="7">
        <f ca="1">IF(N(A413)&gt;0,VLOOKUP(A413,Body!$A$4:$F$259,2,0),"")</f>
        <v>8</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2"/>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2"/>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2"/>
      <c r="H416" s="7"/>
      <c r="I416" s="7"/>
    </row>
    <row r="417" spans="1:9">
      <c r="A417" s="14">
        <f>Start.listina!AH114</f>
        <v>12</v>
      </c>
      <c r="B417" s="14">
        <f ca="1">Start.listina!I114</f>
        <v>18066</v>
      </c>
      <c r="C417" s="230" t="str">
        <f ca="1">Start.listina!J114</f>
        <v>Ondryhal</v>
      </c>
      <c r="D417" s="14" t="str">
        <f ca="1">Start.listina!K114</f>
        <v>Josef</v>
      </c>
      <c r="E417" s="14" t="str">
        <f ca="1">Start.listina!L114</f>
        <v>PK Polouvsí</v>
      </c>
      <c r="F417" s="14"/>
      <c r="G417" s="122">
        <f ca="1">IF(N(A417)&gt;0,VLOOKUP(A417,Body!$A$4:$F$259,5,0),"")</f>
        <v>398.79115624999997</v>
      </c>
      <c r="H417" s="7">
        <f ca="1">IF(N(A417)&gt;0,VLOOKUP(A417,Body!$A$4:$F$259,6,0),"")</f>
        <v>200</v>
      </c>
      <c r="I417" s="7">
        <f ca="1">IF(N(A417)&gt;0,VLOOKUP(A417,Body!$A$4:$F$259,2,0),"")</f>
        <v>4.5</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2"/>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2"/>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2"/>
      <c r="H420" s="7"/>
      <c r="I420" s="7"/>
    </row>
    <row r="421" spans="1:9">
      <c r="A421" s="14">
        <f>Start.listina!AH115</f>
        <v>64</v>
      </c>
      <c r="B421" s="14">
        <f ca="1">Start.listina!I115</f>
        <v>17055</v>
      </c>
      <c r="C421" s="230" t="str">
        <f ca="1">Start.listina!J115</f>
        <v>Zikmunda</v>
      </c>
      <c r="D421" s="14" t="str">
        <f ca="1">Start.listina!K115</f>
        <v>Matěj</v>
      </c>
      <c r="E421" s="14" t="str">
        <f ca="1">Start.listina!L115</f>
        <v>PC Mimo Done</v>
      </c>
      <c r="F421" s="14"/>
      <c r="G421" s="122">
        <f ca="1">IF(N(A421)&gt;0,VLOOKUP(A421,Body!$A$4:$F$259,5,0),"")</f>
        <v>288.35162500000001</v>
      </c>
      <c r="H421" s="7">
        <f ca="1">IF(N(A421)&gt;0,VLOOKUP(A421,Body!$A$4:$F$259,6,0),"")</f>
        <v>200</v>
      </c>
      <c r="I421" s="7">
        <f ca="1">IF(N(A421)&gt;0,VLOOKUP(A421,Body!$A$4:$F$259,2,0),"")</f>
        <v>2</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2"/>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2"/>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2"/>
      <c r="H424" s="7"/>
      <c r="I424" s="7"/>
    </row>
    <row r="425" spans="1:9">
      <c r="A425" s="14">
        <f>Start.listina!AH116</f>
        <v>129</v>
      </c>
      <c r="B425" s="14">
        <f ca="1">Start.listina!I116</f>
        <v>19023</v>
      </c>
      <c r="C425" s="230" t="str">
        <f ca="1">Start.listina!J116</f>
        <v>Blieková</v>
      </c>
      <c r="D425" s="14" t="str">
        <f ca="1">Start.listina!K116</f>
        <v>Alena</v>
      </c>
      <c r="E425" s="14" t="str">
        <f ca="1">Start.listina!L116</f>
        <v>SENIOR TÝM Praha 1</v>
      </c>
      <c r="F425" s="14"/>
      <c r="G425" s="122">
        <f ca="1">IF(N(A425)&gt;0,VLOOKUP(A425,Body!$A$4:$F$259,5,0),"")</f>
        <v>553.40650000000005</v>
      </c>
      <c r="H425" s="7">
        <f ca="1">IF(N(A425)&gt;0,VLOOKUP(A425,Body!$A$4:$F$259,6,0),"")</f>
        <v>200</v>
      </c>
      <c r="I425" s="7">
        <f ca="1">IF(N(A425)&gt;0,VLOOKUP(A425,Body!$A$4:$F$259,2,0),"")</f>
        <v>8</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2"/>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2"/>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2"/>
      <c r="H428" s="7"/>
      <c r="I428" s="7"/>
    </row>
    <row r="429" spans="1:9">
      <c r="A429" s="14">
        <f>Start.listina!AH117</f>
        <v>129</v>
      </c>
      <c r="B429" s="14">
        <f ca="1">Start.listina!I117</f>
        <v>15055</v>
      </c>
      <c r="C429" s="230" t="str">
        <f ca="1">Start.listina!J117</f>
        <v>Srnský</v>
      </c>
      <c r="D429" s="14" t="str">
        <f ca="1">Start.listina!K117</f>
        <v>Jakub</v>
      </c>
      <c r="E429" s="14" t="str">
        <f ca="1">Start.listina!L117</f>
        <v>1. KPK Vrchlabí</v>
      </c>
      <c r="F429" s="14"/>
      <c r="G429" s="122">
        <f ca="1">IF(N(A429)&gt;0,VLOOKUP(A429,Body!$A$4:$F$259,5,0),"")</f>
        <v>553.40650000000005</v>
      </c>
      <c r="H429" s="7">
        <f ca="1">IF(N(A429)&gt;0,VLOOKUP(A429,Body!$A$4:$F$259,6,0),"")</f>
        <v>200</v>
      </c>
      <c r="I429" s="7">
        <f ca="1">IF(N(A429)&gt;0,VLOOKUP(A429,Body!$A$4:$F$259,2,0),"")</f>
        <v>8</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2"/>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2"/>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2"/>
      <c r="H432" s="7"/>
      <c r="I432" s="7"/>
    </row>
    <row r="433" spans="1:9">
      <c r="A433" s="14">
        <f>Start.listina!AH118</f>
        <v>129</v>
      </c>
      <c r="B433" s="14">
        <f ca="1">Start.listina!I118</f>
        <v>14037</v>
      </c>
      <c r="C433" s="230" t="str">
        <f ca="1">Start.listina!J118</f>
        <v>Hůrka</v>
      </c>
      <c r="D433" s="14" t="str">
        <f ca="1">Start.listina!K118</f>
        <v>Jindřich</v>
      </c>
      <c r="E433" s="14" t="str">
        <f ca="1">Start.listina!L118</f>
        <v>Bowle 09 Klatovy</v>
      </c>
      <c r="F433" s="14"/>
      <c r="G433" s="122">
        <f ca="1">IF(N(A433)&gt;0,VLOOKUP(A433,Body!$A$4:$F$259,5,0),"")</f>
        <v>553.40650000000005</v>
      </c>
      <c r="H433" s="7">
        <f ca="1">IF(N(A433)&gt;0,VLOOKUP(A433,Body!$A$4:$F$259,6,0),"")</f>
        <v>200</v>
      </c>
      <c r="I433" s="7">
        <f ca="1">IF(N(A433)&gt;0,VLOOKUP(A433,Body!$A$4:$F$259,2,0),"")</f>
        <v>8</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2"/>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2"/>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2"/>
      <c r="H436" s="7"/>
      <c r="I436" s="7"/>
    </row>
    <row r="437" spans="1:9">
      <c r="A437" s="14">
        <f>Start.listina!AH119</f>
        <v>86</v>
      </c>
      <c r="B437" s="14">
        <f ca="1">Start.listina!I119</f>
        <v>14055</v>
      </c>
      <c r="C437" s="230" t="str">
        <f ca="1">Start.listina!J119</f>
        <v>Stejskal</v>
      </c>
      <c r="D437" s="14" t="str">
        <f ca="1">Start.listina!K119</f>
        <v>Petr</v>
      </c>
      <c r="E437" s="14" t="str">
        <f ca="1">Start.listina!L119</f>
        <v>JAPKO</v>
      </c>
      <c r="F437" s="14"/>
      <c r="G437" s="122">
        <f ca="1">IF(N(A437)&gt;0,VLOOKUP(A437,Body!$A$4:$F$259,5,0),"")</f>
        <v>553.40650000000005</v>
      </c>
      <c r="H437" s="7">
        <f ca="1">IF(N(A437)&gt;0,VLOOKUP(A437,Body!$A$4:$F$259,6,0),"")</f>
        <v>200</v>
      </c>
      <c r="I437" s="7">
        <f ca="1">IF(N(A437)&gt;0,VLOOKUP(A437,Body!$A$4:$F$259,2,0),"")</f>
        <v>8</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2"/>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2"/>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2"/>
      <c r="H440" s="7"/>
      <c r="I440" s="7"/>
    </row>
    <row r="441" spans="1:9">
      <c r="A441" s="14">
        <f>Start.listina!AH120</f>
        <v>32</v>
      </c>
      <c r="B441" s="14">
        <f ca="1">Start.listina!I120</f>
        <v>18124</v>
      </c>
      <c r="C441" s="230" t="str">
        <f ca="1">Start.listina!J120</f>
        <v>Valošková</v>
      </c>
      <c r="D441" s="14" t="str">
        <f ca="1">Start.listina!K120</f>
        <v>Sára</v>
      </c>
      <c r="E441" s="14" t="str">
        <f ca="1">Start.listina!L120</f>
        <v>PK Polouvsí</v>
      </c>
      <c r="F441" s="14"/>
      <c r="G441" s="122">
        <f ca="1">IF(N(A441)&gt;0,VLOOKUP(A441,Body!$A$4:$F$259,5,0),"")</f>
        <v>332.52743750000002</v>
      </c>
      <c r="H441" s="7">
        <f ca="1">IF(N(A441)&gt;0,VLOOKUP(A441,Body!$A$4:$F$259,6,0),"")</f>
        <v>200</v>
      </c>
      <c r="I441" s="7">
        <f ca="1">IF(N(A441)&gt;0,VLOOKUP(A441,Body!$A$4:$F$259,2,0),"")</f>
        <v>3</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2"/>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2"/>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2"/>
      <c r="H444" s="7"/>
      <c r="I444" s="7"/>
    </row>
    <row r="445" spans="1:9">
      <c r="A445" s="14">
        <f>Start.listina!AH121</f>
        <v>129</v>
      </c>
      <c r="B445" s="14">
        <f ca="1">Start.listina!I121</f>
        <v>18134</v>
      </c>
      <c r="C445" s="230" t="str">
        <f ca="1">Start.listina!J121</f>
        <v>Hůrková</v>
      </c>
      <c r="D445" s="14" t="str">
        <f ca="1">Start.listina!K121</f>
        <v>Lucie</v>
      </c>
      <c r="E445" s="14" t="str">
        <f ca="1">Start.listina!L121</f>
        <v>Bowle 09 Klatovy</v>
      </c>
      <c r="F445" s="14"/>
      <c r="G445" s="122">
        <f ca="1">IF(N(A445)&gt;0,VLOOKUP(A445,Body!$A$4:$F$259,5,0),"")</f>
        <v>553.40650000000005</v>
      </c>
      <c r="H445" s="7">
        <f ca="1">IF(N(A445)&gt;0,VLOOKUP(A445,Body!$A$4:$F$259,6,0),"")</f>
        <v>200</v>
      </c>
      <c r="I445" s="7">
        <f ca="1">IF(N(A445)&gt;0,VLOOKUP(A445,Body!$A$4:$F$259,2,0),"")</f>
        <v>8</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2"/>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2"/>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2"/>
      <c r="H448" s="7"/>
      <c r="I448" s="7"/>
    </row>
    <row r="449" spans="1:9">
      <c r="A449" s="14">
        <f ca="1">Start.listina!AH122</f>
        <v>64</v>
      </c>
      <c r="B449" s="14">
        <f ca="1">Start.listina!I122</f>
        <v>15059</v>
      </c>
      <c r="C449" s="230" t="str">
        <f ca="1">Start.listina!J122</f>
        <v>Gröschl</v>
      </c>
      <c r="D449" s="14" t="str">
        <f ca="1">Start.listina!K122</f>
        <v>Zdeněk</v>
      </c>
      <c r="E449" s="14" t="str">
        <f ca="1">Start.listina!L122</f>
        <v>SK Sahara Vědomice</v>
      </c>
      <c r="F449" s="14"/>
      <c r="G449" s="122">
        <f ca="1">IF(N(A449)&gt;0,VLOOKUP(A449,Body!$A$4:$F$259,5,0),"")</f>
        <v>288.35162500000001</v>
      </c>
      <c r="H449" s="7">
        <f ca="1">IF(N(A449)&gt;0,VLOOKUP(A449,Body!$A$4:$F$259,6,0),"")</f>
        <v>200</v>
      </c>
      <c r="I449" s="7">
        <f ca="1">IF(N(A449)&gt;0,VLOOKUP(A449,Body!$A$4:$F$259,2,0),"")</f>
        <v>2</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2"/>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2"/>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2"/>
      <c r="H452" s="7"/>
      <c r="I452" s="7"/>
    </row>
    <row r="453" spans="1:9">
      <c r="A453" s="14">
        <f>Start.listina!AH123</f>
        <v>129</v>
      </c>
      <c r="B453" s="14">
        <f ca="1">Start.listina!I123</f>
        <v>18072</v>
      </c>
      <c r="C453" s="230" t="str">
        <f ca="1">Start.listina!J123</f>
        <v>Ondryhal</v>
      </c>
      <c r="D453" s="14" t="str">
        <f ca="1">Start.listina!K123</f>
        <v>Lukáš</v>
      </c>
      <c r="E453" s="14" t="str">
        <f ca="1">Start.listina!L123</f>
        <v>PK Polouvsí</v>
      </c>
      <c r="F453" s="14"/>
      <c r="G453" s="122">
        <f ca="1">IF(N(A453)&gt;0,VLOOKUP(A453,Body!$A$4:$F$259,5,0),"")</f>
        <v>553.40650000000005</v>
      </c>
      <c r="H453" s="7">
        <f ca="1">IF(N(A453)&gt;0,VLOOKUP(A453,Body!$A$4:$F$259,6,0),"")</f>
        <v>200</v>
      </c>
      <c r="I453" s="7">
        <f ca="1">IF(N(A453)&gt;0,VLOOKUP(A453,Body!$A$4:$F$259,2,0),"")</f>
        <v>8</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2"/>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2"/>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2"/>
      <c r="H456" s="7"/>
      <c r="I456" s="7"/>
    </row>
    <row r="457" spans="1:9">
      <c r="A457" s="14">
        <f>Start.listina!AH124</f>
        <v>86</v>
      </c>
      <c r="B457" s="14">
        <f ca="1">Start.listina!I124</f>
        <v>21805</v>
      </c>
      <c r="C457" s="230" t="str">
        <f ca="1">Start.listina!J124</f>
        <v>Reinbergrová</v>
      </c>
      <c r="D457" s="14" t="str">
        <f ca="1">Start.listina!K124</f>
        <v>Václava</v>
      </c>
      <c r="E457" s="14" t="str">
        <f ca="1">Start.listina!L124</f>
        <v>PCP Lipník</v>
      </c>
      <c r="F457" s="14"/>
      <c r="G457" s="122">
        <f ca="1">IF(N(A457)&gt;0,VLOOKUP(A457,Body!$A$4:$F$259,5,0),"")</f>
        <v>553.40650000000005</v>
      </c>
      <c r="H457" s="7">
        <f ca="1">IF(N(A457)&gt;0,VLOOKUP(A457,Body!$A$4:$F$259,6,0),"")</f>
        <v>200</v>
      </c>
      <c r="I457" s="7">
        <f ca="1">IF(N(A457)&gt;0,VLOOKUP(A457,Body!$A$4:$F$259,2,0),"")</f>
        <v>8</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2"/>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2"/>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2"/>
      <c r="H460" s="7"/>
      <c r="I460" s="7"/>
    </row>
    <row r="461" spans="1:9">
      <c r="A461" s="14">
        <f>Start.listina!AH125</f>
        <v>129</v>
      </c>
      <c r="B461" s="14">
        <f ca="1">Start.listina!I125</f>
        <v>20532</v>
      </c>
      <c r="C461" s="230" t="str">
        <f ca="1">Start.listina!J125</f>
        <v>Křížek</v>
      </c>
      <c r="D461" s="14" t="str">
        <f ca="1">Start.listina!K125</f>
        <v>Evžen</v>
      </c>
      <c r="E461" s="14" t="str">
        <f ca="1">Start.listina!L125</f>
        <v>SK Pétanque Řepy</v>
      </c>
      <c r="F461" s="14"/>
      <c r="G461" s="122">
        <f ca="1">IF(N(A461)&gt;0,VLOOKUP(A461,Body!$A$4:$F$259,5,0),"")</f>
        <v>553.40650000000005</v>
      </c>
      <c r="H461" s="7">
        <f ca="1">IF(N(A461)&gt;0,VLOOKUP(A461,Body!$A$4:$F$259,6,0),"")</f>
        <v>200</v>
      </c>
      <c r="I461" s="7">
        <f ca="1">IF(N(A461)&gt;0,VLOOKUP(A461,Body!$A$4:$F$259,2,0),"")</f>
        <v>8</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2"/>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2"/>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2"/>
      <c r="H464" s="7"/>
      <c r="I464" s="7"/>
    </row>
    <row r="465" spans="1:9">
      <c r="A465" s="14">
        <f ca="1">Start.listina!AH126</f>
        <v>143</v>
      </c>
      <c r="B465" s="14">
        <f ca="1">Start.listina!I126</f>
        <v>18005</v>
      </c>
      <c r="C465" s="230" t="str">
        <f ca="1">Start.listina!J126</f>
        <v>Procházka</v>
      </c>
      <c r="D465" s="14" t="str">
        <f ca="1">Start.listina!K126</f>
        <v>Josef</v>
      </c>
      <c r="E465" s="14" t="str">
        <f ca="1">Start.listina!L126</f>
        <v>SK Pétanque Řepy</v>
      </c>
      <c r="F465" s="14"/>
      <c r="G465" s="122">
        <f ca="1">IF(N(A465)&gt;0,VLOOKUP(A465,Body!$A$4:$F$259,5,0),"")</f>
        <v>20</v>
      </c>
      <c r="H465" s="7">
        <f ca="1">IF(N(A465)&gt;0,VLOOKUP(A465,Body!$A$4:$F$259,6,0),"")</f>
        <v>0</v>
      </c>
      <c r="I465" s="7">
        <f ca="1">IF(N(A465)&gt;0,VLOOKUP(A465,Body!$A$4:$F$259,2,0),"")</f>
        <v>0</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2"/>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2"/>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2"/>
      <c r="H468" s="7"/>
      <c r="I468" s="7"/>
    </row>
    <row r="469" spans="1:9">
      <c r="A469" s="14">
        <f>Start.listina!AH127</f>
        <v>129</v>
      </c>
      <c r="B469" s="14">
        <f ca="1">Start.listina!I127</f>
        <v>14057</v>
      </c>
      <c r="C469" s="230" t="str">
        <f ca="1">Start.listina!J127</f>
        <v>Jablonský</v>
      </c>
      <c r="D469" s="14" t="str">
        <f ca="1">Start.listina!K127</f>
        <v>Lukáš</v>
      </c>
      <c r="E469" s="14" t="str">
        <f ca="1">Start.listina!L127</f>
        <v>PEK Stolín</v>
      </c>
      <c r="F469" s="14"/>
      <c r="G469" s="122">
        <f ca="1">IF(N(A469)&gt;0,VLOOKUP(A469,Body!$A$4:$F$259,5,0),"")</f>
        <v>553.40650000000005</v>
      </c>
      <c r="H469" s="7">
        <f ca="1">IF(N(A469)&gt;0,VLOOKUP(A469,Body!$A$4:$F$259,6,0),"")</f>
        <v>200</v>
      </c>
      <c r="I469" s="7">
        <f ca="1">IF(N(A469)&gt;0,VLOOKUP(A469,Body!$A$4:$F$259,2,0),"")</f>
        <v>8</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2"/>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2"/>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2"/>
      <c r="H472" s="7"/>
      <c r="I472" s="7"/>
    </row>
    <row r="473" spans="1:9">
      <c r="A473" s="14">
        <f>Start.listina!AH128</f>
        <v>86</v>
      </c>
      <c r="B473" s="14">
        <f ca="1">Start.listina!I128</f>
        <v>20676</v>
      </c>
      <c r="C473" s="230" t="str">
        <f ca="1">Start.listina!J128</f>
        <v>Hájková</v>
      </c>
      <c r="D473" s="14" t="str">
        <f ca="1">Start.listina!K128</f>
        <v>Iveta</v>
      </c>
      <c r="E473" s="14" t="str">
        <f ca="1">Start.listina!L128</f>
        <v>PEK Stolín</v>
      </c>
      <c r="F473" s="14"/>
      <c r="G473" s="122">
        <f ca="1">IF(N(A473)&gt;0,VLOOKUP(A473,Body!$A$4:$F$259,5,0),"")</f>
        <v>553.40650000000005</v>
      </c>
      <c r="H473" s="7">
        <f ca="1">IF(N(A473)&gt;0,VLOOKUP(A473,Body!$A$4:$F$259,6,0),"")</f>
        <v>200</v>
      </c>
      <c r="I473" s="7">
        <f ca="1">IF(N(A473)&gt;0,VLOOKUP(A473,Body!$A$4:$F$259,2,0),"")</f>
        <v>8</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2"/>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2"/>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2"/>
      <c r="H476" s="7"/>
      <c r="I476" s="7"/>
    </row>
    <row r="477" spans="1:9">
      <c r="A477" s="14">
        <f ca="1">Start.listina!AH129</f>
        <v>143</v>
      </c>
      <c r="B477" s="14">
        <f ca="1">Start.listina!I129</f>
        <v>19026</v>
      </c>
      <c r="C477" s="230" t="str">
        <f ca="1">Start.listina!J129</f>
        <v>Rendjambe</v>
      </c>
      <c r="D477" s="14" t="str">
        <f ca="1">Start.listina!K129</f>
        <v>Amos</v>
      </c>
      <c r="E477" s="14" t="str">
        <f ca="1">Start.listina!L129</f>
        <v>Petank Club Praha</v>
      </c>
      <c r="F477" s="14"/>
      <c r="G477" s="122">
        <f ca="1">IF(N(A477)&gt;0,VLOOKUP(A477,Body!$A$4:$F$259,5,0),"")</f>
        <v>20</v>
      </c>
      <c r="H477" s="7">
        <f ca="1">IF(N(A477)&gt;0,VLOOKUP(A477,Body!$A$4:$F$259,6,0),"")</f>
        <v>0</v>
      </c>
      <c r="I477" s="7">
        <f ca="1">IF(N(A477)&gt;0,VLOOKUP(A477,Body!$A$4:$F$259,2,0),"")</f>
        <v>0</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2"/>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2"/>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2"/>
      <c r="H480" s="7"/>
      <c r="I480" s="7"/>
    </row>
    <row r="481" spans="1:9">
      <c r="A481" s="14">
        <f ca="1">Start.listina!AH130</f>
        <v>64</v>
      </c>
      <c r="B481" s="14">
        <f ca="1">Start.listina!I130</f>
        <v>20557</v>
      </c>
      <c r="C481" s="230" t="str">
        <f ca="1">Start.listina!J130</f>
        <v>Křešťáková</v>
      </c>
      <c r="D481" s="14" t="str">
        <f ca="1">Start.listina!K130</f>
        <v>Jana</v>
      </c>
      <c r="E481" s="14" t="str">
        <f ca="1">Start.listina!L130</f>
        <v>Petank Club Praha</v>
      </c>
      <c r="F481" s="14"/>
      <c r="G481" s="122">
        <f ca="1">IF(N(A481)&gt;0,VLOOKUP(A481,Body!$A$4:$F$259,5,0),"")</f>
        <v>288.35162500000001</v>
      </c>
      <c r="H481" s="7">
        <f ca="1">IF(N(A481)&gt;0,VLOOKUP(A481,Body!$A$4:$F$259,6,0),"")</f>
        <v>200</v>
      </c>
      <c r="I481" s="7">
        <f ca="1">IF(N(A481)&gt;0,VLOOKUP(A481,Body!$A$4:$F$259,2,0),"")</f>
        <v>2</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2"/>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2"/>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2"/>
      <c r="H484" s="7"/>
      <c r="I484" s="7"/>
    </row>
    <row r="485" spans="1:9">
      <c r="A485" s="14">
        <f ca="1">Start.listina!AH131</f>
        <v>64</v>
      </c>
      <c r="B485" s="14">
        <f ca="1">Start.listina!I131</f>
        <v>19013</v>
      </c>
      <c r="C485" s="230" t="str">
        <f ca="1">Start.listina!J131</f>
        <v>Kmoch</v>
      </c>
      <c r="D485" s="14" t="str">
        <f ca="1">Start.listina!K131</f>
        <v>Miroslav</v>
      </c>
      <c r="E485" s="14" t="str">
        <f ca="1">Start.listina!L131</f>
        <v>PCP Lipník</v>
      </c>
      <c r="F485" s="14"/>
      <c r="G485" s="122">
        <f ca="1">IF(N(A485)&gt;0,VLOOKUP(A485,Body!$A$4:$F$259,5,0),"")</f>
        <v>288.35162500000001</v>
      </c>
      <c r="H485" s="7">
        <f ca="1">IF(N(A485)&gt;0,VLOOKUP(A485,Body!$A$4:$F$259,6,0),"")</f>
        <v>200</v>
      </c>
      <c r="I485" s="7">
        <f ca="1">IF(N(A485)&gt;0,VLOOKUP(A485,Body!$A$4:$F$259,2,0),"")</f>
        <v>2</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2"/>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2"/>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2"/>
      <c r="H488" s="7"/>
      <c r="I488" s="7"/>
    </row>
    <row r="489" spans="1:9">
      <c r="A489" s="14">
        <f ca="1">Start.listina!AH132</f>
        <v>143</v>
      </c>
      <c r="B489" s="14">
        <f ca="1">Start.listina!I132</f>
        <v>19006</v>
      </c>
      <c r="C489" s="230" t="str">
        <f ca="1">Start.listina!J132</f>
        <v>Koňasová</v>
      </c>
      <c r="D489" s="14" t="str">
        <f ca="1">Start.listina!K132</f>
        <v>Hana</v>
      </c>
      <c r="E489" s="14" t="str">
        <f ca="1">Start.listina!L132</f>
        <v>SK Pétanque Řepy</v>
      </c>
      <c r="F489" s="14"/>
      <c r="G489" s="122">
        <f ca="1">IF(N(A489)&gt;0,VLOOKUP(A489,Body!$A$4:$F$259,5,0),"")</f>
        <v>20</v>
      </c>
      <c r="H489" s="7">
        <f ca="1">IF(N(A489)&gt;0,VLOOKUP(A489,Body!$A$4:$F$259,6,0),"")</f>
        <v>0</v>
      </c>
      <c r="I489" s="7">
        <f ca="1">IF(N(A489)&gt;0,VLOOKUP(A489,Body!$A$4:$F$259,2,0),"")</f>
        <v>0</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2"/>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2"/>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2"/>
      <c r="H492" s="7"/>
      <c r="I492" s="7"/>
    </row>
    <row r="493" spans="1:9">
      <c r="A493" s="14">
        <f>Start.listina!AH133</f>
        <v>129</v>
      </c>
      <c r="B493" s="14">
        <f ca="1">Start.listina!I133</f>
        <v>20533</v>
      </c>
      <c r="C493" s="230" t="str">
        <f ca="1">Start.listina!J133</f>
        <v>Josífková</v>
      </c>
      <c r="D493" s="14" t="str">
        <f ca="1">Start.listina!K133</f>
        <v>Eva</v>
      </c>
      <c r="E493" s="14" t="str">
        <f ca="1">Start.listina!L133</f>
        <v>SK Pétanque Řepy</v>
      </c>
      <c r="F493" s="14"/>
      <c r="G493" s="122">
        <f ca="1">IF(N(A493)&gt;0,VLOOKUP(A493,Body!$A$4:$F$259,5,0),"")</f>
        <v>553.40650000000005</v>
      </c>
      <c r="H493" s="7">
        <f ca="1">IF(N(A493)&gt;0,VLOOKUP(A493,Body!$A$4:$F$259,6,0),"")</f>
        <v>200</v>
      </c>
      <c r="I493" s="7">
        <f ca="1">IF(N(A493)&gt;0,VLOOKUP(A493,Body!$A$4:$F$259,2,0),"")</f>
        <v>8</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2"/>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2"/>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2"/>
      <c r="H496" s="7"/>
      <c r="I496" s="7"/>
    </row>
    <row r="497" spans="1:9">
      <c r="A497" s="14">
        <f>Start.listina!AH134</f>
        <v>129</v>
      </c>
      <c r="B497" s="14">
        <f ca="1">Start.listina!I134</f>
        <v>28047</v>
      </c>
      <c r="C497" s="230" t="str">
        <f ca="1">Start.listina!J134</f>
        <v>Suchomel</v>
      </c>
      <c r="D497" s="14" t="str">
        <f ca="1">Start.listina!K134</f>
        <v>Luděk</v>
      </c>
      <c r="E497" s="14" t="str">
        <f ca="1">Start.listina!L134</f>
        <v>SK Sahara Vědomice</v>
      </c>
      <c r="F497" s="14"/>
      <c r="G497" s="122">
        <f ca="1">IF(N(A497)&gt;0,VLOOKUP(A497,Body!$A$4:$F$259,5,0),"")</f>
        <v>553.40650000000005</v>
      </c>
      <c r="H497" s="7">
        <f ca="1">IF(N(A497)&gt;0,VLOOKUP(A497,Body!$A$4:$F$259,6,0),"")</f>
        <v>200</v>
      </c>
      <c r="I497" s="7">
        <f ca="1">IF(N(A497)&gt;0,VLOOKUP(A497,Body!$A$4:$F$259,2,0),"")</f>
        <v>8</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2"/>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2"/>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2"/>
      <c r="H500" s="7"/>
      <c r="I500" s="7"/>
    </row>
    <row r="501" spans="1:9">
      <c r="A501" s="14">
        <f ca="1">Start.listina!AH135</f>
        <v>143</v>
      </c>
      <c r="B501" s="14">
        <f ca="1">Start.listina!I135</f>
        <v>20534</v>
      </c>
      <c r="C501" s="230" t="str">
        <f ca="1">Start.listina!J135</f>
        <v>Váňová</v>
      </c>
      <c r="D501" s="14" t="str">
        <f ca="1">Start.listina!K135</f>
        <v>Věra</v>
      </c>
      <c r="E501" s="14" t="str">
        <f ca="1">Start.listina!L135</f>
        <v>SK Pétanque Řepy</v>
      </c>
      <c r="F501" s="14"/>
      <c r="G501" s="122">
        <f ca="1">IF(N(A501)&gt;0,VLOOKUP(A501,Body!$A$4:$F$259,5,0),"")</f>
        <v>20</v>
      </c>
      <c r="H501" s="7">
        <f ca="1">IF(N(A501)&gt;0,VLOOKUP(A501,Body!$A$4:$F$259,6,0),"")</f>
        <v>0</v>
      </c>
      <c r="I501" s="7">
        <f ca="1">IF(N(A501)&gt;0,VLOOKUP(A501,Body!$A$4:$F$259,2,0),"")</f>
        <v>0</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2"/>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2"/>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2"/>
      <c r="H504" s="7"/>
      <c r="I504" s="7"/>
    </row>
    <row r="505" spans="1:9">
      <c r="A505" s="14">
        <f>Start.listina!AH136</f>
        <v>86</v>
      </c>
      <c r="B505" s="14">
        <f ca="1">Start.listina!I136</f>
        <v>18074</v>
      </c>
      <c r="C505" s="230" t="str">
        <f ca="1">Start.listina!J136</f>
        <v>Lukeš</v>
      </c>
      <c r="D505" s="14" t="str">
        <f ca="1">Start.listina!K136</f>
        <v>Jakub</v>
      </c>
      <c r="E505" s="14" t="str">
        <f ca="1">Start.listina!L136</f>
        <v>1. KPK Vrchlabí</v>
      </c>
      <c r="F505" s="14"/>
      <c r="G505" s="122">
        <f ca="1">IF(N(A505)&gt;0,VLOOKUP(A505,Body!$A$4:$F$259,5,0),"")</f>
        <v>553.40650000000005</v>
      </c>
      <c r="H505" s="7">
        <f ca="1">IF(N(A505)&gt;0,VLOOKUP(A505,Body!$A$4:$F$259,6,0),"")</f>
        <v>200</v>
      </c>
      <c r="I505" s="7">
        <f ca="1">IF(N(A505)&gt;0,VLOOKUP(A505,Body!$A$4:$F$259,2,0),"")</f>
        <v>8</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2"/>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2"/>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2"/>
      <c r="H508" s="7"/>
      <c r="I508" s="7"/>
    </row>
    <row r="509" spans="1:9">
      <c r="A509" s="14">
        <f>Start.listina!AH137</f>
        <v>86</v>
      </c>
      <c r="B509" s="14">
        <f ca="1">Start.listina!I137</f>
        <v>10034</v>
      </c>
      <c r="C509" s="230" t="str">
        <f ca="1">Start.listina!J137</f>
        <v>Fukal</v>
      </c>
      <c r="D509" s="14" t="str">
        <f ca="1">Start.listina!K137</f>
        <v>Milan</v>
      </c>
      <c r="E509" s="14" t="str">
        <f ca="1">Start.listina!L137</f>
        <v>JAPKO</v>
      </c>
      <c r="F509" s="14"/>
      <c r="G509" s="122">
        <f ca="1">IF(N(A509)&gt;0,VLOOKUP(A509,Body!$A$4:$F$259,5,0),"")</f>
        <v>553.40650000000005</v>
      </c>
      <c r="H509" s="7">
        <f ca="1">IF(N(A509)&gt;0,VLOOKUP(A509,Body!$A$4:$F$259,6,0),"")</f>
        <v>200</v>
      </c>
      <c r="I509" s="7">
        <f ca="1">IF(N(A509)&gt;0,VLOOKUP(A509,Body!$A$4:$F$259,2,0),"")</f>
        <v>8</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2"/>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2"/>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2"/>
      <c r="H512" s="7"/>
      <c r="I512" s="7"/>
    </row>
    <row r="513" spans="1:9">
      <c r="A513" s="14">
        <f ca="1">Start.listina!AH138</f>
        <v>143</v>
      </c>
      <c r="B513" s="14">
        <f ca="1">Start.listina!I138</f>
        <v>20528</v>
      </c>
      <c r="C513" s="230" t="str">
        <f ca="1">Start.listina!J138</f>
        <v>Duška</v>
      </c>
      <c r="D513" s="14" t="str">
        <f ca="1">Start.listina!K138</f>
        <v>Miloš</v>
      </c>
      <c r="E513" s="14" t="str">
        <f ca="1">Start.listina!L138</f>
        <v>PC Mimo Done</v>
      </c>
      <c r="F513" s="14"/>
      <c r="G513" s="122">
        <f ca="1">IF(N(A513)&gt;0,VLOOKUP(A513,Body!$A$4:$F$259,5,0),"")</f>
        <v>20</v>
      </c>
      <c r="H513" s="7">
        <f ca="1">IF(N(A513)&gt;0,VLOOKUP(A513,Body!$A$4:$F$259,6,0),"")</f>
        <v>0</v>
      </c>
      <c r="I513" s="7">
        <f ca="1">IF(N(A513)&gt;0,VLOOKUP(A513,Body!$A$4:$F$259,2,0),"")</f>
        <v>0</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2"/>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2"/>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2020-09-12T16:37:19Z</cp:lastPrinted>
  <dcterms:created xsi:type="dcterms:W3CDTF">1998-08-08T11:38:32Z</dcterms:created>
  <dcterms:modified xsi:type="dcterms:W3CDTF">2020-09-17T11:35:23Z</dcterms:modified>
  <cp:category>PETANQUE</cp:category>
</cp:coreProperties>
</file>